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6" yWindow="216" windowWidth="16260" windowHeight="5508"/>
  </bookViews>
  <sheets>
    <sheet name="DISM REPORT" sheetId="23" r:id="rId1"/>
    <sheet name="Accrual - Realloc (Final Alloc)" sheetId="18" r:id="rId2"/>
    <sheet name="GI Factors" sheetId="5" r:id="rId3"/>
  </sheets>
  <externalReferences>
    <externalReference r:id="rId4"/>
  </externalReferences>
  <definedNames>
    <definedName name="\0" localSheetId="1">'[1]Input 1'!#REF!</definedName>
    <definedName name="\0" localSheetId="0">'[1]Input 1'!#REF!</definedName>
    <definedName name="\0">'[1]Input 1'!#REF!</definedName>
    <definedName name="\d" localSheetId="1">'[1]Input 1'!#REF!</definedName>
    <definedName name="\d" localSheetId="0">'[1]Input 1'!#REF!</definedName>
    <definedName name="\d">'[1]Input 1'!#REF!</definedName>
    <definedName name="\h" localSheetId="1">'[1]Input 1'!#REF!</definedName>
    <definedName name="\h" localSheetId="0">'[1]Input 1'!#REF!</definedName>
    <definedName name="\h">'[1]Input 1'!#REF!</definedName>
    <definedName name="\l" localSheetId="1">'[1]Input 1'!#REF!</definedName>
    <definedName name="\l" localSheetId="0">'[1]Input 1'!#REF!</definedName>
    <definedName name="\l">'[1]Input 1'!#REF!</definedName>
    <definedName name="\p" localSheetId="1">'[1]Monthly Accrual'!#REF!</definedName>
    <definedName name="\p" localSheetId="0">'[1]Monthly Accrual'!#REF!</definedName>
    <definedName name="\p">'[1]Monthly Accrual'!#REF!</definedName>
    <definedName name="\s" localSheetId="1">'[1]Input 1'!#REF!</definedName>
    <definedName name="\s" localSheetId="0">'[1]Input 1'!#REF!</definedName>
    <definedName name="\s">'[1]Input 1'!#REF!</definedName>
    <definedName name="_xlnm._FilterDatabase" localSheetId="1" hidden="1">'Accrual - Realloc (Final Alloc)'!$A$11:$AO$64</definedName>
    <definedName name="_xlnm._FilterDatabase" localSheetId="0" hidden="1">'DISM REPORT'!$A$10:$S$96</definedName>
    <definedName name="LOCATE" localSheetId="1">'[1]Input 1'!#REF!</definedName>
    <definedName name="LOCATE" localSheetId="0">'[1]Input 1'!#REF!</definedName>
    <definedName name="LOCATE">'[1]Input 1'!#REF!</definedName>
    <definedName name="_xlnm.Print_Area" localSheetId="1">'Accrual - Realloc (Final Alloc)'!$A$7:$AO$81</definedName>
    <definedName name="_xlnm.Print_Area" localSheetId="0">'DISM REPORT'!$A$8:$T$103</definedName>
  </definedNames>
  <calcPr calcId="145621"/>
</workbook>
</file>

<file path=xl/calcChain.xml><?xml version="1.0" encoding="utf-8"?>
<calcChain xmlns="http://schemas.openxmlformats.org/spreadsheetml/2006/main">
  <c r="D59" i="18" l="1"/>
  <c r="D58" i="18"/>
  <c r="C59" i="18"/>
  <c r="C58" i="18"/>
  <c r="B59" i="18"/>
  <c r="B58" i="18"/>
  <c r="G66" i="18" l="1"/>
  <c r="G70" i="18" s="1"/>
  <c r="H59" i="18"/>
  <c r="H58" i="18"/>
  <c r="H64" i="18"/>
  <c r="H63" i="18"/>
  <c r="H62" i="18"/>
  <c r="H61" i="18"/>
  <c r="H60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66" i="18" l="1"/>
  <c r="H70" i="18" s="1"/>
  <c r="AB22" i="18"/>
  <c r="AC22" i="18"/>
  <c r="AB23" i="18"/>
  <c r="AC23" i="18"/>
  <c r="AB24" i="18"/>
  <c r="AC24" i="18"/>
  <c r="AB25" i="18"/>
  <c r="AC25" i="18"/>
  <c r="AA23" i="18"/>
  <c r="AA24" i="18"/>
  <c r="AA25" i="18"/>
  <c r="AB18" i="18"/>
  <c r="AC18" i="18"/>
  <c r="AB19" i="18"/>
  <c r="AC19" i="18"/>
  <c r="AA20" i="18"/>
  <c r="AA19" i="18"/>
  <c r="AA18" i="18"/>
  <c r="A96" i="23" l="1"/>
  <c r="A95" i="23"/>
  <c r="A94" i="23"/>
  <c r="A93" i="23"/>
  <c r="A90" i="23"/>
  <c r="A89" i="23"/>
  <c r="A88" i="23"/>
  <c r="A87" i="23"/>
  <c r="A78" i="23"/>
  <c r="A71" i="23"/>
  <c r="A70" i="23"/>
  <c r="A69" i="23"/>
  <c r="A66" i="23"/>
  <c r="A65" i="23"/>
  <c r="A61" i="23"/>
  <c r="A62" i="23"/>
  <c r="A60" i="23"/>
  <c r="A57" i="23"/>
  <c r="A56" i="23"/>
  <c r="A51" i="23"/>
  <c r="A50" i="23"/>
  <c r="A49" i="23"/>
  <c r="A48" i="23"/>
  <c r="A47" i="23"/>
  <c r="A53" i="23"/>
  <c r="A46" i="23"/>
  <c r="A41" i="23"/>
  <c r="A40" i="23"/>
  <c r="A39" i="23"/>
  <c r="A43" i="23"/>
  <c r="A38" i="23"/>
  <c r="A27" i="23"/>
  <c r="A26" i="23"/>
  <c r="A25" i="23"/>
  <c r="A28" i="23"/>
  <c r="A24" i="23"/>
  <c r="A34" i="23"/>
  <c r="A33" i="23"/>
  <c r="A32" i="23"/>
  <c r="A35" i="23"/>
  <c r="A31" i="23"/>
  <c r="A21" i="23"/>
  <c r="A19" i="23"/>
  <c r="A15" i="23"/>
  <c r="A14" i="23"/>
  <c r="A11" i="23"/>
  <c r="F66" i="18" l="1"/>
  <c r="L49" i="5" l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M19" i="5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I49" i="5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J19" i="5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F49" i="5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G19" i="5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C49" i="5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D19" i="5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l="1"/>
  <c r="AD19" i="18"/>
  <c r="M50" i="5"/>
  <c r="M51" i="5" s="1"/>
  <c r="M52" i="5" s="1"/>
  <c r="M53" i="5" s="1"/>
  <c r="M54" i="5" s="1"/>
  <c r="M55" i="5" s="1"/>
  <c r="M56" i="5" s="1"/>
  <c r="M57" i="5" s="1"/>
  <c r="M58" i="5" s="1"/>
  <c r="M59" i="5" s="1"/>
  <c r="M60" i="5" s="1"/>
  <c r="M61" i="5" s="1"/>
  <c r="M62" i="5" s="1"/>
  <c r="M63" i="5" s="1"/>
  <c r="M64" i="5" s="1"/>
  <c r="M65" i="5" s="1"/>
  <c r="M66" i="5" s="1"/>
  <c r="M67" i="5" s="1"/>
  <c r="M68" i="5" s="1"/>
  <c r="M69" i="5" s="1"/>
  <c r="M70" i="5" s="1"/>
  <c r="M71" i="5" s="1"/>
  <c r="M72" i="5" s="1"/>
  <c r="M73" i="5" s="1"/>
  <c r="M74" i="5" s="1"/>
  <c r="M75" i="5" s="1"/>
  <c r="M76" i="5" s="1"/>
  <c r="M77" i="5" s="1"/>
  <c r="M78" i="5" s="1"/>
  <c r="J50" i="5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G50" i="5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D43" i="5" l="1"/>
  <c r="D44" i="5" s="1"/>
  <c r="D45" i="5" s="1"/>
  <c r="D46" i="5" s="1"/>
  <c r="D47" i="5" s="1"/>
  <c r="D48" i="5" s="1"/>
  <c r="D49" i="5" s="1"/>
  <c r="D50" i="5" s="1"/>
  <c r="D51" i="5" s="1"/>
  <c r="AE19" i="18"/>
  <c r="AF19" i="18" s="1"/>
  <c r="AC42" i="18"/>
  <c r="AB42" i="18"/>
  <c r="D52" i="5" l="1"/>
  <c r="AD24" i="18"/>
  <c r="P17" i="23"/>
  <c r="Q17" i="23"/>
  <c r="R17" i="23"/>
  <c r="O17" i="23"/>
  <c r="D53" i="5" l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AE24" i="18"/>
  <c r="AF24" i="18" s="1"/>
  <c r="AO68" i="18"/>
  <c r="S17" i="23" s="1"/>
  <c r="T17" i="23" s="1"/>
  <c r="AG68" i="18"/>
  <c r="Z40" i="18"/>
  <c r="Z39" i="18"/>
  <c r="D65" i="5" l="1"/>
  <c r="AD23" i="18"/>
  <c r="AD18" i="18"/>
  <c r="M17" i="23"/>
  <c r="E96" i="23"/>
  <c r="E95" i="23"/>
  <c r="E94" i="23"/>
  <c r="E93" i="23"/>
  <c r="E90" i="23"/>
  <c r="E89" i="23"/>
  <c r="E88" i="23"/>
  <c r="E87" i="23"/>
  <c r="E78" i="23"/>
  <c r="E83" i="23"/>
  <c r="E82" i="23"/>
  <c r="E84" i="23"/>
  <c r="E81" i="23"/>
  <c r="E75" i="23"/>
  <c r="E76" i="23"/>
  <c r="E74" i="23"/>
  <c r="E71" i="23"/>
  <c r="E70" i="23"/>
  <c r="E66" i="23"/>
  <c r="E61" i="23"/>
  <c r="E62" i="23"/>
  <c r="E60" i="23"/>
  <c r="E57" i="23"/>
  <c r="E56" i="23"/>
  <c r="E51" i="23"/>
  <c r="E50" i="23"/>
  <c r="E49" i="23"/>
  <c r="E48" i="23"/>
  <c r="E47" i="23"/>
  <c r="E53" i="23"/>
  <c r="E46" i="23"/>
  <c r="E41" i="23"/>
  <c r="E40" i="23"/>
  <c r="E39" i="23"/>
  <c r="E38" i="23"/>
  <c r="E27" i="23"/>
  <c r="E26" i="23"/>
  <c r="E25" i="23"/>
  <c r="E28" i="23"/>
  <c r="E24" i="23"/>
  <c r="E34" i="23"/>
  <c r="E33" i="23"/>
  <c r="E32" i="23"/>
  <c r="E35" i="23"/>
  <c r="E31" i="23"/>
  <c r="E21" i="23"/>
  <c r="E15" i="23"/>
  <c r="E14" i="23"/>
  <c r="E11" i="23"/>
  <c r="D66" i="5" l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AE18" i="18"/>
  <c r="AF18" i="18" s="1"/>
  <c r="AE23" i="18"/>
  <c r="AF23" i="18" s="1"/>
  <c r="AA26" i="18" l="1"/>
  <c r="AA21" i="18"/>
  <c r="N84" i="18"/>
  <c r="L82" i="18" l="1"/>
  <c r="K82" i="18"/>
  <c r="J82" i="18"/>
  <c r="M81" i="18"/>
  <c r="N81" i="18" s="1"/>
  <c r="M80" i="18"/>
  <c r="N80" i="18" s="1"/>
  <c r="M79" i="18"/>
  <c r="N79" i="18" s="1"/>
  <c r="M78" i="18"/>
  <c r="N78" i="18" s="1"/>
  <c r="M77" i="18"/>
  <c r="N77" i="18" s="1"/>
  <c r="M76" i="18"/>
  <c r="N76" i="18" s="1"/>
  <c r="O66" i="18"/>
  <c r="N66" i="18"/>
  <c r="N70" i="18" s="1"/>
  <c r="L66" i="18"/>
  <c r="L70" i="18" s="1"/>
  <c r="K66" i="18"/>
  <c r="K70" i="18" s="1"/>
  <c r="J66" i="18"/>
  <c r="F70" i="18"/>
  <c r="E66" i="18"/>
  <c r="E70" i="18" s="1"/>
  <c r="D66" i="18"/>
  <c r="D70" i="18" s="1"/>
  <c r="C66" i="18"/>
  <c r="C70" i="18" s="1"/>
  <c r="B66" i="18"/>
  <c r="B70" i="18" s="1"/>
  <c r="M40" i="18"/>
  <c r="X40" i="18" s="1"/>
  <c r="AC39" i="18"/>
  <c r="M39" i="18"/>
  <c r="X39" i="18" s="1"/>
  <c r="AC43" i="18"/>
  <c r="AB43" i="18"/>
  <c r="AA43" i="18"/>
  <c r="W43" i="18"/>
  <c r="M43" i="18"/>
  <c r="AC41" i="18"/>
  <c r="AB41" i="18"/>
  <c r="AA41" i="18"/>
  <c r="W41" i="18"/>
  <c r="M41" i="18"/>
  <c r="AC26" i="18"/>
  <c r="AB26" i="18"/>
  <c r="W26" i="18"/>
  <c r="M26" i="18"/>
  <c r="AC21" i="18"/>
  <c r="AB21" i="18"/>
  <c r="W21" i="18"/>
  <c r="M21" i="18"/>
  <c r="AC45" i="18"/>
  <c r="AB45" i="18"/>
  <c r="AA45" i="18"/>
  <c r="W45" i="18"/>
  <c r="M45" i="18"/>
  <c r="AC44" i="18"/>
  <c r="AB44" i="18"/>
  <c r="AA44" i="18"/>
  <c r="W44" i="18"/>
  <c r="M44" i="18"/>
  <c r="AC13" i="18"/>
  <c r="AB13" i="18"/>
  <c r="AA13" i="18"/>
  <c r="W13" i="18"/>
  <c r="M13" i="18"/>
  <c r="AC14" i="18"/>
  <c r="AB14" i="18"/>
  <c r="AA14" i="18"/>
  <c r="W14" i="18"/>
  <c r="M14" i="18"/>
  <c r="AC64" i="18"/>
  <c r="AB64" i="18"/>
  <c r="AA64" i="18"/>
  <c r="F96" i="23" s="1"/>
  <c r="W64" i="18"/>
  <c r="M64" i="18"/>
  <c r="AC61" i="18"/>
  <c r="AB61" i="18"/>
  <c r="AA61" i="18"/>
  <c r="W61" i="18"/>
  <c r="M61" i="18"/>
  <c r="AC63" i="18"/>
  <c r="AB63" i="18"/>
  <c r="AA63" i="18"/>
  <c r="W63" i="18"/>
  <c r="M63" i="18"/>
  <c r="AC62" i="18"/>
  <c r="AB62" i="18"/>
  <c r="AA62" i="18"/>
  <c r="W62" i="18"/>
  <c r="M62" i="18"/>
  <c r="AC60" i="18"/>
  <c r="AB60" i="18"/>
  <c r="AA60" i="18"/>
  <c r="F90" i="23" s="1"/>
  <c r="W60" i="18"/>
  <c r="M60" i="18"/>
  <c r="AC59" i="18"/>
  <c r="AB59" i="18"/>
  <c r="AA59" i="18"/>
  <c r="W59" i="18"/>
  <c r="M59" i="18"/>
  <c r="AC58" i="18"/>
  <c r="AB58" i="18"/>
  <c r="AA58" i="18"/>
  <c r="W58" i="18"/>
  <c r="M58" i="18"/>
  <c r="AC57" i="18"/>
  <c r="AB57" i="18"/>
  <c r="AA57" i="18"/>
  <c r="W57" i="18"/>
  <c r="M57" i="18"/>
  <c r="E19" i="23"/>
  <c r="M28" i="18"/>
  <c r="AC15" i="18"/>
  <c r="AB15" i="18"/>
  <c r="AA15" i="18"/>
  <c r="W15" i="18"/>
  <c r="M15" i="18"/>
  <c r="AC12" i="18"/>
  <c r="AB12" i="18"/>
  <c r="AA12" i="18"/>
  <c r="F11" i="23" s="1"/>
  <c r="W12" i="18"/>
  <c r="M12" i="18"/>
  <c r="AC33" i="18"/>
  <c r="AB33" i="18"/>
  <c r="AA33" i="18"/>
  <c r="W33" i="18"/>
  <c r="M33" i="18"/>
  <c r="AC38" i="18"/>
  <c r="AB38" i="18"/>
  <c r="AA38" i="18"/>
  <c r="W38" i="18"/>
  <c r="M38" i="18"/>
  <c r="AC31" i="18"/>
  <c r="AB31" i="18"/>
  <c r="AA31" i="18"/>
  <c r="W31" i="18"/>
  <c r="M31" i="18"/>
  <c r="AC47" i="18"/>
  <c r="AB47" i="18"/>
  <c r="AA47" i="18"/>
  <c r="W47" i="18"/>
  <c r="M47" i="18"/>
  <c r="AC46" i="18"/>
  <c r="AB46" i="18"/>
  <c r="AA46" i="18"/>
  <c r="W46" i="18"/>
  <c r="M46" i="18"/>
  <c r="W25" i="18"/>
  <c r="M25" i="18"/>
  <c r="W24" i="18"/>
  <c r="M24" i="18"/>
  <c r="AA22" i="18"/>
  <c r="W22" i="18"/>
  <c r="M22" i="18"/>
  <c r="AC48" i="18"/>
  <c r="AB48" i="18"/>
  <c r="AA48" i="18"/>
  <c r="F71" i="23" s="1"/>
  <c r="W48" i="18"/>
  <c r="M48" i="18"/>
  <c r="AC56" i="18"/>
  <c r="AB56" i="18"/>
  <c r="AA56" i="18"/>
  <c r="W56" i="18"/>
  <c r="M56" i="18"/>
  <c r="AC50" i="18"/>
  <c r="AB50" i="18"/>
  <c r="AA50" i="18"/>
  <c r="W50" i="18"/>
  <c r="M50" i="18"/>
  <c r="AC51" i="18"/>
  <c r="AB51" i="18"/>
  <c r="AA51" i="18"/>
  <c r="W51" i="18"/>
  <c r="M51" i="18"/>
  <c r="AC49" i="18"/>
  <c r="AB49" i="18"/>
  <c r="AA49" i="18"/>
  <c r="W49" i="18"/>
  <c r="M49" i="18"/>
  <c r="AC16" i="18"/>
  <c r="AB16" i="18"/>
  <c r="AA16" i="18"/>
  <c r="W16" i="18"/>
  <c r="M16" i="18"/>
  <c r="AC53" i="18"/>
  <c r="AB53" i="18"/>
  <c r="AA53" i="18"/>
  <c r="W53" i="18"/>
  <c r="M53" i="18"/>
  <c r="AC55" i="18"/>
  <c r="AB55" i="18"/>
  <c r="AA55" i="18"/>
  <c r="W55" i="18"/>
  <c r="M55" i="18"/>
  <c r="AC54" i="18"/>
  <c r="AB54" i="18"/>
  <c r="AD54" i="18" s="1"/>
  <c r="AA54" i="18"/>
  <c r="W54" i="18"/>
  <c r="M54" i="18"/>
  <c r="AC52" i="18"/>
  <c r="AB52" i="18"/>
  <c r="AA52" i="18"/>
  <c r="W52" i="18"/>
  <c r="M52" i="18"/>
  <c r="AC37" i="18"/>
  <c r="AB37" i="18"/>
  <c r="AA37" i="18"/>
  <c r="F50" i="23" s="1"/>
  <c r="W37" i="18"/>
  <c r="M37" i="18"/>
  <c r="AC36" i="18"/>
  <c r="AB36" i="18"/>
  <c r="AA36" i="18"/>
  <c r="W36" i="18"/>
  <c r="M36" i="18"/>
  <c r="AC20" i="18"/>
  <c r="AE20" i="18" s="1"/>
  <c r="AB20" i="18"/>
  <c r="AD20" i="18" s="1"/>
  <c r="W20" i="18"/>
  <c r="M20" i="18"/>
  <c r="W19" i="18"/>
  <c r="M19" i="18"/>
  <c r="AC17" i="18"/>
  <c r="AB17" i="18"/>
  <c r="AA17" i="18"/>
  <c r="W17" i="18"/>
  <c r="M17" i="18"/>
  <c r="AC35" i="18"/>
  <c r="AB35" i="18"/>
  <c r="AA35" i="18"/>
  <c r="W35" i="18"/>
  <c r="M35" i="18"/>
  <c r="AC34" i="18"/>
  <c r="AB34" i="18"/>
  <c r="AA34" i="18"/>
  <c r="W34" i="18"/>
  <c r="M34" i="18"/>
  <c r="AC32" i="18"/>
  <c r="AB32" i="18"/>
  <c r="AA32" i="18"/>
  <c r="W32" i="18"/>
  <c r="M32" i="18"/>
  <c r="W42" i="18"/>
  <c r="M42" i="18"/>
  <c r="AC30" i="18"/>
  <c r="AB30" i="18"/>
  <c r="AA30" i="18"/>
  <c r="W30" i="18"/>
  <c r="M30" i="18"/>
  <c r="AC29" i="18"/>
  <c r="AB29" i="18"/>
  <c r="AA29" i="18"/>
  <c r="W29" i="18"/>
  <c r="M29" i="18"/>
  <c r="AC27" i="18"/>
  <c r="AB27" i="18"/>
  <c r="AA27" i="18"/>
  <c r="W27" i="18"/>
  <c r="M27" i="18"/>
  <c r="W23" i="18"/>
  <c r="M23" i="18"/>
  <c r="W18" i="18"/>
  <c r="M18" i="18"/>
  <c r="F49" i="23" l="1"/>
  <c r="F87" i="23"/>
  <c r="F76" i="23"/>
  <c r="F95" i="23"/>
  <c r="F89" i="23"/>
  <c r="F75" i="23"/>
  <c r="F15" i="23"/>
  <c r="F38" i="23"/>
  <c r="F41" i="23"/>
  <c r="E69" i="23"/>
  <c r="E65" i="23"/>
  <c r="F14" i="23"/>
  <c r="F82" i="23"/>
  <c r="AF20" i="18"/>
  <c r="F48" i="23"/>
  <c r="F83" i="23"/>
  <c r="F24" i="23"/>
  <c r="F94" i="23"/>
  <c r="F60" i="23"/>
  <c r="F88" i="23"/>
  <c r="F32" i="23"/>
  <c r="F26" i="23"/>
  <c r="F31" i="23"/>
  <c r="F34" i="23"/>
  <c r="F84" i="23"/>
  <c r="F25" i="23"/>
  <c r="F61" i="23"/>
  <c r="F70" i="23"/>
  <c r="F57" i="23"/>
  <c r="F39" i="23"/>
  <c r="F46" i="23"/>
  <c r="F35" i="23"/>
  <c r="F81" i="23"/>
  <c r="F27" i="23"/>
  <c r="F21" i="23"/>
  <c r="F78" i="23"/>
  <c r="F51" i="23"/>
  <c r="F93" i="23"/>
  <c r="F40" i="23"/>
  <c r="F47" i="23"/>
  <c r="F33" i="23"/>
  <c r="F28" i="23"/>
  <c r="F74" i="23"/>
  <c r="F56" i="23"/>
  <c r="F53" i="23"/>
  <c r="F62" i="23"/>
  <c r="F66" i="23"/>
  <c r="J84" i="18"/>
  <c r="J70" i="18"/>
  <c r="O70" i="18"/>
  <c r="X30" i="18"/>
  <c r="X34" i="18"/>
  <c r="X20" i="18"/>
  <c r="X54" i="18"/>
  <c r="X49" i="18"/>
  <c r="X48" i="18"/>
  <c r="X46" i="18"/>
  <c r="X33" i="18"/>
  <c r="X60" i="18"/>
  <c r="X64" i="18"/>
  <c r="X45" i="18"/>
  <c r="X29" i="18"/>
  <c r="X32" i="18"/>
  <c r="X19" i="18"/>
  <c r="X52" i="18"/>
  <c r="X16" i="18"/>
  <c r="X56" i="18"/>
  <c r="X25" i="18"/>
  <c r="X38" i="18"/>
  <c r="X28" i="18"/>
  <c r="L43" i="23" s="1"/>
  <c r="X59" i="18"/>
  <c r="X61" i="18"/>
  <c r="X44" i="18"/>
  <c r="X42" i="18"/>
  <c r="X35" i="18"/>
  <c r="X36" i="18"/>
  <c r="X55" i="18"/>
  <c r="X51" i="18"/>
  <c r="X22" i="18"/>
  <c r="X47" i="18"/>
  <c r="X12" i="18"/>
  <c r="X57" i="18"/>
  <c r="X62" i="18"/>
  <c r="X14" i="18"/>
  <c r="X21" i="18"/>
  <c r="X26" i="18"/>
  <c r="X41" i="18"/>
  <c r="X18" i="18"/>
  <c r="AG18" i="18" s="1"/>
  <c r="X23" i="18"/>
  <c r="X27" i="18"/>
  <c r="X17" i="18"/>
  <c r="X37" i="18"/>
  <c r="X53" i="18"/>
  <c r="X50" i="18"/>
  <c r="X24" i="18"/>
  <c r="X31" i="18"/>
  <c r="X15" i="18"/>
  <c r="X58" i="18"/>
  <c r="X63" i="18"/>
  <c r="L95" i="23" s="1"/>
  <c r="X13" i="18"/>
  <c r="X43" i="18"/>
  <c r="N82" i="18"/>
  <c r="Q40" i="18"/>
  <c r="R40" i="18" s="1"/>
  <c r="L57" i="23"/>
  <c r="Q39" i="18"/>
  <c r="R39" i="18" s="1"/>
  <c r="AA28" i="18"/>
  <c r="F43" i="23" s="1"/>
  <c r="E43" i="23"/>
  <c r="K84" i="18"/>
  <c r="L84" i="18"/>
  <c r="M82" i="18"/>
  <c r="W40" i="18"/>
  <c r="AB40" i="18"/>
  <c r="M66" i="18"/>
  <c r="M70" i="18" s="1"/>
  <c r="AB28" i="18"/>
  <c r="W28" i="18"/>
  <c r="AC28" i="18"/>
  <c r="AC40" i="18"/>
  <c r="W39" i="18"/>
  <c r="AB39" i="18"/>
  <c r="AG20" i="18" l="1"/>
  <c r="F19" i="23"/>
  <c r="L61" i="23"/>
  <c r="L21" i="23"/>
  <c r="L96" i="23"/>
  <c r="L56" i="23"/>
  <c r="L31" i="23"/>
  <c r="L24" i="23"/>
  <c r="L48" i="23"/>
  <c r="L62" i="23"/>
  <c r="F65" i="23"/>
  <c r="L32" i="23"/>
  <c r="AG19" i="18"/>
  <c r="L25" i="23"/>
  <c r="AG24" i="18"/>
  <c r="L28" i="23"/>
  <c r="AG23" i="18"/>
  <c r="L88" i="23"/>
  <c r="L38" i="23"/>
  <c r="L27" i="23"/>
  <c r="L87" i="23"/>
  <c r="L11" i="23"/>
  <c r="L51" i="23"/>
  <c r="K86" i="18"/>
  <c r="L84" i="23"/>
  <c r="F69" i="23"/>
  <c r="L76" i="23"/>
  <c r="L75" i="23"/>
  <c r="L39" i="23"/>
  <c r="L82" i="23"/>
  <c r="L34" i="23"/>
  <c r="L83" i="23"/>
  <c r="L81" i="23"/>
  <c r="L33" i="23"/>
  <c r="L41" i="23"/>
  <c r="L35" i="23"/>
  <c r="L60" i="23"/>
  <c r="L53" i="23"/>
  <c r="L19" i="23"/>
  <c r="L66" i="23"/>
  <c r="L69" i="23"/>
  <c r="L14" i="23"/>
  <c r="L50" i="23"/>
  <c r="L15" i="23"/>
  <c r="L70" i="23"/>
  <c r="L49" i="23"/>
  <c r="L93" i="23"/>
  <c r="L26" i="23"/>
  <c r="L71" i="23"/>
  <c r="L47" i="23"/>
  <c r="L65" i="23"/>
  <c r="L94" i="23"/>
  <c r="L89" i="23"/>
  <c r="L78" i="23"/>
  <c r="L46" i="23"/>
  <c r="L90" i="23"/>
  <c r="L74" i="23"/>
  <c r="L40" i="23"/>
  <c r="X66" i="18"/>
  <c r="X70" i="18" s="1"/>
  <c r="S40" i="18"/>
  <c r="S39" i="18"/>
  <c r="M84" i="18"/>
  <c r="L98" i="23" l="1"/>
  <c r="L101" i="23" s="1"/>
  <c r="I40" i="18" l="1"/>
  <c r="I26" i="18"/>
  <c r="I28" i="18"/>
  <c r="I12" i="18"/>
  <c r="I38" i="18"/>
  <c r="I47" i="18"/>
  <c r="I25" i="18"/>
  <c r="I22" i="18"/>
  <c r="I56" i="18"/>
  <c r="I51" i="18"/>
  <c r="I16" i="18"/>
  <c r="I55" i="18"/>
  <c r="I52" i="18"/>
  <c r="I36" i="18"/>
  <c r="I19" i="18"/>
  <c r="I43" i="18"/>
  <c r="I21" i="18"/>
  <c r="I44" i="18"/>
  <c r="I14" i="18"/>
  <c r="I61" i="18"/>
  <c r="I62" i="18"/>
  <c r="I59" i="18"/>
  <c r="I57" i="18"/>
  <c r="I42" i="18"/>
  <c r="I41" i="18"/>
  <c r="I64" i="18"/>
  <c r="I31" i="18"/>
  <c r="I50" i="18"/>
  <c r="I37" i="18"/>
  <c r="I35" i="18"/>
  <c r="I32" i="18"/>
  <c r="I13" i="18"/>
  <c r="I48" i="18"/>
  <c r="I27" i="18"/>
  <c r="I24" i="18"/>
  <c r="I17" i="18"/>
  <c r="I34" i="18"/>
  <c r="I63" i="18"/>
  <c r="I46" i="18"/>
  <c r="I49" i="18"/>
  <c r="C74" i="23" s="1"/>
  <c r="I20" i="18"/>
  <c r="I29" i="18"/>
  <c r="I18" i="18"/>
  <c r="I39" i="18"/>
  <c r="I58" i="18"/>
  <c r="I33" i="18"/>
  <c r="I54" i="18"/>
  <c r="I30" i="18"/>
  <c r="I45" i="18"/>
  <c r="I60" i="18"/>
  <c r="I15" i="18"/>
  <c r="I53" i="18"/>
  <c r="I23" i="18"/>
  <c r="C53" i="23" l="1"/>
  <c r="C69" i="23"/>
  <c r="C39" i="23"/>
  <c r="C90" i="23"/>
  <c r="C28" i="23"/>
  <c r="C40" i="23"/>
  <c r="C35" i="23"/>
  <c r="C25" i="23"/>
  <c r="C60" i="23"/>
  <c r="C95" i="23"/>
  <c r="C87" i="23"/>
  <c r="C65" i="23"/>
  <c r="C49" i="23"/>
  <c r="C84" i="23"/>
  <c r="C82" i="23"/>
  <c r="C94" i="23"/>
  <c r="C34" i="23"/>
  <c r="C81" i="23"/>
  <c r="C78" i="23"/>
  <c r="C51" i="23"/>
  <c r="C57" i="23"/>
  <c r="C88" i="23"/>
  <c r="C33" i="23"/>
  <c r="C46" i="23"/>
  <c r="C19" i="23"/>
  <c r="C71" i="23"/>
  <c r="C76" i="23"/>
  <c r="C62" i="23"/>
  <c r="C93" i="23"/>
  <c r="C61" i="23"/>
  <c r="C83" i="23"/>
  <c r="C24" i="23"/>
  <c r="C38" i="23"/>
  <c r="C47" i="23"/>
  <c r="C14" i="23"/>
  <c r="C41" i="23"/>
  <c r="C15" i="23"/>
  <c r="C32" i="23"/>
  <c r="C21" i="23"/>
  <c r="C26" i="23"/>
  <c r="C43" i="23"/>
  <c r="C50" i="23"/>
  <c r="C66" i="23"/>
  <c r="C56" i="23"/>
  <c r="C31" i="23"/>
  <c r="C48" i="23"/>
  <c r="C96" i="23"/>
  <c r="C89" i="23"/>
  <c r="C75" i="23"/>
  <c r="C70" i="23"/>
  <c r="C27" i="23"/>
  <c r="C11" i="23"/>
  <c r="I66" i="18"/>
  <c r="I70" i="18" s="1"/>
  <c r="AD42" i="18"/>
  <c r="C98" i="23" l="1"/>
  <c r="C101" i="23" s="1"/>
  <c r="AE42" i="18"/>
  <c r="AF42" i="18" l="1"/>
  <c r="AD27" i="18"/>
  <c r="AD29" i="18"/>
  <c r="AD30" i="18"/>
  <c r="P18" i="18" l="1"/>
  <c r="Q18" i="18" s="1"/>
  <c r="S18" i="18" s="1"/>
  <c r="AI18" i="18"/>
  <c r="AK18" i="18" s="1"/>
  <c r="AE29" i="18"/>
  <c r="AE27" i="18"/>
  <c r="AE30" i="18"/>
  <c r="P23" i="18"/>
  <c r="Q23" i="18" s="1"/>
  <c r="AG42" i="18"/>
  <c r="P42" i="18"/>
  <c r="Q42" i="18" s="1"/>
  <c r="AL18" i="18" l="1"/>
  <c r="AM18" i="18" s="1"/>
  <c r="AN18" i="18" s="1"/>
  <c r="R18" i="18"/>
  <c r="AI23" i="18"/>
  <c r="AK23" i="18" s="1"/>
  <c r="AI42" i="18"/>
  <c r="AF29" i="18"/>
  <c r="AG29" i="18" s="1"/>
  <c r="AF27" i="18"/>
  <c r="AH27" i="18" s="1"/>
  <c r="AF30" i="18"/>
  <c r="R42" i="18"/>
  <c r="S42" i="18"/>
  <c r="R23" i="18"/>
  <c r="S23" i="18"/>
  <c r="AD35" i="18"/>
  <c r="AD32" i="18"/>
  <c r="AD34" i="18"/>
  <c r="AL23" i="18" l="1"/>
  <c r="AM23" i="18" s="1"/>
  <c r="AN23" i="18" s="1"/>
  <c r="AO18" i="18"/>
  <c r="AK42" i="18"/>
  <c r="P29" i="18"/>
  <c r="Q29" i="18" s="1"/>
  <c r="R29" i="18" s="1"/>
  <c r="AH29" i="18"/>
  <c r="AI29" i="18" s="1"/>
  <c r="AK29" i="18" s="1"/>
  <c r="AG27" i="18"/>
  <c r="AI27" i="18" s="1"/>
  <c r="AK27" i="18" s="1"/>
  <c r="P27" i="18"/>
  <c r="Q27" i="18" s="1"/>
  <c r="R27" i="18" s="1"/>
  <c r="AM42" i="18"/>
  <c r="AG30" i="18"/>
  <c r="P30" i="18"/>
  <c r="Q30" i="18" s="1"/>
  <c r="AH30" i="18"/>
  <c r="AE35" i="18"/>
  <c r="AE34" i="18"/>
  <c r="AE32" i="18"/>
  <c r="AO23" i="18" l="1"/>
  <c r="S29" i="18"/>
  <c r="AL29" i="18"/>
  <c r="AM29" i="18" s="1"/>
  <c r="S27" i="18"/>
  <c r="AF34" i="18"/>
  <c r="AH34" i="18" s="1"/>
  <c r="AF35" i="18"/>
  <c r="P35" i="18" s="1"/>
  <c r="Q35" i="18" s="1"/>
  <c r="S30" i="18"/>
  <c r="R30" i="18"/>
  <c r="AL27" i="18"/>
  <c r="AD17" i="18"/>
  <c r="AN42" i="18"/>
  <c r="AI30" i="18"/>
  <c r="AK30" i="18" s="1"/>
  <c r="AF32" i="18"/>
  <c r="AG35" i="18" l="1"/>
  <c r="AH35" i="18"/>
  <c r="P34" i="18"/>
  <c r="Q34" i="18" s="1"/>
  <c r="R34" i="18" s="1"/>
  <c r="AG34" i="18"/>
  <c r="AI34" i="18" s="1"/>
  <c r="AK34" i="18" s="1"/>
  <c r="R35" i="18"/>
  <c r="S35" i="18"/>
  <c r="AG32" i="18"/>
  <c r="AH32" i="18"/>
  <c r="P32" i="18"/>
  <c r="Q32" i="18" s="1"/>
  <c r="AE17" i="18"/>
  <c r="AD37" i="18"/>
  <c r="H28" i="23" s="1"/>
  <c r="AD36" i="18"/>
  <c r="AO42" i="18"/>
  <c r="H32" i="23"/>
  <c r="AN29" i="18"/>
  <c r="AL30" i="18"/>
  <c r="H33" i="23"/>
  <c r="AM27" i="18"/>
  <c r="I32" i="23" l="1"/>
  <c r="J32" i="23" s="1"/>
  <c r="M32" i="23" s="1"/>
  <c r="I33" i="23"/>
  <c r="J33" i="23" s="1"/>
  <c r="M33" i="23" s="1"/>
  <c r="AI35" i="18"/>
  <c r="AK35" i="18" s="1"/>
  <c r="P19" i="18"/>
  <c r="Q19" i="18" s="1"/>
  <c r="S34" i="18"/>
  <c r="AI32" i="18"/>
  <c r="AK32" i="18" s="1"/>
  <c r="AF17" i="18"/>
  <c r="AH17" i="18" s="1"/>
  <c r="AL34" i="18"/>
  <c r="AO29" i="18"/>
  <c r="AE37" i="18"/>
  <c r="I28" i="23" s="1"/>
  <c r="J28" i="23" s="1"/>
  <c r="M28" i="23" s="1"/>
  <c r="AE36" i="18"/>
  <c r="AN27" i="18"/>
  <c r="AM30" i="18"/>
  <c r="R32" i="18"/>
  <c r="S32" i="18"/>
  <c r="AL32" i="18" l="1"/>
  <c r="AL35" i="18"/>
  <c r="AF36" i="18"/>
  <c r="AH36" i="18" s="1"/>
  <c r="AH19" i="18"/>
  <c r="P20" i="18"/>
  <c r="Q20" i="18" s="1"/>
  <c r="S20" i="18" s="1"/>
  <c r="AH20" i="18"/>
  <c r="AI20" i="18" s="1"/>
  <c r="AK20" i="18" s="1"/>
  <c r="P17" i="18"/>
  <c r="Q17" i="18" s="1"/>
  <c r="R17" i="18" s="1"/>
  <c r="AG17" i="18"/>
  <c r="AI17" i="18" s="1"/>
  <c r="AK17" i="18" s="1"/>
  <c r="AL17" i="18" s="1"/>
  <c r="AF37" i="18"/>
  <c r="P37" i="18" s="1"/>
  <c r="Q37" i="18" s="1"/>
  <c r="AN30" i="18"/>
  <c r="AM34" i="18"/>
  <c r="AD55" i="18"/>
  <c r="AD53" i="18"/>
  <c r="AD52" i="18"/>
  <c r="AO27" i="18"/>
  <c r="S19" i="18"/>
  <c r="R19" i="18"/>
  <c r="AM17" i="18" l="1"/>
  <c r="AN17" i="18" s="1"/>
  <c r="AM32" i="18"/>
  <c r="R20" i="18"/>
  <c r="AI19" i="18"/>
  <c r="AK19" i="18" s="1"/>
  <c r="O33" i="23" s="1"/>
  <c r="P36" i="18"/>
  <c r="Q36" i="18" s="1"/>
  <c r="R36" i="18" s="1"/>
  <c r="AG36" i="18"/>
  <c r="AI36" i="18" s="1"/>
  <c r="AK36" i="18" s="1"/>
  <c r="AM35" i="18"/>
  <c r="S17" i="18"/>
  <c r="AL20" i="18"/>
  <c r="AG37" i="18"/>
  <c r="AH37" i="18"/>
  <c r="AO30" i="18"/>
  <c r="AE52" i="18"/>
  <c r="AD50" i="18"/>
  <c r="AD16" i="18"/>
  <c r="AE53" i="18"/>
  <c r="AE55" i="18"/>
  <c r="AD51" i="18"/>
  <c r="AD49" i="18"/>
  <c r="AE54" i="18"/>
  <c r="AN34" i="18"/>
  <c r="S37" i="18"/>
  <c r="R37" i="18"/>
  <c r="AN32" i="18" l="1"/>
  <c r="AO32" i="18" s="1"/>
  <c r="O32" i="23"/>
  <c r="AO17" i="18"/>
  <c r="AL19" i="18"/>
  <c r="AM19" i="18" s="1"/>
  <c r="AN19" i="18" s="1"/>
  <c r="AM20" i="18"/>
  <c r="S36" i="18"/>
  <c r="AN35" i="18"/>
  <c r="AI37" i="18"/>
  <c r="AK37" i="18" s="1"/>
  <c r="O28" i="23" s="1"/>
  <c r="AF52" i="18"/>
  <c r="AG52" i="18" s="1"/>
  <c r="AO34" i="18"/>
  <c r="AE49" i="18"/>
  <c r="AE16" i="18"/>
  <c r="AE50" i="18"/>
  <c r="AE51" i="18"/>
  <c r="AD56" i="18"/>
  <c r="AL36" i="18"/>
  <c r="AF53" i="18"/>
  <c r="AF54" i="18"/>
  <c r="AF55" i="18"/>
  <c r="H21" i="23"/>
  <c r="P33" i="23" l="1"/>
  <c r="AN20" i="18"/>
  <c r="AO20" i="18" s="1"/>
  <c r="P32" i="23"/>
  <c r="AO19" i="18"/>
  <c r="Q33" i="23"/>
  <c r="I21" i="23"/>
  <c r="J21" i="23" s="1"/>
  <c r="M21" i="23" s="1"/>
  <c r="R32" i="23"/>
  <c r="AO35" i="18"/>
  <c r="AL37" i="18"/>
  <c r="P52" i="18"/>
  <c r="Q52" i="18" s="1"/>
  <c r="R52" i="18" s="1"/>
  <c r="AH52" i="18"/>
  <c r="AI52" i="18" s="1"/>
  <c r="AK52" i="18" s="1"/>
  <c r="AF51" i="18"/>
  <c r="AG51" i="18" s="1"/>
  <c r="AF16" i="18"/>
  <c r="AG16" i="18" s="1"/>
  <c r="AF50" i="18"/>
  <c r="AH50" i="18" s="1"/>
  <c r="AG53" i="18"/>
  <c r="AH53" i="18"/>
  <c r="P53" i="18"/>
  <c r="Q53" i="18" s="1"/>
  <c r="AM36" i="18"/>
  <c r="AH55" i="18"/>
  <c r="P55" i="18"/>
  <c r="Q55" i="18" s="1"/>
  <c r="AG55" i="18"/>
  <c r="AF49" i="18"/>
  <c r="P54" i="18"/>
  <c r="Q54" i="18" s="1"/>
  <c r="AG54" i="18"/>
  <c r="AH54" i="18"/>
  <c r="AE56" i="18"/>
  <c r="AM37" i="18" l="1"/>
  <c r="Q28" i="23" s="1"/>
  <c r="P28" i="23"/>
  <c r="R33" i="23"/>
  <c r="S33" i="23" s="1"/>
  <c r="T33" i="23" s="1"/>
  <c r="Q32" i="23"/>
  <c r="S32" i="23" s="1"/>
  <c r="T32" i="23" s="1"/>
  <c r="S52" i="18"/>
  <c r="P51" i="18"/>
  <c r="Q51" i="18" s="1"/>
  <c r="S51" i="18" s="1"/>
  <c r="AH51" i="18"/>
  <c r="AI51" i="18" s="1"/>
  <c r="AK51" i="18" s="1"/>
  <c r="P50" i="18"/>
  <c r="Q50" i="18" s="1"/>
  <c r="R50" i="18" s="1"/>
  <c r="AH16" i="18"/>
  <c r="AI16" i="18" s="1"/>
  <c r="AK16" i="18" s="1"/>
  <c r="P16" i="18"/>
  <c r="Q16" i="18" s="1"/>
  <c r="S16" i="18" s="1"/>
  <c r="AG50" i="18"/>
  <c r="AI50" i="18" s="1"/>
  <c r="AK50" i="18" s="1"/>
  <c r="AN36" i="18"/>
  <c r="AL52" i="18"/>
  <c r="S54" i="18"/>
  <c r="R54" i="18"/>
  <c r="AI55" i="18"/>
  <c r="AK55" i="18" s="1"/>
  <c r="S53" i="18"/>
  <c r="R53" i="18"/>
  <c r="P49" i="18"/>
  <c r="Q49" i="18" s="1"/>
  <c r="AG49" i="18"/>
  <c r="AH49" i="18"/>
  <c r="S55" i="18"/>
  <c r="R55" i="18"/>
  <c r="AI53" i="18"/>
  <c r="AK53" i="18" s="1"/>
  <c r="AF56" i="18"/>
  <c r="AD48" i="18"/>
  <c r="AI54" i="18"/>
  <c r="AK54" i="18" s="1"/>
  <c r="AN37" i="18" l="1"/>
  <c r="AO37" i="18" s="1"/>
  <c r="S50" i="18"/>
  <c r="R51" i="18"/>
  <c r="R16" i="18"/>
  <c r="AO36" i="18"/>
  <c r="AL55" i="18"/>
  <c r="AL51" i="18"/>
  <c r="AL54" i="18"/>
  <c r="AH56" i="18"/>
  <c r="AG56" i="18"/>
  <c r="P56" i="18"/>
  <c r="Q56" i="18" s="1"/>
  <c r="AI49" i="18"/>
  <c r="AK49" i="18" s="1"/>
  <c r="AL50" i="18"/>
  <c r="AL53" i="18"/>
  <c r="R49" i="18"/>
  <c r="S49" i="18"/>
  <c r="AD46" i="18"/>
  <c r="AD25" i="18"/>
  <c r="AD22" i="18"/>
  <c r="AD47" i="18"/>
  <c r="H38" i="23" s="1"/>
  <c r="AE48" i="18"/>
  <c r="AL16" i="18"/>
  <c r="AM52" i="18"/>
  <c r="R28" i="23" l="1"/>
  <c r="S28" i="23" s="1"/>
  <c r="T28" i="23" s="1"/>
  <c r="AF48" i="18"/>
  <c r="AH48" i="18" s="1"/>
  <c r="AN52" i="18"/>
  <c r="H24" i="23"/>
  <c r="AM53" i="18"/>
  <c r="AM51" i="18"/>
  <c r="AM55" i="18"/>
  <c r="AM16" i="18"/>
  <c r="H26" i="23"/>
  <c r="AM50" i="18"/>
  <c r="AL49" i="18"/>
  <c r="AI56" i="18"/>
  <c r="AK56" i="18" s="1"/>
  <c r="O21" i="23" s="1"/>
  <c r="H25" i="23"/>
  <c r="AE47" i="18"/>
  <c r="I38" i="23" s="1"/>
  <c r="J38" i="23" s="1"/>
  <c r="M38" i="23" s="1"/>
  <c r="AE46" i="18"/>
  <c r="AE22" i="18"/>
  <c r="AE25" i="18"/>
  <c r="I26" i="23" s="1"/>
  <c r="R56" i="18"/>
  <c r="S56" i="18"/>
  <c r="AM54" i="18"/>
  <c r="I24" i="23" l="1"/>
  <c r="J24" i="23" s="1"/>
  <c r="M24" i="23" s="1"/>
  <c r="I25" i="23"/>
  <c r="J25" i="23" s="1"/>
  <c r="M25" i="23" s="1"/>
  <c r="AG48" i="18"/>
  <c r="AI48" i="18" s="1"/>
  <c r="AK48" i="18" s="1"/>
  <c r="P48" i="18"/>
  <c r="Q48" i="18" s="1"/>
  <c r="S48" i="18" s="1"/>
  <c r="J26" i="23"/>
  <c r="M26" i="23" s="1"/>
  <c r="AF46" i="18"/>
  <c r="AG46" i="18" s="1"/>
  <c r="AF25" i="18"/>
  <c r="AG25" i="18" s="1"/>
  <c r="AN51" i="18"/>
  <c r="AN54" i="18"/>
  <c r="AL56" i="18"/>
  <c r="P21" i="23" s="1"/>
  <c r="AN55" i="18"/>
  <c r="AN53" i="18"/>
  <c r="AD33" i="18"/>
  <c r="H35" i="23" s="1"/>
  <c r="AD31" i="18"/>
  <c r="AD38" i="18"/>
  <c r="AM49" i="18"/>
  <c r="AF47" i="18"/>
  <c r="AN50" i="18"/>
  <c r="AN16" i="18"/>
  <c r="AF22" i="18"/>
  <c r="AO52" i="18"/>
  <c r="AH25" i="18" l="1"/>
  <c r="P24" i="18"/>
  <c r="Q24" i="18" s="1"/>
  <c r="R24" i="18" s="1"/>
  <c r="R48" i="18"/>
  <c r="P46" i="18"/>
  <c r="Q46" i="18" s="1"/>
  <c r="R46" i="18" s="1"/>
  <c r="AH24" i="18"/>
  <c r="AH46" i="18"/>
  <c r="AI46" i="18" s="1"/>
  <c r="AK46" i="18" s="1"/>
  <c r="P25" i="18"/>
  <c r="Q25" i="18" s="1"/>
  <c r="R25" i="18" s="1"/>
  <c r="AO55" i="18"/>
  <c r="AD15" i="18"/>
  <c r="AD12" i="18"/>
  <c r="AE31" i="18"/>
  <c r="AE33" i="18"/>
  <c r="I35" i="23" s="1"/>
  <c r="J35" i="23" s="1"/>
  <c r="M35" i="23" s="1"/>
  <c r="AE38" i="18"/>
  <c r="AD28" i="18"/>
  <c r="AN49" i="18"/>
  <c r="AO54" i="18"/>
  <c r="P47" i="18"/>
  <c r="Q47" i="18" s="1"/>
  <c r="AH47" i="18"/>
  <c r="AG47" i="18"/>
  <c r="P22" i="18"/>
  <c r="Q22" i="18" s="1"/>
  <c r="AG22" i="18"/>
  <c r="AH22" i="18"/>
  <c r="AM56" i="18"/>
  <c r="Q21" i="23" s="1"/>
  <c r="AO51" i="18"/>
  <c r="AO16" i="18"/>
  <c r="AO50" i="18"/>
  <c r="AO53" i="18"/>
  <c r="AL48" i="18"/>
  <c r="AI25" i="18" l="1"/>
  <c r="AK25" i="18" s="1"/>
  <c r="AL25" i="18" s="1"/>
  <c r="AI24" i="18"/>
  <c r="S24" i="18"/>
  <c r="S46" i="18"/>
  <c r="AF33" i="18"/>
  <c r="P33" i="18" s="1"/>
  <c r="Q33" i="18" s="1"/>
  <c r="S25" i="18"/>
  <c r="AF31" i="18"/>
  <c r="P31" i="18" s="1"/>
  <c r="Q31" i="18" s="1"/>
  <c r="AF38" i="18"/>
  <c r="AH38" i="18" s="1"/>
  <c r="AI47" i="18"/>
  <c r="AK47" i="18" s="1"/>
  <c r="AD57" i="18"/>
  <c r="AE15" i="18"/>
  <c r="AD59" i="18"/>
  <c r="H31" i="23" s="1"/>
  <c r="AD58" i="18"/>
  <c r="H71" i="23" s="1"/>
  <c r="AD60" i="18"/>
  <c r="H39" i="23" s="1"/>
  <c r="AE12" i="18"/>
  <c r="AF12" i="18" s="1"/>
  <c r="AE28" i="18"/>
  <c r="AI22" i="18"/>
  <c r="R47" i="18"/>
  <c r="S47" i="18"/>
  <c r="AO49" i="18"/>
  <c r="H11" i="23"/>
  <c r="AL46" i="18"/>
  <c r="AM48" i="18"/>
  <c r="AN56" i="18"/>
  <c r="R21" i="23" s="1"/>
  <c r="S21" i="23" s="1"/>
  <c r="T21" i="23" s="1"/>
  <c r="S22" i="18"/>
  <c r="R22" i="18"/>
  <c r="H43" i="23"/>
  <c r="H19" i="23"/>
  <c r="AL47" i="18" l="1"/>
  <c r="P38" i="23" s="1"/>
  <c r="O38" i="23"/>
  <c r="I19" i="23"/>
  <c r="J19" i="23" s="1"/>
  <c r="M19" i="23" s="1"/>
  <c r="H70" i="23"/>
  <c r="H69" i="23"/>
  <c r="AM25" i="18"/>
  <c r="AN25" i="18" s="1"/>
  <c r="P26" i="23"/>
  <c r="O26" i="23"/>
  <c r="AK24" i="18"/>
  <c r="AK22" i="18"/>
  <c r="I43" i="23"/>
  <c r="J43" i="23" s="1"/>
  <c r="AH33" i="18"/>
  <c r="AG33" i="18"/>
  <c r="P38" i="18"/>
  <c r="Q38" i="18" s="1"/>
  <c r="R38" i="18" s="1"/>
  <c r="AG38" i="18"/>
  <c r="AI38" i="18" s="1"/>
  <c r="AK38" i="18" s="1"/>
  <c r="AH31" i="18"/>
  <c r="AG31" i="18"/>
  <c r="AF28" i="18"/>
  <c r="P28" i="18" s="1"/>
  <c r="Q28" i="18" s="1"/>
  <c r="AN48" i="18"/>
  <c r="R33" i="18"/>
  <c r="S33" i="18"/>
  <c r="AF15" i="18"/>
  <c r="AM46" i="18"/>
  <c r="S31" i="18"/>
  <c r="R31" i="18"/>
  <c r="AE60" i="18"/>
  <c r="I39" i="23" s="1"/>
  <c r="J39" i="23" s="1"/>
  <c r="M39" i="23" s="1"/>
  <c r="AE57" i="18"/>
  <c r="AE58" i="18"/>
  <c r="I69" i="23" s="1"/>
  <c r="AE59" i="18"/>
  <c r="I31" i="23" s="1"/>
  <c r="J31" i="23" s="1"/>
  <c r="M31" i="23" s="1"/>
  <c r="AH12" i="18"/>
  <c r="P12" i="18"/>
  <c r="AG12" i="18"/>
  <c r="AO56" i="18"/>
  <c r="I11" i="23"/>
  <c r="J11" i="23" l="1"/>
  <c r="AM47" i="18"/>
  <c r="Q38" i="23" s="1"/>
  <c r="J69" i="23"/>
  <c r="M69" i="23" s="1"/>
  <c r="O24" i="23"/>
  <c r="AO25" i="18"/>
  <c r="AL22" i="18"/>
  <c r="AL24" i="18"/>
  <c r="O25" i="23"/>
  <c r="I71" i="23"/>
  <c r="J71" i="23" s="1"/>
  <c r="M71" i="23" s="1"/>
  <c r="I70" i="23"/>
  <c r="J70" i="23" s="1"/>
  <c r="M70" i="23" s="1"/>
  <c r="Q26" i="23"/>
  <c r="AI33" i="18"/>
  <c r="AK33" i="18" s="1"/>
  <c r="O35" i="23" s="1"/>
  <c r="S38" i="18"/>
  <c r="AI31" i="18"/>
  <c r="AK31" i="18" s="1"/>
  <c r="AL31" i="18" s="1"/>
  <c r="AO48" i="18"/>
  <c r="AH28" i="18"/>
  <c r="AG28" i="18"/>
  <c r="AF58" i="18"/>
  <c r="P58" i="18" s="1"/>
  <c r="Q58" i="18" s="1"/>
  <c r="AL38" i="18"/>
  <c r="Q12" i="18"/>
  <c r="AD62" i="18"/>
  <c r="H40" i="23" s="1"/>
  <c r="AD63" i="18"/>
  <c r="H41" i="23" s="1"/>
  <c r="M43" i="23"/>
  <c r="AF57" i="18"/>
  <c r="AG15" i="18"/>
  <c r="AH15" i="18"/>
  <c r="P15" i="18"/>
  <c r="Q15" i="18" s="1"/>
  <c r="R28" i="18"/>
  <c r="S28" i="18"/>
  <c r="AF59" i="18"/>
  <c r="AN46" i="18"/>
  <c r="AN47" i="18"/>
  <c r="R38" i="23" s="1"/>
  <c r="AI12" i="18"/>
  <c r="P24" i="23"/>
  <c r="R26" i="23"/>
  <c r="AF60" i="18"/>
  <c r="M11" i="23" l="1"/>
  <c r="S38" i="23"/>
  <c r="T38" i="23" s="1"/>
  <c r="H74" i="23"/>
  <c r="H76" i="23"/>
  <c r="AM22" i="18"/>
  <c r="Q24" i="23" s="1"/>
  <c r="AM24" i="18"/>
  <c r="P25" i="23"/>
  <c r="S26" i="23"/>
  <c r="T26" i="23" s="1"/>
  <c r="AL33" i="18"/>
  <c r="P35" i="23" s="1"/>
  <c r="AH58" i="18"/>
  <c r="AI28" i="18"/>
  <c r="AK28" i="18" s="1"/>
  <c r="AO46" i="18"/>
  <c r="AG58" i="18"/>
  <c r="AG59" i="18"/>
  <c r="P59" i="18"/>
  <c r="Q59" i="18" s="1"/>
  <c r="AH59" i="18"/>
  <c r="AE63" i="18"/>
  <c r="AE62" i="18"/>
  <c r="AM38" i="18"/>
  <c r="AK12" i="18"/>
  <c r="O62" i="23" s="1"/>
  <c r="AI15" i="18"/>
  <c r="AK15" i="18" s="1"/>
  <c r="P60" i="18"/>
  <c r="Q60" i="18" s="1"/>
  <c r="AH60" i="18"/>
  <c r="AG60" i="18"/>
  <c r="AM31" i="18"/>
  <c r="AO47" i="18"/>
  <c r="AG57" i="18"/>
  <c r="AH57" i="18"/>
  <c r="P57" i="18"/>
  <c r="Q57" i="18" s="1"/>
  <c r="S12" i="18"/>
  <c r="R12" i="18"/>
  <c r="S15" i="18"/>
  <c r="R15" i="18"/>
  <c r="R58" i="18"/>
  <c r="S58" i="18"/>
  <c r="I76" i="23" l="1"/>
  <c r="J76" i="23" s="1"/>
  <c r="M76" i="23" s="1"/>
  <c r="I41" i="23"/>
  <c r="J41" i="23" s="1"/>
  <c r="M41" i="23" s="1"/>
  <c r="I74" i="23"/>
  <c r="J74" i="23" s="1"/>
  <c r="M74" i="23" s="1"/>
  <c r="I40" i="23"/>
  <c r="J40" i="23" s="1"/>
  <c r="M40" i="23" s="1"/>
  <c r="AN22" i="18"/>
  <c r="R24" i="23" s="1"/>
  <c r="S24" i="23" s="1"/>
  <c r="T24" i="23" s="1"/>
  <c r="AN24" i="18"/>
  <c r="Q25" i="23"/>
  <c r="AM33" i="18"/>
  <c r="Q35" i="23" s="1"/>
  <c r="AL28" i="18"/>
  <c r="AI58" i="18"/>
  <c r="AK58" i="18" s="1"/>
  <c r="O69" i="23" s="1"/>
  <c r="AF63" i="18"/>
  <c r="AG63" i="18" s="1"/>
  <c r="O43" i="23"/>
  <c r="AI60" i="18"/>
  <c r="AK60" i="18" s="1"/>
  <c r="O39" i="23" s="1"/>
  <c r="AF62" i="18"/>
  <c r="AH62" i="18" s="1"/>
  <c r="AI59" i="18"/>
  <c r="AK59" i="18" s="1"/>
  <c r="O31" i="23" s="1"/>
  <c r="AI57" i="18"/>
  <c r="AK57" i="18" s="1"/>
  <c r="O70" i="23" s="1"/>
  <c r="S59" i="18"/>
  <c r="R59" i="18"/>
  <c r="AN38" i="18"/>
  <c r="AD64" i="18"/>
  <c r="H46" i="23" s="1"/>
  <c r="AD61" i="18"/>
  <c r="O19" i="23"/>
  <c r="AL15" i="18"/>
  <c r="S57" i="18"/>
  <c r="R57" i="18"/>
  <c r="AN31" i="18"/>
  <c r="R60" i="18"/>
  <c r="S60" i="18"/>
  <c r="O11" i="23"/>
  <c r="AL12" i="18"/>
  <c r="H75" i="23" l="1"/>
  <c r="H81" i="23"/>
  <c r="AO22" i="18"/>
  <c r="R25" i="23"/>
  <c r="S25" i="23" s="1"/>
  <c r="T25" i="23" s="1"/>
  <c r="AO24" i="18"/>
  <c r="AN33" i="18"/>
  <c r="R35" i="23" s="1"/>
  <c r="S35" i="23" s="1"/>
  <c r="T35" i="23" s="1"/>
  <c r="P43" i="23"/>
  <c r="AH63" i="18"/>
  <c r="AI63" i="18" s="1"/>
  <c r="AK63" i="18" s="1"/>
  <c r="AM28" i="18"/>
  <c r="AL60" i="18"/>
  <c r="P39" i="23" s="1"/>
  <c r="O74" i="23"/>
  <c r="AL58" i="18"/>
  <c r="P69" i="23" s="1"/>
  <c r="O71" i="23"/>
  <c r="P63" i="18"/>
  <c r="Q63" i="18" s="1"/>
  <c r="S63" i="18" s="1"/>
  <c r="P62" i="18"/>
  <c r="Q62" i="18" s="1"/>
  <c r="S62" i="18" s="1"/>
  <c r="AG62" i="18"/>
  <c r="AI62" i="18" s="1"/>
  <c r="AK62" i="18" s="1"/>
  <c r="O40" i="23" s="1"/>
  <c r="AL59" i="18"/>
  <c r="P31" i="23" s="1"/>
  <c r="AM15" i="18"/>
  <c r="P19" i="23"/>
  <c r="AE64" i="18"/>
  <c r="AE61" i="18"/>
  <c r="I75" i="23" s="1"/>
  <c r="AO38" i="18"/>
  <c r="AM12" i="18"/>
  <c r="P11" i="23"/>
  <c r="AO31" i="18"/>
  <c r="AL57" i="18"/>
  <c r="P70" i="23" s="1"/>
  <c r="J75" i="23" l="1"/>
  <c r="M75" i="23" s="1"/>
  <c r="I81" i="23"/>
  <c r="J81" i="23" s="1"/>
  <c r="M81" i="23" s="1"/>
  <c r="I46" i="23"/>
  <c r="J46" i="23" s="1"/>
  <c r="M46" i="23" s="1"/>
  <c r="O76" i="23"/>
  <c r="O41" i="23"/>
  <c r="AO33" i="18"/>
  <c r="Q43" i="23"/>
  <c r="AM60" i="18"/>
  <c r="Q39" i="23" s="1"/>
  <c r="AN28" i="18"/>
  <c r="R43" i="23" s="1"/>
  <c r="AM58" i="18"/>
  <c r="Q69" i="23" s="1"/>
  <c r="P71" i="23"/>
  <c r="R63" i="18"/>
  <c r="R62" i="18"/>
  <c r="AF64" i="18"/>
  <c r="AH64" i="18" s="1"/>
  <c r="AM59" i="18"/>
  <c r="Q31" i="23" s="1"/>
  <c r="AN12" i="18"/>
  <c r="AO12" i="18" s="1"/>
  <c r="Q11" i="23"/>
  <c r="AL63" i="18"/>
  <c r="O95" i="23"/>
  <c r="AD14" i="18"/>
  <c r="H47" i="23" s="1"/>
  <c r="AD13" i="18"/>
  <c r="H53" i="23" s="1"/>
  <c r="AM57" i="18"/>
  <c r="Q70" i="23" s="1"/>
  <c r="AF61" i="18"/>
  <c r="AL62" i="18"/>
  <c r="AN15" i="18"/>
  <c r="Q19" i="23"/>
  <c r="P76" i="23" l="1"/>
  <c r="P41" i="23"/>
  <c r="R19" i="23"/>
  <c r="S19" i="23" s="1"/>
  <c r="T19" i="23" s="1"/>
  <c r="P74" i="23"/>
  <c r="P40" i="23"/>
  <c r="H84" i="23"/>
  <c r="H82" i="23"/>
  <c r="AN60" i="18"/>
  <c r="S43" i="23"/>
  <c r="T43" i="23" s="1"/>
  <c r="AO28" i="18"/>
  <c r="AN59" i="18"/>
  <c r="R31" i="23" s="1"/>
  <c r="S31" i="23" s="1"/>
  <c r="T31" i="23" s="1"/>
  <c r="Q71" i="23"/>
  <c r="AN58" i="18"/>
  <c r="R69" i="23" s="1"/>
  <c r="S69" i="23" s="1"/>
  <c r="T69" i="23" s="1"/>
  <c r="AG64" i="18"/>
  <c r="AI64" i="18" s="1"/>
  <c r="AK64" i="18" s="1"/>
  <c r="O46" i="23" s="1"/>
  <c r="P64" i="18"/>
  <c r="Q64" i="18" s="1"/>
  <c r="R64" i="18" s="1"/>
  <c r="AH61" i="18"/>
  <c r="AG61" i="18"/>
  <c r="P61" i="18"/>
  <c r="Q61" i="18" s="1"/>
  <c r="R11" i="23"/>
  <c r="H14" i="23"/>
  <c r="H15" i="23"/>
  <c r="AM62" i="18"/>
  <c r="Q40" i="23" s="1"/>
  <c r="AN57" i="18"/>
  <c r="AO15" i="18"/>
  <c r="AE14" i="18"/>
  <c r="AD45" i="18"/>
  <c r="H49" i="23" s="1"/>
  <c r="AE13" i="18"/>
  <c r="AD44" i="18"/>
  <c r="AM63" i="18"/>
  <c r="Q41" i="23" s="1"/>
  <c r="S11" i="23" l="1"/>
  <c r="T11" i="23" s="1"/>
  <c r="AO60" i="18"/>
  <c r="R39" i="23"/>
  <c r="S39" i="23" s="1"/>
  <c r="T39" i="23" s="1"/>
  <c r="I84" i="23"/>
  <c r="J84" i="23" s="1"/>
  <c r="M84" i="23" s="1"/>
  <c r="I53" i="23"/>
  <c r="J53" i="23" s="1"/>
  <c r="M53" i="23" s="1"/>
  <c r="I82" i="23"/>
  <c r="J82" i="23" s="1"/>
  <c r="M82" i="23" s="1"/>
  <c r="I47" i="23"/>
  <c r="J47" i="23" s="1"/>
  <c r="M47" i="23" s="1"/>
  <c r="H87" i="23"/>
  <c r="H48" i="23"/>
  <c r="H78" i="23"/>
  <c r="Q76" i="23"/>
  <c r="O81" i="23"/>
  <c r="Q74" i="23"/>
  <c r="H83" i="23"/>
  <c r="R70" i="23"/>
  <c r="S70" i="23" s="1"/>
  <c r="T70" i="23" s="1"/>
  <c r="I15" i="23"/>
  <c r="J15" i="23" s="1"/>
  <c r="M15" i="23" s="1"/>
  <c r="AF13" i="18"/>
  <c r="AG13" i="18" s="1"/>
  <c r="AO59" i="18"/>
  <c r="R71" i="23"/>
  <c r="S71" i="23" s="1"/>
  <c r="T71" i="23" s="1"/>
  <c r="AO58" i="18"/>
  <c r="S64" i="18"/>
  <c r="H66" i="23"/>
  <c r="AO57" i="18"/>
  <c r="AN62" i="18"/>
  <c r="O96" i="23"/>
  <c r="AL64" i="18"/>
  <c r="P46" i="23" s="1"/>
  <c r="H65" i="23"/>
  <c r="AI61" i="18"/>
  <c r="AK61" i="18" s="1"/>
  <c r="AN63" i="18"/>
  <c r="AE45" i="18"/>
  <c r="AE44" i="18"/>
  <c r="I14" i="23"/>
  <c r="AF14" i="18"/>
  <c r="S61" i="18"/>
  <c r="R61" i="18"/>
  <c r="J14" i="23" l="1"/>
  <c r="M14" i="23" s="1"/>
  <c r="I83" i="23"/>
  <c r="J83" i="23" s="1"/>
  <c r="M83" i="23" s="1"/>
  <c r="I48" i="23"/>
  <c r="J48" i="23" s="1"/>
  <c r="M48" i="23" s="1"/>
  <c r="R74" i="23"/>
  <c r="S74" i="23" s="1"/>
  <c r="T74" i="23" s="1"/>
  <c r="R40" i="23"/>
  <c r="S40" i="23" s="1"/>
  <c r="T40" i="23" s="1"/>
  <c r="I78" i="23"/>
  <c r="J78" i="23" s="1"/>
  <c r="M78" i="23" s="1"/>
  <c r="I49" i="23"/>
  <c r="J49" i="23" s="1"/>
  <c r="M49" i="23" s="1"/>
  <c r="R76" i="23"/>
  <c r="S76" i="23" s="1"/>
  <c r="T76" i="23" s="1"/>
  <c r="R41" i="23"/>
  <c r="S41" i="23" s="1"/>
  <c r="T41" i="23" s="1"/>
  <c r="P81" i="23"/>
  <c r="O75" i="23"/>
  <c r="AH13" i="18"/>
  <c r="AI13" i="18" s="1"/>
  <c r="P13" i="18"/>
  <c r="Q13" i="18" s="1"/>
  <c r="I65" i="23"/>
  <c r="J65" i="23" s="1"/>
  <c r="M65" i="23" s="1"/>
  <c r="I87" i="23"/>
  <c r="J87" i="23" s="1"/>
  <c r="M87" i="23" s="1"/>
  <c r="I66" i="23"/>
  <c r="J66" i="23" s="1"/>
  <c r="M66" i="23" s="1"/>
  <c r="AO63" i="18"/>
  <c r="AF44" i="18"/>
  <c r="P44" i="18" s="1"/>
  <c r="Q44" i="18" s="1"/>
  <c r="AO62" i="18"/>
  <c r="AL61" i="18"/>
  <c r="AM64" i="18"/>
  <c r="Q46" i="23" s="1"/>
  <c r="AF45" i="18"/>
  <c r="AD43" i="18"/>
  <c r="H94" i="23" s="1"/>
  <c r="AD26" i="18"/>
  <c r="AD41" i="18"/>
  <c r="H93" i="23" s="1"/>
  <c r="AD21" i="18"/>
  <c r="H50" i="23" s="1"/>
  <c r="AH14" i="18"/>
  <c r="P14" i="18"/>
  <c r="Q14" i="18" s="1"/>
  <c r="AG14" i="18"/>
  <c r="H90" i="23" l="1"/>
  <c r="H51" i="23"/>
  <c r="P75" i="23"/>
  <c r="H89" i="23"/>
  <c r="H88" i="23"/>
  <c r="Q81" i="23"/>
  <c r="AG44" i="18"/>
  <c r="AH44" i="18"/>
  <c r="H34" i="23"/>
  <c r="H61" i="23"/>
  <c r="AM61" i="18"/>
  <c r="AI14" i="18"/>
  <c r="AK14" i="18" s="1"/>
  <c r="O47" i="23" s="1"/>
  <c r="S13" i="18"/>
  <c r="R13" i="18"/>
  <c r="AE41" i="18"/>
  <c r="AE43" i="18"/>
  <c r="AE21" i="18"/>
  <c r="AE26" i="18"/>
  <c r="I51" i="23" s="1"/>
  <c r="AH45" i="18"/>
  <c r="P45" i="18"/>
  <c r="Q45" i="18" s="1"/>
  <c r="AG45" i="18"/>
  <c r="S44" i="18"/>
  <c r="R44" i="18"/>
  <c r="S14" i="18"/>
  <c r="R14" i="18"/>
  <c r="AK13" i="18"/>
  <c r="O53" i="23" s="1"/>
  <c r="H27" i="23"/>
  <c r="AN64" i="18"/>
  <c r="R46" i="23" s="1"/>
  <c r="S46" i="23" s="1"/>
  <c r="T46" i="23" s="1"/>
  <c r="I88" i="23" l="1"/>
  <c r="J88" i="23" s="1"/>
  <c r="M88" i="23" s="1"/>
  <c r="I50" i="23"/>
  <c r="J50" i="23" s="1"/>
  <c r="M50" i="23" s="1"/>
  <c r="J51" i="23"/>
  <c r="M51" i="23" s="1"/>
  <c r="O84" i="23"/>
  <c r="R81" i="23"/>
  <c r="S81" i="23" s="1"/>
  <c r="T81" i="23" s="1"/>
  <c r="O82" i="23"/>
  <c r="Q75" i="23"/>
  <c r="AI44" i="18"/>
  <c r="AK44" i="18" s="1"/>
  <c r="AF21" i="18"/>
  <c r="P21" i="18" s="1"/>
  <c r="I89" i="23"/>
  <c r="J89" i="23" s="1"/>
  <c r="M89" i="23" s="1"/>
  <c r="I61" i="23"/>
  <c r="J61" i="23" s="1"/>
  <c r="M61" i="23" s="1"/>
  <c r="I94" i="23"/>
  <c r="J94" i="23" s="1"/>
  <c r="M94" i="23" s="1"/>
  <c r="I27" i="23"/>
  <c r="I90" i="23"/>
  <c r="J90" i="23" s="1"/>
  <c r="M90" i="23" s="1"/>
  <c r="I93" i="23"/>
  <c r="J93" i="23" s="1"/>
  <c r="M93" i="23" s="1"/>
  <c r="O87" i="23"/>
  <c r="AF41" i="18"/>
  <c r="AH41" i="18" s="1"/>
  <c r="AF26" i="18"/>
  <c r="P26" i="18" s="1"/>
  <c r="Q26" i="18" s="1"/>
  <c r="O14" i="23"/>
  <c r="AL13" i="18"/>
  <c r="P53" i="23" s="1"/>
  <c r="AF43" i="18"/>
  <c r="AO64" i="18"/>
  <c r="AI45" i="18"/>
  <c r="AK45" i="18" s="1"/>
  <c r="AD40" i="18"/>
  <c r="AD39" i="18"/>
  <c r="S45" i="18"/>
  <c r="R45" i="18"/>
  <c r="I34" i="23"/>
  <c r="O15" i="23"/>
  <c r="AL14" i="18"/>
  <c r="P47" i="23" s="1"/>
  <c r="AN61" i="18"/>
  <c r="R75" i="23" s="1"/>
  <c r="J27" i="23" l="1"/>
  <c r="H96" i="23"/>
  <c r="H62" i="23"/>
  <c r="O78" i="23"/>
  <c r="O49" i="23"/>
  <c r="H95" i="23"/>
  <c r="H60" i="23"/>
  <c r="S75" i="23"/>
  <c r="T75" i="23" s="1"/>
  <c r="AL44" i="18"/>
  <c r="O48" i="23"/>
  <c r="P83" i="23"/>
  <c r="P84" i="23"/>
  <c r="P78" i="23"/>
  <c r="P82" i="23"/>
  <c r="O83" i="23"/>
  <c r="O65" i="23"/>
  <c r="AG21" i="18"/>
  <c r="AH21" i="18"/>
  <c r="P65" i="23"/>
  <c r="AG26" i="18"/>
  <c r="P41" i="18"/>
  <c r="Q41" i="18" s="1"/>
  <c r="S41" i="18" s="1"/>
  <c r="AG41" i="18"/>
  <c r="AI41" i="18" s="1"/>
  <c r="AK41" i="18" s="1"/>
  <c r="O93" i="23" s="1"/>
  <c r="AH26" i="18"/>
  <c r="AO61" i="18"/>
  <c r="H57" i="23"/>
  <c r="AE39" i="18"/>
  <c r="I60" i="23" s="1"/>
  <c r="AE40" i="18"/>
  <c r="I62" i="23" s="1"/>
  <c r="H56" i="23"/>
  <c r="AD66" i="18"/>
  <c r="AD70" i="18" s="1"/>
  <c r="O66" i="23"/>
  <c r="AL45" i="18"/>
  <c r="P49" i="23" s="1"/>
  <c r="S26" i="18"/>
  <c r="R26" i="18"/>
  <c r="AM13" i="18"/>
  <c r="Q53" i="23" s="1"/>
  <c r="P14" i="23"/>
  <c r="Q21" i="18"/>
  <c r="AM14" i="18"/>
  <c r="Q47" i="23" s="1"/>
  <c r="P15" i="23"/>
  <c r="J34" i="23"/>
  <c r="AG43" i="18"/>
  <c r="P43" i="18"/>
  <c r="Q43" i="18" s="1"/>
  <c r="AH43" i="18"/>
  <c r="H98" i="23" l="1"/>
  <c r="H101" i="23" s="1"/>
  <c r="J60" i="23"/>
  <c r="M60" i="23" s="1"/>
  <c r="J62" i="23"/>
  <c r="M62" i="23" s="1"/>
  <c r="M27" i="23"/>
  <c r="P87" i="23"/>
  <c r="P48" i="23"/>
  <c r="AM44" i="18"/>
  <c r="Q65" i="23" s="1"/>
  <c r="Q82" i="23"/>
  <c r="Q83" i="23"/>
  <c r="Q84" i="23"/>
  <c r="AI21" i="18"/>
  <c r="AK21" i="18" s="1"/>
  <c r="O50" i="23" s="1"/>
  <c r="R87" i="23"/>
  <c r="I57" i="23"/>
  <c r="J57" i="23" s="1"/>
  <c r="M57" i="23" s="1"/>
  <c r="I96" i="23"/>
  <c r="J96" i="23" s="1"/>
  <c r="M96" i="23" s="1"/>
  <c r="AF39" i="18"/>
  <c r="AG39" i="18" s="1"/>
  <c r="I95" i="23"/>
  <c r="J95" i="23" s="1"/>
  <c r="M95" i="23" s="1"/>
  <c r="AI26" i="18"/>
  <c r="AK26" i="18" s="1"/>
  <c r="O51" i="23" s="1"/>
  <c r="R41" i="18"/>
  <c r="AF40" i="18"/>
  <c r="AG40" i="18" s="1"/>
  <c r="P66" i="18"/>
  <c r="P70" i="18" s="1"/>
  <c r="M34" i="23"/>
  <c r="AN14" i="18"/>
  <c r="Q15" i="23"/>
  <c r="AN13" i="18"/>
  <c r="R53" i="23" s="1"/>
  <c r="S53" i="23" s="1"/>
  <c r="T53" i="23" s="1"/>
  <c r="Q14" i="23"/>
  <c r="R43" i="18"/>
  <c r="S43" i="18"/>
  <c r="O60" i="23"/>
  <c r="AL41" i="18"/>
  <c r="P93" i="23" s="1"/>
  <c r="AM45" i="18"/>
  <c r="Q49" i="23" s="1"/>
  <c r="P66" i="23"/>
  <c r="AI43" i="18"/>
  <c r="AK43" i="18" s="1"/>
  <c r="O94" i="23" s="1"/>
  <c r="R21" i="18"/>
  <c r="S21" i="18"/>
  <c r="Q66" i="18"/>
  <c r="Q70" i="18" s="1"/>
  <c r="I56" i="23"/>
  <c r="AE66" i="18"/>
  <c r="AE70" i="18" s="1"/>
  <c r="I98" i="23" l="1"/>
  <c r="I101" i="23" s="1"/>
  <c r="AN44" i="18"/>
  <c r="Q87" i="23"/>
  <c r="S87" i="23" s="1"/>
  <c r="T87" i="23" s="1"/>
  <c r="Q48" i="23"/>
  <c r="R82" i="23"/>
  <c r="S82" i="23" s="1"/>
  <c r="T82" i="23" s="1"/>
  <c r="R47" i="23"/>
  <c r="S47" i="23" s="1"/>
  <c r="T47" i="23" s="1"/>
  <c r="O89" i="23"/>
  <c r="O88" i="23"/>
  <c r="R83" i="23"/>
  <c r="S83" i="23" s="1"/>
  <c r="T83" i="23" s="1"/>
  <c r="R84" i="23"/>
  <c r="S84" i="23" s="1"/>
  <c r="T84" i="23" s="1"/>
  <c r="Q78" i="23"/>
  <c r="AL26" i="18"/>
  <c r="AH39" i="18"/>
  <c r="AI39" i="18" s="1"/>
  <c r="AM39" i="18" s="1"/>
  <c r="Q95" i="23" s="1"/>
  <c r="R15" i="23"/>
  <c r="S15" i="23" s="1"/>
  <c r="T15" i="23" s="1"/>
  <c r="R78" i="23"/>
  <c r="O27" i="23"/>
  <c r="O90" i="23"/>
  <c r="Q90" i="23"/>
  <c r="AF66" i="18"/>
  <c r="AF70" i="18" s="1"/>
  <c r="AH40" i="18"/>
  <c r="J56" i="23"/>
  <c r="R66" i="18"/>
  <c r="R70" i="18" s="1"/>
  <c r="S66" i="18"/>
  <c r="S70" i="18" s="1"/>
  <c r="AG66" i="18"/>
  <c r="AG70" i="18" s="1"/>
  <c r="O61" i="23"/>
  <c r="AL43" i="18"/>
  <c r="P94" i="23" s="1"/>
  <c r="AN45" i="18"/>
  <c r="R49" i="23" s="1"/>
  <c r="S49" i="23" s="1"/>
  <c r="T49" i="23" s="1"/>
  <c r="Q66" i="23"/>
  <c r="AL21" i="18"/>
  <c r="P50" i="23" s="1"/>
  <c r="O34" i="23"/>
  <c r="O56" i="23"/>
  <c r="AM41" i="18"/>
  <c r="Q93" i="23" s="1"/>
  <c r="AO13" i="18"/>
  <c r="R14" i="23"/>
  <c r="AO14" i="18"/>
  <c r="M56" i="23" l="1"/>
  <c r="M98" i="23" s="1"/>
  <c r="M101" i="23" s="1"/>
  <c r="J98" i="23"/>
  <c r="R48" i="23"/>
  <c r="S48" i="23" s="1"/>
  <c r="T48" i="23" s="1"/>
  <c r="R65" i="23"/>
  <c r="S65" i="23" s="1"/>
  <c r="T65" i="23" s="1"/>
  <c r="AO44" i="18"/>
  <c r="S78" i="23"/>
  <c r="T78" i="23" s="1"/>
  <c r="AM26" i="18"/>
  <c r="Q27" i="23" s="1"/>
  <c r="P51" i="23"/>
  <c r="P89" i="23"/>
  <c r="P88" i="23"/>
  <c r="AL39" i="18"/>
  <c r="P27" i="23"/>
  <c r="P90" i="23"/>
  <c r="AI40" i="18"/>
  <c r="O57" i="23" s="1"/>
  <c r="O98" i="23" s="1"/>
  <c r="T57" i="18"/>
  <c r="T19" i="18"/>
  <c r="T13" i="18"/>
  <c r="T24" i="18"/>
  <c r="T36" i="18"/>
  <c r="T38" i="18"/>
  <c r="T43" i="18"/>
  <c r="T47" i="18"/>
  <c r="T22" i="18"/>
  <c r="T27" i="18"/>
  <c r="T50" i="18"/>
  <c r="T56" i="18"/>
  <c r="T52" i="18"/>
  <c r="T64" i="18"/>
  <c r="T23" i="18"/>
  <c r="J101" i="23"/>
  <c r="T17" i="18"/>
  <c r="T42" i="18"/>
  <c r="T25" i="18"/>
  <c r="T54" i="18"/>
  <c r="T59" i="18"/>
  <c r="T37" i="18"/>
  <c r="T49" i="18"/>
  <c r="T48" i="18"/>
  <c r="T26" i="18"/>
  <c r="T16" i="18"/>
  <c r="T31" i="18"/>
  <c r="T40" i="18"/>
  <c r="T60" i="18"/>
  <c r="T55" i="18"/>
  <c r="T62" i="18"/>
  <c r="T39" i="18"/>
  <c r="AL40" i="18"/>
  <c r="AK66" i="18"/>
  <c r="T33" i="18"/>
  <c r="T15" i="18"/>
  <c r="T29" i="18"/>
  <c r="T51" i="18"/>
  <c r="T14" i="18"/>
  <c r="T32" i="18"/>
  <c r="T53" i="18"/>
  <c r="T34" i="18"/>
  <c r="T18" i="18"/>
  <c r="T30" i="18"/>
  <c r="T58" i="18"/>
  <c r="T12" i="18"/>
  <c r="T44" i="18"/>
  <c r="T28" i="18"/>
  <c r="T45" i="18"/>
  <c r="T20" i="18"/>
  <c r="T63" i="18"/>
  <c r="T21" i="18"/>
  <c r="T35" i="18"/>
  <c r="T41" i="18"/>
  <c r="T61" i="18"/>
  <c r="T46" i="18"/>
  <c r="AN41" i="18"/>
  <c r="R93" i="23" s="1"/>
  <c r="S93" i="23" s="1"/>
  <c r="T93" i="23" s="1"/>
  <c r="Q60" i="23"/>
  <c r="R66" i="23"/>
  <c r="S66" i="23" s="1"/>
  <c r="T66" i="23" s="1"/>
  <c r="AO45" i="18"/>
  <c r="AM43" i="18"/>
  <c r="Q94" i="23" s="1"/>
  <c r="P61" i="23"/>
  <c r="S14" i="23"/>
  <c r="AM21" i="18"/>
  <c r="Q50" i="23" s="1"/>
  <c r="P34" i="23"/>
  <c r="AN26" i="18" l="1"/>
  <c r="R27" i="23" s="1"/>
  <c r="Q51" i="23"/>
  <c r="P95" i="23"/>
  <c r="P60" i="23"/>
  <c r="P96" i="23"/>
  <c r="P62" i="23"/>
  <c r="Q89" i="23"/>
  <c r="Q88" i="23"/>
  <c r="P56" i="23"/>
  <c r="R90" i="23"/>
  <c r="S90" i="23" s="1"/>
  <c r="T90" i="23" s="1"/>
  <c r="AI66" i="18"/>
  <c r="AI70" i="18" s="1"/>
  <c r="AK70" i="18"/>
  <c r="AM40" i="18"/>
  <c r="Q62" i="23" s="1"/>
  <c r="AL66" i="18"/>
  <c r="AL70" i="18" s="1"/>
  <c r="P57" i="23"/>
  <c r="T66" i="18"/>
  <c r="T14" i="23"/>
  <c r="AN43" i="18"/>
  <c r="Q61" i="23"/>
  <c r="AN21" i="18"/>
  <c r="Q34" i="23"/>
  <c r="AN39" i="18"/>
  <c r="Q56" i="23"/>
  <c r="AO41" i="18"/>
  <c r="R60" i="23"/>
  <c r="P98" i="23" l="1"/>
  <c r="P101" i="23" s="1"/>
  <c r="S27" i="23"/>
  <c r="S60" i="23"/>
  <c r="T60" i="23" s="1"/>
  <c r="R51" i="23"/>
  <c r="S51" i="23" s="1"/>
  <c r="T51" i="23" s="1"/>
  <c r="AO26" i="18"/>
  <c r="R88" i="23"/>
  <c r="S88" i="23" s="1"/>
  <c r="T88" i="23" s="1"/>
  <c r="R50" i="23"/>
  <c r="S50" i="23" s="1"/>
  <c r="T50" i="23" s="1"/>
  <c r="R56" i="23"/>
  <c r="S56" i="23" s="1"/>
  <c r="T56" i="23" s="1"/>
  <c r="R95" i="23"/>
  <c r="S95" i="23" s="1"/>
  <c r="T95" i="23" s="1"/>
  <c r="AO21" i="18"/>
  <c r="R89" i="23"/>
  <c r="S89" i="23" s="1"/>
  <c r="T89" i="23" s="1"/>
  <c r="R61" i="23"/>
  <c r="S61" i="23" s="1"/>
  <c r="T61" i="23" s="1"/>
  <c r="R94" i="23"/>
  <c r="S94" i="23" s="1"/>
  <c r="T94" i="23" s="1"/>
  <c r="AN40" i="18"/>
  <c r="Q96" i="23"/>
  <c r="O101" i="23"/>
  <c r="U32" i="18"/>
  <c r="V32" i="18" s="1"/>
  <c r="T70" i="18"/>
  <c r="AM66" i="18"/>
  <c r="Q57" i="23"/>
  <c r="U61" i="18"/>
  <c r="V61" i="18" s="1"/>
  <c r="U12" i="18"/>
  <c r="V12" i="18" s="1"/>
  <c r="U29" i="18"/>
  <c r="V29" i="18" s="1"/>
  <c r="U19" i="18"/>
  <c r="V19" i="18" s="1"/>
  <c r="U36" i="18"/>
  <c r="V36" i="18" s="1"/>
  <c r="U57" i="18"/>
  <c r="V57" i="18" s="1"/>
  <c r="U59" i="18"/>
  <c r="V59" i="18" s="1"/>
  <c r="U15" i="18"/>
  <c r="V15" i="18" s="1"/>
  <c r="U62" i="18"/>
  <c r="V62" i="18" s="1"/>
  <c r="U30" i="18"/>
  <c r="V30" i="18" s="1"/>
  <c r="U40" i="18"/>
  <c r="V40" i="18" s="1"/>
  <c r="U35" i="18"/>
  <c r="V35" i="18" s="1"/>
  <c r="U39" i="18"/>
  <c r="V39" i="18" s="1"/>
  <c r="U55" i="18"/>
  <c r="V55" i="18" s="1"/>
  <c r="U20" i="18"/>
  <c r="V20" i="18" s="1"/>
  <c r="U34" i="18"/>
  <c r="V34" i="18" s="1"/>
  <c r="U64" i="18"/>
  <c r="V64" i="18" s="1"/>
  <c r="U21" i="18"/>
  <c r="V21" i="18" s="1"/>
  <c r="U37" i="18"/>
  <c r="V37" i="18" s="1"/>
  <c r="U58" i="18"/>
  <c r="V58" i="18" s="1"/>
  <c r="U42" i="18"/>
  <c r="V42" i="18" s="1"/>
  <c r="U31" i="18"/>
  <c r="V31" i="18" s="1"/>
  <c r="U38" i="18"/>
  <c r="V38" i="18" s="1"/>
  <c r="U56" i="18"/>
  <c r="V56" i="18" s="1"/>
  <c r="U25" i="18"/>
  <c r="V25" i="18" s="1"/>
  <c r="U22" i="18"/>
  <c r="V22" i="18" s="1"/>
  <c r="U27" i="18"/>
  <c r="V27" i="18" s="1"/>
  <c r="U24" i="18"/>
  <c r="V24" i="18" s="1"/>
  <c r="U28" i="18"/>
  <c r="V28" i="18" s="1"/>
  <c r="U13" i="18"/>
  <c r="V13" i="18" s="1"/>
  <c r="U48" i="18"/>
  <c r="V48" i="18" s="1"/>
  <c r="U33" i="18"/>
  <c r="V33" i="18" s="1"/>
  <c r="U54" i="18"/>
  <c r="V54" i="18" s="1"/>
  <c r="U51" i="18"/>
  <c r="V51" i="18" s="1"/>
  <c r="U46" i="18"/>
  <c r="V46" i="18" s="1"/>
  <c r="U41" i="18"/>
  <c r="V41" i="18" s="1"/>
  <c r="U52" i="18"/>
  <c r="V52" i="18" s="1"/>
  <c r="U18" i="18"/>
  <c r="V18" i="18" s="1"/>
  <c r="U16" i="18"/>
  <c r="V16" i="18" s="1"/>
  <c r="U47" i="18"/>
  <c r="V47" i="18" s="1"/>
  <c r="U53" i="18"/>
  <c r="V53" i="18" s="1"/>
  <c r="U49" i="18"/>
  <c r="V49" i="18" s="1"/>
  <c r="U45" i="18"/>
  <c r="V45" i="18" s="1"/>
  <c r="U17" i="18"/>
  <c r="V17" i="18" s="1"/>
  <c r="U44" i="18"/>
  <c r="V44" i="18" s="1"/>
  <c r="U50" i="18"/>
  <c r="V50" i="18" s="1"/>
  <c r="U14" i="18"/>
  <c r="V14" i="18" s="1"/>
  <c r="U63" i="18"/>
  <c r="V63" i="18" s="1"/>
  <c r="U26" i="18"/>
  <c r="V26" i="18" s="1"/>
  <c r="U23" i="18"/>
  <c r="V23" i="18" s="1"/>
  <c r="U43" i="18"/>
  <c r="V43" i="18" s="1"/>
  <c r="U60" i="18"/>
  <c r="V60" i="18" s="1"/>
  <c r="AO43" i="18"/>
  <c r="AO39" i="18"/>
  <c r="R34" i="23"/>
  <c r="Q98" i="23" l="1"/>
  <c r="T27" i="23"/>
  <c r="AO40" i="18"/>
  <c r="AO66" i="18" s="1"/>
  <c r="AO70" i="18" s="1"/>
  <c r="R62" i="23"/>
  <c r="S62" i="23" s="1"/>
  <c r="T62" i="23" s="1"/>
  <c r="R57" i="23"/>
  <c r="S57" i="23" s="1"/>
  <c r="T57" i="23" s="1"/>
  <c r="R96" i="23"/>
  <c r="S96" i="23" s="1"/>
  <c r="T96" i="23" s="1"/>
  <c r="AN66" i="18"/>
  <c r="AN70" i="18" s="1"/>
  <c r="AM70" i="18"/>
  <c r="U66" i="18"/>
  <c r="U70" i="18" s="1"/>
  <c r="S34" i="23"/>
  <c r="R98" i="23" l="1"/>
  <c r="R101" i="23" s="1"/>
  <c r="S98" i="23"/>
  <c r="Q101" i="23"/>
  <c r="AN77" i="18"/>
  <c r="AN81" i="18" s="1"/>
  <c r="AO81" i="18" s="1"/>
  <c r="T34" i="23"/>
  <c r="T98" i="23" s="1"/>
  <c r="S101" i="23"/>
</calcChain>
</file>

<file path=xl/sharedStrings.xml><?xml version="1.0" encoding="utf-8"?>
<sst xmlns="http://schemas.openxmlformats.org/spreadsheetml/2006/main" count="224" uniqueCount="160">
  <si>
    <t>Cost</t>
  </si>
  <si>
    <t>INFLATION FORECAST</t>
  </si>
  <si>
    <t>The U.S. Economy</t>
  </si>
  <si>
    <t>GLOBAL INSIGHT</t>
  </si>
  <si>
    <t>1st Yr</t>
  </si>
  <si>
    <t>Year</t>
  </si>
  <si>
    <t>2nd Yr</t>
  </si>
  <si>
    <t>YEAR</t>
  </si>
  <si>
    <t>Amount To Accrue</t>
  </si>
  <si>
    <t>Compounded Inflation</t>
  </si>
  <si>
    <t>PV of Amount to Accrue</t>
  </si>
  <si>
    <t>Prior Study</t>
  </si>
  <si>
    <t>Estimated 2017 Accrual</t>
  </si>
  <si>
    <t>Accrual Information</t>
  </si>
  <si>
    <t>Increase/decrease</t>
  </si>
  <si>
    <t>a</t>
  </si>
  <si>
    <t>Theoretical Reserve for Dismantlement</t>
  </si>
  <si>
    <t>Theoretical Reserve Surplus/(Deficiency)</t>
  </si>
  <si>
    <t>Surpluses</t>
  </si>
  <si>
    <t>Deficiencies</t>
  </si>
  <si>
    <t>Credits to Units With Deficiencies</t>
  </si>
  <si>
    <t>Debits to Units With Surpluses</t>
  </si>
  <si>
    <t>Producer Price Index (Intermediate Materials)</t>
  </si>
  <si>
    <t>GDP Deflator (Implicit)</t>
  </si>
  <si>
    <t>METAL &amp; METAL PRODUCTS</t>
  </si>
  <si>
    <t xml:space="preserve"> </t>
  </si>
  <si>
    <t>ANNUAL</t>
  </si>
  <si>
    <t>COMPOUNDED</t>
  </si>
  <si>
    <t>RATE OF</t>
  </si>
  <si>
    <t>MULTIPLIER</t>
  </si>
  <si>
    <t>CHANGE</t>
  </si>
  <si>
    <t>Unit</t>
  </si>
  <si>
    <t>Babcock Solar **</t>
  </si>
  <si>
    <t>DeSoto Solar Energy Ctr</t>
  </si>
  <si>
    <t>Ft. Lauderdale Common</t>
  </si>
  <si>
    <t>Ft. Lauderdale Unit 4</t>
  </si>
  <si>
    <t>Ft. Lauderdale Unit 5</t>
  </si>
  <si>
    <t>Ft. Lauderdale Unit 6 **</t>
  </si>
  <si>
    <t>Ft. Myers Common</t>
  </si>
  <si>
    <t>Ft. Myers Unit 3</t>
  </si>
  <si>
    <t>Ft. Myers Unit 4 **</t>
  </si>
  <si>
    <t>Ft. Myers Gas Turbines</t>
  </si>
  <si>
    <t>Manatee Common</t>
  </si>
  <si>
    <t>Manatee Unit 1</t>
  </si>
  <si>
    <t>Manatee Unit 2</t>
  </si>
  <si>
    <t>Manatee Unit 3</t>
  </si>
  <si>
    <t>Manatee Solar **</t>
  </si>
  <si>
    <t>Martin Common</t>
  </si>
  <si>
    <t>Martin Unit 1</t>
  </si>
  <si>
    <t>Martin Unit 2</t>
  </si>
  <si>
    <t>Martin Unit 3</t>
  </si>
  <si>
    <t>Martin Unit 4</t>
  </si>
  <si>
    <t>Martin Unit 8</t>
  </si>
  <si>
    <t>Martin Solar</t>
  </si>
  <si>
    <t>Port Everglades Common ***</t>
  </si>
  <si>
    <t>Port Everglades Unit 5 ***</t>
  </si>
  <si>
    <t>Port Everglades GTs</t>
  </si>
  <si>
    <t>Riviera Beach Common ***</t>
  </si>
  <si>
    <t>Riviera Beach Unit 5 ***</t>
  </si>
  <si>
    <t>Sanford Common</t>
  </si>
  <si>
    <t>Sanford Unit 4</t>
  </si>
  <si>
    <t>Sanford Unit 5</t>
  </si>
  <si>
    <t>Space Coast Common</t>
  </si>
  <si>
    <t>Turkey Point Common</t>
  </si>
  <si>
    <t>Turkey Point Unit 1 *</t>
  </si>
  <si>
    <t>Turkey Point Unit 2 *</t>
  </si>
  <si>
    <t>Turkey Point Unit 5</t>
  </si>
  <si>
    <t>West County Common</t>
  </si>
  <si>
    <t>West County Unit 1</t>
  </si>
  <si>
    <t>West County Unit 2</t>
  </si>
  <si>
    <t>West County Unit 3</t>
  </si>
  <si>
    <t>LABOR</t>
  </si>
  <si>
    <t>MATERIAL &amp; EQ</t>
  </si>
  <si>
    <t>BURIAL</t>
  </si>
  <si>
    <t>SALVAGE</t>
  </si>
  <si>
    <t>$ 2015</t>
  </si>
  <si>
    <t>* Sync Conversion</t>
  </si>
  <si>
    <t>** New Units</t>
  </si>
  <si>
    <t>Net Cost @ Study</t>
  </si>
  <si>
    <t>PCJWSSNF</t>
  </si>
  <si>
    <t>PCWPISOP2000</t>
  </si>
  <si>
    <t>PCJPGDP</t>
  </si>
  <si>
    <t>PCWPI10</t>
  </si>
  <si>
    <t>Compensation per Hour (Non-Farm)</t>
  </si>
  <si>
    <t xml:space="preserve">  FROM 2015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</si>
  <si>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 xml:space="preserve"> Net Of Ownership</t>
    </r>
  </si>
  <si>
    <t>Adj Reserve as of 12/31/2016</t>
  </si>
  <si>
    <t>Reserve As of 11/2015</t>
  </si>
  <si>
    <t>Sanford U3</t>
  </si>
  <si>
    <t>Cape Canaveral</t>
  </si>
  <si>
    <t>Pt Everglades</t>
  </si>
  <si>
    <t>Cutler</t>
  </si>
  <si>
    <t>Putnam</t>
  </si>
  <si>
    <t>Riviera</t>
  </si>
  <si>
    <t>Est Future Dism</t>
  </si>
  <si>
    <t>Reserve As of 12/2016</t>
  </si>
  <si>
    <t>13 Month Est Accrual</t>
  </si>
  <si>
    <t>Total</t>
  </si>
  <si>
    <t>P.I.S</t>
  </si>
  <si>
    <t>Net Cost @ 2016</t>
  </si>
  <si>
    <t>Original Life</t>
  </si>
  <si>
    <t>Calculate Surplus/Deficit</t>
  </si>
  <si>
    <t>d = (a * 30%) * GI</t>
  </si>
  <si>
    <t>e = (a * 70%) * GI</t>
  </si>
  <si>
    <t>*** Modernization</t>
  </si>
  <si>
    <t>Ft. Myers Unit 2</t>
  </si>
  <si>
    <t>Additional Flowback</t>
  </si>
  <si>
    <t>Cedar Bay</t>
  </si>
  <si>
    <t>Take from plants with Theoretical Surplus first</t>
  </si>
  <si>
    <t>Take reserve from newest plants second (zero out)</t>
  </si>
  <si>
    <t>Future $ 1st Yr Exp</t>
  </si>
  <si>
    <t>Future $ 2nd Yr Exp</t>
  </si>
  <si>
    <t>Economic Recovery Year</t>
  </si>
  <si>
    <t>Total Future $ Cost</t>
  </si>
  <si>
    <t>Annual Accrual</t>
  </si>
  <si>
    <t>4 Year Average</t>
  </si>
  <si>
    <t>Recovery Period As of 1/1/2017</t>
  </si>
  <si>
    <t>1st Yr Expense (Future $)</t>
  </si>
  <si>
    <t>2nd Yr Expense (Future $)</t>
  </si>
  <si>
    <t>Difference</t>
  </si>
  <si>
    <t>Future Cost</t>
  </si>
  <si>
    <t>Monthly Accrual</t>
  </si>
  <si>
    <t>N/A</t>
  </si>
  <si>
    <t>Grand Total</t>
  </si>
  <si>
    <t>THEO SURPLUS FLOWBACK</t>
  </si>
  <si>
    <t>30 Year Outlook  (May 2015)</t>
  </si>
  <si>
    <t>Cape Canaveral CC Common ***</t>
  </si>
  <si>
    <t>Cape Canaveral CC Unit 5 ***</t>
  </si>
  <si>
    <t>DeSoto (Citrus Solar) **</t>
  </si>
  <si>
    <t>Ft. Lauderdale GT Units 1 &amp; 2</t>
  </si>
  <si>
    <t>Okeechobee Clean Energy Common **</t>
  </si>
  <si>
    <t>Okeechobee Clean Energy Unit 1 **</t>
  </si>
  <si>
    <r>
      <t xml:space="preserve">Scherer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</si>
  <si>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</si>
  <si>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Scherer Unit 4 </t>
    </r>
    <r>
      <rPr>
        <vertAlign val="superscript"/>
        <sz val="8"/>
        <rFont val="Calibri"/>
        <family val="2"/>
        <scheme val="minor"/>
      </rPr>
      <t>1</t>
    </r>
  </si>
  <si>
    <r>
      <t xml:space="preserve">SJRPP Common </t>
    </r>
    <r>
      <rPr>
        <vertAlign val="superscript"/>
        <sz val="8"/>
        <rFont val="Calibri"/>
        <family val="2"/>
        <scheme val="minor"/>
      </rPr>
      <t>1</t>
    </r>
  </si>
  <si>
    <r>
      <t xml:space="preserve">SJRPP Handling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</si>
  <si>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1 </t>
    </r>
    <r>
      <rPr>
        <vertAlign val="superscript"/>
        <sz val="8"/>
        <rFont val="Calibri"/>
        <family val="2"/>
        <scheme val="minor"/>
      </rPr>
      <t>1</t>
    </r>
  </si>
  <si>
    <r>
      <t xml:space="preserve">SJRPP Unit 2 </t>
    </r>
    <r>
      <rPr>
        <vertAlign val="superscript"/>
        <sz val="8"/>
        <rFont val="Calibri"/>
        <family val="2"/>
        <scheme val="minor"/>
      </rPr>
      <t>1</t>
    </r>
  </si>
  <si>
    <t>Turkey Point Unit 1 - Boilers</t>
  </si>
  <si>
    <t>Turkey Point Unit 2 - Boilers</t>
  </si>
  <si>
    <t>Other Transactions</t>
  </si>
  <si>
    <t>Adjusted
Net Cost @ Study</t>
  </si>
  <si>
    <t>Ft. Myers</t>
  </si>
  <si>
    <t>Lauderdale</t>
  </si>
  <si>
    <t>Manatee</t>
  </si>
  <si>
    <t>Martin</t>
  </si>
  <si>
    <t>Okeechobee</t>
  </si>
  <si>
    <t>Port Everglades</t>
  </si>
  <si>
    <t>Riviera Beach</t>
  </si>
  <si>
    <t>Sanford</t>
  </si>
  <si>
    <t>Scherer</t>
  </si>
  <si>
    <t>St. Johns River</t>
  </si>
  <si>
    <t>Turkey Point</t>
  </si>
  <si>
    <t>West County</t>
  </si>
  <si>
    <t>* Sync Conversion - Net of Boilers</t>
  </si>
  <si>
    <t>OPC 030434</t>
  </si>
  <si>
    <t>FPL RC-16</t>
  </si>
  <si>
    <t>OPC 030435</t>
  </si>
  <si>
    <t>OPC 030436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</si>
</sst>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€-2]* #,##0.00_);_([$€-2]* \(#,##0.00\);_([$€-2]* &quot;-&quot;??_)"/>
    <numFmt numFmtId="166" formatCode="0.000_)"/>
    <numFmt numFmtId="167" formatCode="0."/>
    <numFmt numFmtId="168" formatCode="m\o\n\th\ d\,\ yyyy"/>
    <numFmt numFmtId="169" formatCode="#.00"/>
    <numFmt numFmtId="170" formatCode="#."/>
    <numFmt numFmtId="171" formatCode="0.00_)"/>
    <numFmt numFmtId="172" formatCode="0.0_)"/>
    <numFmt numFmtId="173" formatCode="0.000000"/>
    <numFmt numFmtId="174" formatCode="0_)"/>
    <numFmt numFmtId="175" formatCode="0.0%"/>
    <numFmt numFmtId="176" formatCode="_(* #,##0.000_);_(* \(#,##0.000\);_(* &quot;-&quot;??_);_(@_)"/>
    <numFmt numFmtId="177" formatCode="_(* #,##0_);_(* \(#,##0\);_(* &quot;-&quot;??_);_(@_)"/>
    <numFmt numFmtId="178" formatCode="0.000000_)"/>
    <numFmt numFmtId="179" formatCode="General_)"/>
  </numFmts>
  <fonts count="78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9"/>
      <color theme="1"/>
      <name val="Calibri"/>
      <family val="2"/>
    </font>
    <font>
      <i/>
      <sz val="9"/>
      <color rgb="FFFF0000"/>
      <name val="Calibri"/>
      <family val="2"/>
    </font>
    <font>
      <sz val="8"/>
      <color rgb="FFFF0000"/>
      <name val="Calibri"/>
      <family val="2"/>
    </font>
    <font>
      <sz val="10"/>
      <name val="Courier"/>
      <family val="3"/>
    </font>
    <font>
      <sz val="10"/>
      <name val="Courier"/>
      <family val="3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</font>
    <font>
      <sz val="10"/>
      <color rgb="FF000000"/>
      <name val="Times New Roman"/>
      <family val="1"/>
    </font>
    <font>
      <sz val="12"/>
      <name val="Helv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vertAlign val="superscript"/>
      <sz val="8"/>
      <name val="Calibri"/>
      <family val="2"/>
      <scheme val="minor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8"/>
      <name val="Calibri"/>
      <family val="2"/>
    </font>
    <font>
      <sz val="9"/>
      <color theme="0"/>
      <name val="Calibri"/>
      <family val="2"/>
    </font>
    <font>
      <b/>
      <u/>
      <sz val="8"/>
      <name val="Calibri"/>
      <family val="2"/>
      <scheme val="minor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1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9" fillId="0" borderId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10" fillId="0" borderId="0"/>
    <xf numFmtId="165" fontId="9" fillId="0" borderId="0"/>
    <xf numFmtId="165" fontId="11" fillId="3" borderId="0" applyNumberFormat="0" applyBorder="0" applyAlignment="0" applyProtection="0"/>
    <xf numFmtId="165" fontId="8" fillId="6" borderId="2" applyNumberFormat="0" applyAlignment="0" applyProtection="0"/>
    <xf numFmtId="0" fontId="8" fillId="6" borderId="2" applyNumberFormat="0" applyAlignment="0" applyProtection="0"/>
    <xf numFmtId="0" fontId="8" fillId="6" borderId="2" applyNumberFormat="0" applyAlignment="0" applyProtection="0"/>
    <xf numFmtId="165" fontId="8" fillId="6" borderId="2" applyNumberFormat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4" fillId="0" borderId="0">
      <protection locked="0"/>
    </xf>
    <xf numFmtId="165" fontId="15" fillId="0" borderId="0" applyFont="0" applyFill="0" applyBorder="0" applyAlignment="0" applyProtection="0"/>
    <xf numFmtId="169" fontId="14" fillId="0" borderId="0">
      <protection locked="0"/>
    </xf>
    <xf numFmtId="165" fontId="5" fillId="2" borderId="0" applyNumberFormat="0" applyBorder="0" applyAlignment="0" applyProtection="0"/>
    <xf numFmtId="9" fontId="16" fillId="7" borderId="0" applyNumberFormat="0" applyFill="0" applyBorder="0" applyAlignment="0" applyProtection="0"/>
    <xf numFmtId="170" fontId="17" fillId="0" borderId="0">
      <protection locked="0"/>
    </xf>
    <xf numFmtId="170" fontId="17" fillId="0" borderId="0">
      <protection locked="0"/>
    </xf>
    <xf numFmtId="0" fontId="18" fillId="0" borderId="0" applyNumberFormat="0" applyFill="0" applyBorder="0" applyAlignment="0" applyProtection="0"/>
    <xf numFmtId="165" fontId="7" fillId="5" borderId="1" applyNumberFormat="0" applyAlignment="0" applyProtection="0"/>
    <xf numFmtId="0" fontId="7" fillId="5" borderId="1" applyNumberFormat="0" applyAlignment="0" applyProtection="0"/>
    <xf numFmtId="0" fontId="7" fillId="5" borderId="1" applyNumberFormat="0" applyAlignment="0" applyProtection="0"/>
    <xf numFmtId="165" fontId="7" fillId="5" borderId="1" applyNumberFormat="0" applyAlignment="0" applyProtection="0"/>
    <xf numFmtId="165" fontId="19" fillId="0" borderId="0"/>
    <xf numFmtId="165" fontId="19" fillId="0" borderId="0"/>
    <xf numFmtId="165" fontId="19" fillId="0" borderId="0"/>
    <xf numFmtId="165" fontId="6" fillId="4" borderId="0" applyNumberFormat="0" applyBorder="0" applyAlignment="0" applyProtection="0"/>
    <xf numFmtId="37" fontId="20" fillId="0" borderId="0"/>
    <xf numFmtId="171" fontId="21" fillId="0" borderId="0"/>
    <xf numFmtId="171" fontId="22" fillId="0" borderId="3"/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72" fontId="23" fillId="0" borderId="4" applyNumberFormat="0" applyBorder="0">
      <protection locked="0"/>
    </xf>
    <xf numFmtId="165" fontId="24" fillId="0" borderId="0" applyNumberFormat="0" applyAlignment="0">
      <alignment horizontal="center"/>
    </xf>
    <xf numFmtId="165" fontId="24" fillId="0" borderId="0" applyNumberFormat="0" applyAlignment="0">
      <alignment horizontal="center"/>
    </xf>
    <xf numFmtId="172" fontId="25" fillId="0" borderId="0" applyNumberFormat="0" applyAlignment="0"/>
    <xf numFmtId="172" fontId="26" fillId="0" borderId="0" applyNumberFormat="0"/>
    <xf numFmtId="165" fontId="9" fillId="0" borderId="0"/>
    <xf numFmtId="0" fontId="4" fillId="0" borderId="0"/>
    <xf numFmtId="0" fontId="4" fillId="0" borderId="0"/>
    <xf numFmtId="165" fontId="4" fillId="0" borderId="0"/>
    <xf numFmtId="0" fontId="4" fillId="0" borderId="0"/>
    <xf numFmtId="0" fontId="9" fillId="0" borderId="0"/>
    <xf numFmtId="165" fontId="9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0" fontId="9" fillId="0" borderId="0"/>
    <xf numFmtId="165" fontId="9" fillId="0" borderId="0"/>
    <xf numFmtId="165" fontId="9" fillId="0" borderId="0"/>
    <xf numFmtId="0" fontId="4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0" fontId="9" fillId="0" borderId="0"/>
    <xf numFmtId="165" fontId="27" fillId="0" borderId="0"/>
    <xf numFmtId="165" fontId="9" fillId="0" borderId="0"/>
    <xf numFmtId="165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4" fillId="0" borderId="0"/>
    <xf numFmtId="165" fontId="27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9" fillId="0" borderId="0"/>
    <xf numFmtId="0" fontId="9" fillId="0" borderId="0"/>
    <xf numFmtId="165" fontId="9" fillId="0" borderId="0"/>
    <xf numFmtId="165" fontId="9" fillId="0" borderId="0"/>
    <xf numFmtId="165" fontId="9" fillId="0" borderId="0"/>
    <xf numFmtId="172" fontId="22" fillId="0" borderId="4"/>
    <xf numFmtId="172" fontId="22" fillId="0" borderId="4"/>
    <xf numFmtId="172" fontId="22" fillId="0" borderId="4"/>
    <xf numFmtId="172" fontId="22" fillId="0" borderId="4"/>
    <xf numFmtId="172" fontId="22" fillId="0" borderId="4"/>
    <xf numFmtId="172" fontId="19" fillId="0" borderId="0" applyNumberForma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NumberFormat="0" applyFill="0" applyBorder="0" applyAlignment="0" applyProtection="0"/>
    <xf numFmtId="173" fontId="9" fillId="0" borderId="0">
      <alignment horizontal="left" wrapText="1"/>
    </xf>
    <xf numFmtId="173" fontId="9" fillId="0" borderId="0">
      <alignment horizontal="left" wrapText="1"/>
    </xf>
    <xf numFmtId="165" fontId="29" fillId="0" borderId="0"/>
    <xf numFmtId="165" fontId="29" fillId="0" borderId="0"/>
    <xf numFmtId="165" fontId="29" fillId="0" borderId="0"/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38" fontId="30" fillId="0" borderId="5" applyBorder="0" applyAlignment="0" applyProtection="0">
      <alignment horizontal="center"/>
    </xf>
    <xf numFmtId="165" fontId="31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5" fillId="0" borderId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" fontId="36" fillId="0" borderId="0" applyNumberFormat="0" applyProtection="0">
      <alignment horizontal="right" vertical="justify"/>
    </xf>
    <xf numFmtId="4" fontId="37" fillId="9" borderId="17" applyNumberFormat="0" applyProtection="0">
      <alignment vertical="center"/>
    </xf>
    <xf numFmtId="4" fontId="38" fillId="9" borderId="17" applyNumberFormat="0" applyProtection="0">
      <alignment horizontal="left" vertical="center" indent="1"/>
    </xf>
    <xf numFmtId="0" fontId="39" fillId="0" borderId="0" applyNumberFormat="0" applyProtection="0">
      <alignment horizontal="center"/>
    </xf>
    <xf numFmtId="4" fontId="38" fillId="0" borderId="0" applyNumberFormat="0" applyProtection="0">
      <alignment horizontal="left"/>
    </xf>
    <xf numFmtId="4" fontId="36" fillId="10" borderId="17" applyNumberFormat="0" applyProtection="0">
      <alignment horizontal="right" vertical="center"/>
    </xf>
    <xf numFmtId="4" fontId="36" fillId="11" borderId="17" applyNumberFormat="0" applyProtection="0">
      <alignment horizontal="right" vertical="center"/>
    </xf>
    <xf numFmtId="4" fontId="36" fillId="15" borderId="17" applyNumberFormat="0" applyProtection="0">
      <alignment horizontal="right" vertical="center"/>
    </xf>
    <xf numFmtId="4" fontId="36" fillId="13" borderId="17" applyNumberFormat="0" applyProtection="0">
      <alignment horizontal="right" vertical="center"/>
    </xf>
    <xf numFmtId="4" fontId="36" fillId="14" borderId="17" applyNumberFormat="0" applyProtection="0">
      <alignment horizontal="right" vertical="center"/>
    </xf>
    <xf numFmtId="4" fontId="36" fillId="17" borderId="17" applyNumberFormat="0" applyProtection="0">
      <alignment horizontal="right" vertical="center"/>
    </xf>
    <xf numFmtId="4" fontId="36" fillId="16" borderId="17" applyNumberFormat="0" applyProtection="0">
      <alignment horizontal="right" vertical="center"/>
    </xf>
    <xf numFmtId="4" fontId="36" fillId="18" borderId="17" applyNumberFormat="0" applyProtection="0">
      <alignment horizontal="right" vertical="center"/>
    </xf>
    <xf numFmtId="4" fontId="36" fillId="12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40" fillId="19" borderId="0" applyNumberFormat="0" applyProtection="0">
      <alignment horizontal="left" vertical="center" indent="1"/>
    </xf>
    <xf numFmtId="4" fontId="36" fillId="20" borderId="17" applyNumberFormat="0" applyProtection="0">
      <alignment horizontal="right" vertical="center"/>
    </xf>
    <xf numFmtId="4" fontId="38" fillId="0" borderId="0" applyNumberFormat="0" applyProtection="0">
      <alignment horizontal="left" vertical="center" indent="1"/>
    </xf>
    <xf numFmtId="4" fontId="41" fillId="0" borderId="0" applyNumberFormat="0" applyProtection="0">
      <alignment horizontal="right" vertical="center"/>
    </xf>
    <xf numFmtId="0" fontId="42" fillId="0" borderId="0" applyNumberFormat="0" applyProtection="0">
      <alignment horizontal="left" vertical="center" indent="1"/>
    </xf>
    <xf numFmtId="0" fontId="9" fillId="19" borderId="17" applyNumberFormat="0" applyProtection="0">
      <alignment horizontal="left" vertical="top" indent="1"/>
    </xf>
    <xf numFmtId="0" fontId="43" fillId="0" borderId="0" applyNumberFormat="0" applyProtection="0">
      <alignment horizontal="left" vertical="center" indent="1"/>
    </xf>
    <xf numFmtId="0" fontId="9" fillId="21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22" borderId="17" applyNumberFormat="0" applyProtection="0">
      <alignment horizontal="left" vertical="top" indent="1"/>
    </xf>
    <xf numFmtId="0" fontId="9" fillId="0" borderId="0" applyNumberFormat="0" applyProtection="0">
      <alignment horizontal="left" vertical="center" indent="1"/>
    </xf>
    <xf numFmtId="0" fontId="9" fillId="23" borderId="17" applyNumberFormat="0" applyProtection="0">
      <alignment horizontal="left" vertical="top" indent="1"/>
    </xf>
    <xf numFmtId="4" fontId="36" fillId="24" borderId="17" applyNumberFormat="0" applyProtection="0">
      <alignment vertical="center"/>
    </xf>
    <xf numFmtId="4" fontId="44" fillId="24" borderId="17" applyNumberFormat="0" applyProtection="0">
      <alignment vertical="center"/>
    </xf>
    <xf numFmtId="4" fontId="36" fillId="24" borderId="17" applyNumberFormat="0" applyProtection="0">
      <alignment horizontal="left" vertical="center" indent="1"/>
    </xf>
    <xf numFmtId="0" fontId="36" fillId="24" borderId="17" applyNumberFormat="0" applyProtection="0">
      <alignment horizontal="left" vertical="top" indent="1"/>
    </xf>
    <xf numFmtId="4" fontId="36" fillId="0" borderId="0" applyNumberFormat="0" applyProtection="0">
      <alignment horizontal="right" vertical="justify"/>
    </xf>
    <xf numFmtId="4" fontId="44" fillId="25" borderId="17" applyNumberFormat="0" applyProtection="0">
      <alignment horizontal="right" vertical="center"/>
    </xf>
    <xf numFmtId="4" fontId="38" fillId="0" borderId="0" applyNumberFormat="0" applyProtection="0">
      <alignment horizontal="left" vertical="center" wrapText="1" indent="1"/>
    </xf>
    <xf numFmtId="0" fontId="39" fillId="0" borderId="0" applyNumberFormat="0" applyProtection="0">
      <alignment horizontal="center" wrapText="1"/>
    </xf>
    <xf numFmtId="4" fontId="45" fillId="0" borderId="0" applyNumberFormat="0" applyProtection="0">
      <alignment horizontal="left"/>
    </xf>
    <xf numFmtId="4" fontId="46" fillId="0" borderId="0" applyNumberFormat="0" applyProtection="0">
      <alignment horizontal="right"/>
    </xf>
    <xf numFmtId="43" fontId="9" fillId="0" borderId="0" applyFont="0" applyFill="0" applyBorder="0" applyAlignment="0" applyProtection="0"/>
    <xf numFmtId="0" fontId="9" fillId="0" borderId="0"/>
    <xf numFmtId="40" fontId="35" fillId="0" borderId="0" applyFont="0" applyFill="0" applyBorder="0" applyAlignment="0" applyProtection="0"/>
    <xf numFmtId="0" fontId="9" fillId="0" borderId="0" applyNumberFormat="0" applyProtection="0">
      <alignment horizontal="left" vertical="center" indent="1"/>
    </xf>
    <xf numFmtId="0" fontId="9" fillId="0" borderId="0" applyNumberFormat="0" applyProtection="0">
      <alignment horizontal="left" vertical="center" indent="1"/>
    </xf>
    <xf numFmtId="0" fontId="9" fillId="0" borderId="0"/>
    <xf numFmtId="0" fontId="9" fillId="0" borderId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5" fillId="0" borderId="0"/>
    <xf numFmtId="0" fontId="9" fillId="0" borderId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5" fillId="0" borderId="0"/>
    <xf numFmtId="0" fontId="35" fillId="0" borderId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50" fillId="0" borderId="0"/>
    <xf numFmtId="1" fontId="51" fillId="0" borderId="0"/>
    <xf numFmtId="37" fontId="50" fillId="0" borderId="0"/>
    <xf numFmtId="1" fontId="50" fillId="0" borderId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44" fontId="9" fillId="0" borderId="0" applyFont="0" applyFill="0" applyBorder="0" applyAlignment="0" applyProtection="0"/>
    <xf numFmtId="37" fontId="20" fillId="0" borderId="0"/>
    <xf numFmtId="179" fontId="50" fillId="0" borderId="0"/>
    <xf numFmtId="0" fontId="3" fillId="0" borderId="0"/>
    <xf numFmtId="1" fontId="50" fillId="0" borderId="0"/>
    <xf numFmtId="0" fontId="9" fillId="0" borderId="0"/>
    <xf numFmtId="0" fontId="9" fillId="0" borderId="0"/>
    <xf numFmtId="0" fontId="35" fillId="0" borderId="0"/>
    <xf numFmtId="37" fontId="50" fillId="0" borderId="0"/>
    <xf numFmtId="0" fontId="9" fillId="0" borderId="0"/>
    <xf numFmtId="9" fontId="5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" fontId="50" fillId="0" borderId="0"/>
    <xf numFmtId="0" fontId="58" fillId="0" borderId="0"/>
    <xf numFmtId="43" fontId="58" fillId="0" borderId="0" applyFont="0" applyFill="0" applyBorder="0" applyAlignment="0" applyProtection="0"/>
    <xf numFmtId="0" fontId="3" fillId="0" borderId="0"/>
    <xf numFmtId="37" fontId="5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" fontId="50" fillId="0" borderId="0"/>
    <xf numFmtId="9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50" fillId="0" borderId="0"/>
    <xf numFmtId="43" fontId="5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9" fontId="20" fillId="0" borderId="0"/>
    <xf numFmtId="37" fontId="20" fillId="0" borderId="0"/>
    <xf numFmtId="37" fontId="50" fillId="0" borderId="0"/>
    <xf numFmtId="0" fontId="35" fillId="0" borderId="0"/>
    <xf numFmtId="37" fontId="50" fillId="0" borderId="0"/>
    <xf numFmtId="174" fontId="50" fillId="0" borderId="0"/>
    <xf numFmtId="39" fontId="20" fillId="0" borderId="0"/>
    <xf numFmtId="39" fontId="20" fillId="0" borderId="0"/>
    <xf numFmtId="174" fontId="50" fillId="0" borderId="0"/>
    <xf numFmtId="1" fontId="50" fillId="0" borderId="0"/>
    <xf numFmtId="179" fontId="59" fillId="0" borderId="0"/>
    <xf numFmtId="174" fontId="50" fillId="0" borderId="0"/>
    <xf numFmtId="174" fontId="50" fillId="0" borderId="0"/>
    <xf numFmtId="179" fontId="50" fillId="0" borderId="0"/>
    <xf numFmtId="174" fontId="50" fillId="0" borderId="0"/>
    <xf numFmtId="179" fontId="50" fillId="0" borderId="0"/>
    <xf numFmtId="179" fontId="50" fillId="0" borderId="0"/>
    <xf numFmtId="39" fontId="20" fillId="0" borderId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4" fontId="50" fillId="0" borderId="0"/>
    <xf numFmtId="9" fontId="3" fillId="0" borderId="0" applyFont="0" applyFill="0" applyBorder="0" applyAlignment="0" applyProtection="0"/>
    <xf numFmtId="1" fontId="50" fillId="0" borderId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0" fontId="55" fillId="0" borderId="0"/>
    <xf numFmtId="0" fontId="35" fillId="0" borderId="0"/>
    <xf numFmtId="43" fontId="5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/>
    <xf numFmtId="0" fontId="1" fillId="0" borderId="0"/>
    <xf numFmtId="44" fontId="9" fillId="0" borderId="0"/>
    <xf numFmtId="44" fontId="9" fillId="0" borderId="0"/>
    <xf numFmtId="44" fontId="9" fillId="0" borderId="0"/>
    <xf numFmtId="44" fontId="9" fillId="0" borderId="0"/>
    <xf numFmtId="43" fontId="3" fillId="0" borderId="0" applyFont="0" applyFill="0" applyBorder="0" applyAlignment="0" applyProtection="0"/>
    <xf numFmtId="165" fontId="9" fillId="0" borderId="0"/>
    <xf numFmtId="165" fontId="9" fillId="0" borderId="0"/>
    <xf numFmtId="0" fontId="1" fillId="0" borderId="0"/>
    <xf numFmtId="0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9" fillId="0" borderId="0"/>
    <xf numFmtId="165" fontId="9" fillId="0" borderId="0"/>
    <xf numFmtId="165" fontId="9" fillId="0" borderId="0"/>
    <xf numFmtId="0" fontId="1" fillId="0" borderId="0"/>
    <xf numFmtId="0" fontId="1" fillId="0" borderId="0"/>
    <xf numFmtId="165" fontId="9" fillId="0" borderId="0"/>
    <xf numFmtId="165" fontId="9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35" fillId="0" borderId="0" applyFont="0" applyFill="0" applyBorder="0" applyAlignment="0" applyProtection="0"/>
    <xf numFmtId="174" fontId="50" fillId="0" borderId="0"/>
    <xf numFmtId="37" fontId="20" fillId="0" borderId="0"/>
    <xf numFmtId="43" fontId="9" fillId="0" borderId="0" applyFont="0" applyFill="0" applyBorder="0" applyAlignment="0" applyProtection="0"/>
    <xf numFmtId="0" fontId="35" fillId="0" borderId="0"/>
    <xf numFmtId="179" fontId="50" fillId="0" borderId="0"/>
    <xf numFmtId="179" fontId="5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0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9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" fontId="5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37" fontId="20" fillId="0" borderId="0"/>
    <xf numFmtId="0" fontId="9" fillId="0" borderId="0"/>
    <xf numFmtId="165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50" fillId="0" borderId="0"/>
    <xf numFmtId="43" fontId="9" fillId="0" borderId="0" applyFont="0" applyFill="0" applyBorder="0" applyAlignment="0" applyProtection="0"/>
    <xf numFmtId="37" fontId="20" fillId="0" borderId="0"/>
    <xf numFmtId="0" fontId="9" fillId="0" borderId="0"/>
    <xf numFmtId="165" fontId="9" fillId="0" borderId="0"/>
    <xf numFmtId="0" fontId="1" fillId="0" borderId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1" fontId="50" fillId="0" borderId="0"/>
    <xf numFmtId="1" fontId="50" fillId="0" borderId="0"/>
    <xf numFmtId="43" fontId="9" fillId="0" borderId="0" applyFont="0" applyFill="0" applyBorder="0" applyAlignment="0" applyProtection="0"/>
    <xf numFmtId="1" fontId="5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1" fontId="5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" fontId="50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9">
    <xf numFmtId="0" fontId="0" fillId="0" borderId="0" xfId="0"/>
    <xf numFmtId="43" fontId="47" fillId="0" borderId="0" xfId="0" applyNumberFormat="1" applyFont="1"/>
    <xf numFmtId="9" fontId="48" fillId="0" borderId="0" xfId="2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0" xfId="0" applyFont="1"/>
    <xf numFmtId="0" fontId="52" fillId="0" borderId="0" xfId="510" applyNumberFormat="1" applyFont="1" applyFill="1"/>
    <xf numFmtId="1" fontId="51" fillId="0" borderId="0" xfId="510" applyFill="1"/>
    <xf numFmtId="177" fontId="52" fillId="0" borderId="0" xfId="418" applyNumberFormat="1" applyFont="1" applyFill="1" applyBorder="1"/>
    <xf numFmtId="0" fontId="52" fillId="0" borderId="0" xfId="0" applyFont="1" applyBorder="1" applyAlignment="1">
      <alignment horizontal="left"/>
    </xf>
    <xf numFmtId="176" fontId="61" fillId="0" borderId="12" xfId="221" applyNumberFormat="1" applyFont="1" applyFill="1" applyBorder="1"/>
    <xf numFmtId="174" fontId="53" fillId="0" borderId="22" xfId="585" applyNumberFormat="1" applyFont="1" applyFill="1" applyBorder="1" applyAlignment="1" applyProtection="1">
      <alignment horizontal="center"/>
    </xf>
    <xf numFmtId="0" fontId="52" fillId="0" borderId="0" xfId="602" applyNumberFormat="1" applyFont="1" applyFill="1"/>
    <xf numFmtId="175" fontId="53" fillId="0" borderId="15" xfId="585" applyNumberFormat="1" applyFont="1" applyFill="1" applyBorder="1" applyAlignment="1">
      <alignment horizontal="center"/>
    </xf>
    <xf numFmtId="176" fontId="53" fillId="0" borderId="12" xfId="221" applyNumberFormat="1" applyFont="1" applyFill="1" applyBorder="1"/>
    <xf numFmtId="176" fontId="53" fillId="0" borderId="13" xfId="221" applyNumberFormat="1" applyFont="1" applyFill="1" applyBorder="1"/>
    <xf numFmtId="0" fontId="52" fillId="0" borderId="0" xfId="510" applyNumberFormat="1" applyFont="1" applyFill="1" applyBorder="1"/>
    <xf numFmtId="0" fontId="65" fillId="0" borderId="0" xfId="0" applyFont="1"/>
    <xf numFmtId="177" fontId="65" fillId="0" borderId="0" xfId="0" applyNumberFormat="1" applyFont="1" applyFill="1"/>
    <xf numFmtId="0" fontId="65" fillId="8" borderId="0" xfId="0" applyFont="1" applyFill="1"/>
    <xf numFmtId="175" fontId="53" fillId="0" borderId="9" xfId="2" applyNumberFormat="1" applyFont="1" applyFill="1" applyBorder="1" applyAlignment="1">
      <alignment horizontal="center"/>
    </xf>
    <xf numFmtId="177" fontId="56" fillId="0" borderId="6" xfId="4" applyNumberFormat="1" applyFont="1" applyFill="1" applyBorder="1"/>
    <xf numFmtId="43" fontId="65" fillId="0" borderId="0" xfId="0" applyNumberFormat="1" applyFont="1"/>
    <xf numFmtId="177" fontId="53" fillId="0" borderId="0" xfId="1" applyNumberFormat="1" applyFont="1" applyBorder="1"/>
    <xf numFmtId="0" fontId="69" fillId="0" borderId="0" xfId="0" applyFont="1" applyAlignment="1">
      <alignment horizontal="center"/>
    </xf>
    <xf numFmtId="0" fontId="65" fillId="0" borderId="15" xfId="0" applyFont="1" applyBorder="1"/>
    <xf numFmtId="0" fontId="65" fillId="0" borderId="0" xfId="0" applyFont="1" applyBorder="1"/>
    <xf numFmtId="0" fontId="68" fillId="0" borderId="0" xfId="0" applyFont="1" applyBorder="1"/>
    <xf numFmtId="164" fontId="65" fillId="0" borderId="0" xfId="0" applyNumberFormat="1" applyFont="1" applyBorder="1"/>
    <xf numFmtId="164" fontId="56" fillId="0" borderId="0" xfId="4" applyNumberFormat="1" applyFont="1" applyFill="1" applyBorder="1"/>
    <xf numFmtId="43" fontId="68" fillId="0" borderId="0" xfId="1" applyFont="1" applyBorder="1"/>
    <xf numFmtId="0" fontId="53" fillId="0" borderId="9" xfId="0" applyNumberFormat="1" applyFont="1" applyFill="1" applyBorder="1" applyAlignment="1">
      <alignment horizontal="center"/>
    </xf>
    <xf numFmtId="0" fontId="53" fillId="0" borderId="0" xfId="4" applyNumberFormat="1" applyFont="1" applyFill="1" applyBorder="1" applyAlignment="1">
      <alignment horizontal="center"/>
    </xf>
    <xf numFmtId="0" fontId="53" fillId="0" borderId="15" xfId="0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>
      <alignment horizontal="center"/>
    </xf>
    <xf numFmtId="0" fontId="72" fillId="0" borderId="0" xfId="0" applyFont="1" applyAlignment="1">
      <alignment horizontal="center"/>
    </xf>
    <xf numFmtId="177" fontId="65" fillId="0" borderId="0" xfId="1" applyNumberFormat="1" applyFont="1" applyFill="1"/>
    <xf numFmtId="43" fontId="65" fillId="0" borderId="0" xfId="1" applyFont="1" applyFill="1"/>
    <xf numFmtId="0" fontId="49" fillId="0" borderId="0" xfId="0" applyFont="1" applyFill="1" applyAlignment="1">
      <alignment horizontal="center"/>
    </xf>
    <xf numFmtId="0" fontId="65" fillId="0" borderId="0" xfId="0" applyFont="1" applyFill="1"/>
    <xf numFmtId="177" fontId="65" fillId="0" borderId="0" xfId="1" applyNumberFormat="1" applyFont="1" applyFill="1" applyAlignment="1">
      <alignment horizontal="center"/>
    </xf>
    <xf numFmtId="43" fontId="68" fillId="0" borderId="0" xfId="0" applyNumberFormat="1" applyFont="1" applyBorder="1"/>
    <xf numFmtId="2" fontId="56" fillId="0" borderId="6" xfId="4" applyNumberFormat="1" applyFont="1" applyFill="1" applyBorder="1" applyAlignment="1">
      <alignment horizontal="center"/>
    </xf>
    <xf numFmtId="2" fontId="53" fillId="0" borderId="9" xfId="1" applyNumberFormat="1" applyFont="1" applyFill="1" applyBorder="1" applyAlignment="1">
      <alignment horizontal="center"/>
    </xf>
    <xf numFmtId="0" fontId="53" fillId="0" borderId="15" xfId="75" applyFont="1" applyFill="1" applyBorder="1"/>
    <xf numFmtId="0" fontId="56" fillId="0" borderId="0" xfId="0" applyFont="1"/>
    <xf numFmtId="0" fontId="53" fillId="0" borderId="15" xfId="0" applyFont="1" applyFill="1" applyBorder="1"/>
    <xf numFmtId="0" fontId="65" fillId="0" borderId="0" xfId="0" applyFont="1" applyFill="1" applyBorder="1" applyAlignment="1">
      <alignment horizontal="center"/>
    </xf>
    <xf numFmtId="3" fontId="53" fillId="0" borderId="22" xfId="563" applyNumberFormat="1" applyFont="1" applyFill="1" applyBorder="1"/>
    <xf numFmtId="0" fontId="65" fillId="0" borderId="22" xfId="0" applyFont="1" applyFill="1" applyBorder="1" applyAlignment="1">
      <alignment horizontal="center"/>
    </xf>
    <xf numFmtId="164" fontId="65" fillId="0" borderId="0" xfId="0" applyNumberFormat="1" applyFont="1"/>
    <xf numFmtId="0" fontId="53" fillId="0" borderId="8" xfId="0" applyFont="1" applyFill="1" applyBorder="1"/>
    <xf numFmtId="0" fontId="68" fillId="0" borderId="4" xfId="0" applyFont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5" fillId="0" borderId="8" xfId="0" applyFont="1" applyFill="1" applyBorder="1" applyAlignment="1">
      <alignment horizontal="center"/>
    </xf>
    <xf numFmtId="37" fontId="56" fillId="0" borderId="4" xfId="512" applyNumberFormat="1" applyFont="1" applyFill="1" applyBorder="1" applyAlignment="1" applyProtection="1">
      <alignment horizontal="center" vertical="center"/>
    </xf>
    <xf numFmtId="37" fontId="56" fillId="0" borderId="22" xfId="512" applyNumberFormat="1" applyFont="1" applyFill="1" applyBorder="1" applyAlignment="1" applyProtection="1">
      <alignment horizontal="center" vertical="center"/>
    </xf>
    <xf numFmtId="0" fontId="47" fillId="0" borderId="22" xfId="0" applyFont="1" applyBorder="1" applyAlignment="1">
      <alignment horizontal="center"/>
    </xf>
    <xf numFmtId="0" fontId="68" fillId="0" borderId="4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8" fillId="0" borderId="12" xfId="0" applyFont="1" applyBorder="1" applyAlignment="1">
      <alignment horizontal="center" vertical="center"/>
    </xf>
    <xf numFmtId="0" fontId="65" fillId="0" borderId="4" xfId="0" applyFont="1" applyFill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47" fillId="0" borderId="0" xfId="0" applyFont="1" applyBorder="1"/>
    <xf numFmtId="0" fontId="68" fillId="0" borderId="6" xfId="0" applyFont="1" applyBorder="1"/>
    <xf numFmtId="0" fontId="54" fillId="0" borderId="4" xfId="0" applyFont="1" applyBorder="1" applyAlignment="1">
      <alignment horizontal="center" vertical="center"/>
    </xf>
    <xf numFmtId="37" fontId="56" fillId="0" borderId="11" xfId="512" applyNumberFormat="1" applyFont="1" applyFill="1" applyBorder="1" applyAlignment="1" applyProtection="1">
      <alignment horizontal="center" vertical="center"/>
    </xf>
    <xf numFmtId="177" fontId="65" fillId="0" borderId="22" xfId="1" applyNumberFormat="1" applyFont="1" applyFill="1" applyBorder="1"/>
    <xf numFmtId="177" fontId="65" fillId="0" borderId="8" xfId="1" applyNumberFormat="1" applyFont="1" applyFill="1" applyBorder="1"/>
    <xf numFmtId="177" fontId="53" fillId="0" borderId="22" xfId="1" applyNumberFormat="1" applyFont="1" applyFill="1" applyBorder="1"/>
    <xf numFmtId="177" fontId="53" fillId="0" borderId="8" xfId="1" applyNumberFormat="1" applyFont="1" applyFill="1" applyBorder="1"/>
    <xf numFmtId="177" fontId="52" fillId="0" borderId="0" xfId="1" applyNumberFormat="1" applyFont="1" applyFill="1" applyBorder="1"/>
    <xf numFmtId="177" fontId="65" fillId="0" borderId="0" xfId="1" applyNumberFormat="1" applyFont="1"/>
    <xf numFmtId="177" fontId="68" fillId="0" borderId="6" xfId="1" applyNumberFormat="1" applyFont="1" applyBorder="1"/>
    <xf numFmtId="43" fontId="53" fillId="0" borderId="0" xfId="1" applyFont="1" applyFill="1" applyBorder="1"/>
    <xf numFmtId="177" fontId="65" fillId="0" borderId="15" xfId="1" applyNumberFormat="1" applyFont="1" applyFill="1" applyBorder="1" applyAlignment="1">
      <alignment horizontal="center"/>
    </xf>
    <xf numFmtId="177" fontId="65" fillId="0" borderId="0" xfId="1" applyNumberFormat="1" applyFont="1" applyFill="1" applyBorder="1" applyAlignment="1">
      <alignment horizontal="center"/>
    </xf>
    <xf numFmtId="177" fontId="65" fillId="0" borderId="12" xfId="1" applyNumberFormat="1" applyFont="1" applyFill="1" applyBorder="1"/>
    <xf numFmtId="177" fontId="53" fillId="0" borderId="14" xfId="1" applyNumberFormat="1" applyFont="1" applyBorder="1"/>
    <xf numFmtId="177" fontId="65" fillId="0" borderId="11" xfId="1" applyNumberFormat="1" applyFont="1" applyFill="1" applyBorder="1"/>
    <xf numFmtId="177" fontId="53" fillId="0" borderId="15" xfId="1" applyNumberFormat="1" applyFont="1" applyBorder="1"/>
    <xf numFmtId="177" fontId="65" fillId="0" borderId="16" xfId="1" applyNumberFormat="1" applyFont="1" applyFill="1" applyBorder="1" applyAlignment="1">
      <alignment horizontal="center"/>
    </xf>
    <xf numFmtId="177" fontId="65" fillId="0" borderId="9" xfId="1" applyNumberFormat="1" applyFont="1" applyFill="1" applyBorder="1" applyAlignment="1">
      <alignment horizontal="center"/>
    </xf>
    <xf numFmtId="177" fontId="65" fillId="0" borderId="13" xfId="1" applyNumberFormat="1" applyFont="1" applyFill="1" applyBorder="1"/>
    <xf numFmtId="177" fontId="53" fillId="0" borderId="16" xfId="1" applyNumberFormat="1" applyFont="1" applyBorder="1"/>
    <xf numFmtId="177" fontId="53" fillId="0" borderId="0" xfId="1" applyNumberFormat="1" applyFont="1" applyFill="1" applyBorder="1"/>
    <xf numFmtId="177" fontId="56" fillId="0" borderId="19" xfId="1" applyNumberFormat="1" applyFont="1" applyFill="1" applyBorder="1"/>
    <xf numFmtId="177" fontId="65" fillId="0" borderId="0" xfId="1" applyNumberFormat="1" applyFont="1" applyBorder="1"/>
    <xf numFmtId="177" fontId="65" fillId="0" borderId="4" xfId="1" applyNumberFormat="1" applyFont="1" applyFill="1" applyBorder="1"/>
    <xf numFmtId="177" fontId="53" fillId="0" borderId="9" xfId="1" applyNumberFormat="1" applyFont="1" applyFill="1" applyBorder="1" applyAlignment="1">
      <alignment horizontal="center"/>
    </xf>
    <xf numFmtId="2" fontId="65" fillId="0" borderId="0" xfId="1" applyNumberFormat="1" applyFont="1" applyFill="1" applyAlignment="1">
      <alignment horizontal="center"/>
    </xf>
    <xf numFmtId="0" fontId="65" fillId="0" borderId="0" xfId="0" applyNumberFormat="1" applyFont="1" applyFill="1" applyAlignment="1">
      <alignment horizontal="center"/>
    </xf>
    <xf numFmtId="0" fontId="69" fillId="0" borderId="0" xfId="0" applyFont="1" applyFill="1" applyAlignment="1">
      <alignment horizontal="center"/>
    </xf>
    <xf numFmtId="0" fontId="65" fillId="0" borderId="4" xfId="0" applyFont="1" applyFill="1" applyBorder="1"/>
    <xf numFmtId="177" fontId="56" fillId="0" borderId="18" xfId="1" applyNumberFormat="1" applyFont="1" applyFill="1" applyBorder="1"/>
    <xf numFmtId="177" fontId="53" fillId="0" borderId="4" xfId="1" applyNumberFormat="1" applyFont="1" applyFill="1" applyBorder="1"/>
    <xf numFmtId="177" fontId="65" fillId="0" borderId="18" xfId="1" applyNumberFormat="1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177" fontId="65" fillId="0" borderId="19" xfId="1" applyNumberFormat="1" applyFont="1" applyFill="1" applyBorder="1" applyAlignment="1">
      <alignment horizontal="center"/>
    </xf>
    <xf numFmtId="177" fontId="53" fillId="0" borderId="20" xfId="1" applyNumberFormat="1" applyFont="1" applyFill="1" applyBorder="1"/>
    <xf numFmtId="0" fontId="65" fillId="0" borderId="19" xfId="0" applyFont="1" applyFill="1" applyBorder="1" applyAlignment="1">
      <alignment horizontal="center"/>
    </xf>
    <xf numFmtId="0" fontId="68" fillId="0" borderId="6" xfId="0" applyFont="1" applyFill="1" applyBorder="1"/>
    <xf numFmtId="177" fontId="68" fillId="0" borderId="6" xfId="1" applyNumberFormat="1" applyFont="1" applyFill="1" applyBorder="1"/>
    <xf numFmtId="43" fontId="68" fillId="0" borderId="6" xfId="0" applyNumberFormat="1" applyFont="1" applyFill="1" applyBorder="1"/>
    <xf numFmtId="0" fontId="52" fillId="0" borderId="0" xfId="0" applyFont="1" applyFill="1" applyBorder="1" applyAlignment="1">
      <alignment horizontal="left"/>
    </xf>
    <xf numFmtId="2" fontId="53" fillId="0" borderId="0" xfId="1" applyNumberFormat="1" applyFont="1" applyFill="1" applyBorder="1" applyAlignment="1">
      <alignment horizontal="center"/>
    </xf>
    <xf numFmtId="0" fontId="53" fillId="0" borderId="0" xfId="1" applyNumberFormat="1" applyFont="1" applyFill="1" applyBorder="1" applyAlignment="1">
      <alignment horizontal="center"/>
    </xf>
    <xf numFmtId="0" fontId="65" fillId="0" borderId="14" xfId="0" applyFont="1" applyFill="1" applyBorder="1"/>
    <xf numFmtId="0" fontId="70" fillId="0" borderId="10" xfId="0" applyFont="1" applyFill="1" applyBorder="1" applyAlignment="1">
      <alignment horizontal="right" indent="1"/>
    </xf>
    <xf numFmtId="0" fontId="65" fillId="0" borderId="10" xfId="0" applyFont="1" applyFill="1" applyBorder="1"/>
    <xf numFmtId="0" fontId="65" fillId="0" borderId="11" xfId="0" applyFont="1" applyFill="1" applyBorder="1"/>
    <xf numFmtId="43" fontId="47" fillId="0" borderId="0" xfId="1" applyFont="1" applyFill="1"/>
    <xf numFmtId="0" fontId="47" fillId="0" borderId="0" xfId="0" applyFont="1" applyFill="1"/>
    <xf numFmtId="0" fontId="65" fillId="0" borderId="15" xfId="0" applyFont="1" applyFill="1" applyBorder="1"/>
    <xf numFmtId="0" fontId="65" fillId="0" borderId="0" xfId="0" applyFont="1" applyFill="1" applyBorder="1"/>
    <xf numFmtId="0" fontId="68" fillId="0" borderId="0" xfId="0" applyFont="1" applyFill="1" applyBorder="1" applyAlignment="1">
      <alignment horizontal="right"/>
    </xf>
    <xf numFmtId="164" fontId="71" fillId="0" borderId="0" xfId="310" applyNumberFormat="1" applyFont="1" applyFill="1" applyBorder="1"/>
    <xf numFmtId="0" fontId="65" fillId="0" borderId="12" xfId="0" applyFont="1" applyFill="1" applyBorder="1"/>
    <xf numFmtId="164" fontId="65" fillId="0" borderId="0" xfId="310" applyNumberFormat="1" applyFont="1" applyFill="1" applyBorder="1"/>
    <xf numFmtId="0" fontId="68" fillId="0" borderId="0" xfId="0" applyFont="1" applyFill="1" applyBorder="1"/>
    <xf numFmtId="164" fontId="68" fillId="0" borderId="0" xfId="310" applyNumberFormat="1" applyFont="1" applyFill="1" applyBorder="1"/>
    <xf numFmtId="3" fontId="65" fillId="0" borderId="0" xfId="0" applyNumberFormat="1" applyFont="1" applyFill="1"/>
    <xf numFmtId="164" fontId="65" fillId="0" borderId="0" xfId="0" applyNumberFormat="1" applyFont="1" applyFill="1" applyBorder="1"/>
    <xf numFmtId="0" fontId="65" fillId="0" borderId="0" xfId="0" applyNumberFormat="1" applyFont="1" applyFill="1" applyBorder="1" applyAlignment="1">
      <alignment horizontal="center"/>
    </xf>
    <xf numFmtId="0" fontId="65" fillId="0" borderId="16" xfId="0" applyFont="1" applyFill="1" applyBorder="1"/>
    <xf numFmtId="0" fontId="65" fillId="0" borderId="9" xfId="0" applyFont="1" applyFill="1" applyBorder="1"/>
    <xf numFmtId="0" fontId="69" fillId="0" borderId="9" xfId="0" applyFont="1" applyFill="1" applyBorder="1" applyAlignment="1">
      <alignment horizontal="right"/>
    </xf>
    <xf numFmtId="164" fontId="69" fillId="0" borderId="9" xfId="310" applyNumberFormat="1" applyFont="1" applyFill="1" applyBorder="1" applyAlignment="1">
      <alignment horizontal="center"/>
    </xf>
    <xf numFmtId="10" fontId="69" fillId="0" borderId="13" xfId="2" applyNumberFormat="1" applyFont="1" applyFill="1" applyBorder="1" applyAlignment="1">
      <alignment horizontal="center"/>
    </xf>
    <xf numFmtId="43" fontId="68" fillId="0" borderId="0" xfId="1" applyFont="1" applyFill="1" applyBorder="1"/>
    <xf numFmtId="43" fontId="68" fillId="0" borderId="0" xfId="0" applyNumberFormat="1" applyFont="1" applyFill="1" applyBorder="1"/>
    <xf numFmtId="2" fontId="68" fillId="0" borderId="0" xfId="0" applyNumberFormat="1" applyFont="1" applyFill="1" applyBorder="1" applyAlignment="1">
      <alignment horizontal="center"/>
    </xf>
    <xf numFmtId="0" fontId="69" fillId="0" borderId="0" xfId="0" applyNumberFormat="1" applyFont="1" applyFill="1" applyAlignment="1">
      <alignment horizontal="center"/>
    </xf>
    <xf numFmtId="0" fontId="65" fillId="0" borderId="0" xfId="1" applyNumberFormat="1" applyFont="1" applyFill="1" applyBorder="1" applyAlignment="1">
      <alignment horizontal="center"/>
    </xf>
    <xf numFmtId="2" fontId="47" fillId="0" borderId="0" xfId="1" applyNumberFormat="1" applyFont="1" applyFill="1" applyAlignment="1">
      <alignment horizontal="center"/>
    </xf>
    <xf numFmtId="0" fontId="47" fillId="0" borderId="0" xfId="0" applyNumberFormat="1" applyFont="1" applyFill="1" applyAlignment="1">
      <alignment horizontal="center"/>
    </xf>
    <xf numFmtId="177" fontId="53" fillId="0" borderId="0" xfId="1" applyNumberFormat="1" applyFont="1" applyFill="1"/>
    <xf numFmtId="177" fontId="68" fillId="0" borderId="0" xfId="1" applyNumberFormat="1" applyFont="1" applyFill="1" applyBorder="1"/>
    <xf numFmtId="177" fontId="47" fillId="0" borderId="0" xfId="1" applyNumberFormat="1" applyFont="1" applyFill="1"/>
    <xf numFmtId="37" fontId="53" fillId="0" borderId="0" xfId="1126" applyNumberFormat="1" applyFont="1" applyFill="1" applyBorder="1"/>
    <xf numFmtId="177" fontId="53" fillId="0" borderId="0" xfId="1191" applyNumberFormat="1" applyFont="1" applyFill="1" applyBorder="1"/>
    <xf numFmtId="3" fontId="53" fillId="0" borderId="0" xfId="1126" applyNumberFormat="1" applyFont="1" applyFill="1" applyBorder="1"/>
    <xf numFmtId="43" fontId="53" fillId="0" borderId="0" xfId="1" applyNumberFormat="1" applyFont="1" applyFill="1" applyBorder="1"/>
    <xf numFmtId="3" fontId="53" fillId="0" borderId="22" xfId="1126" applyNumberFormat="1" applyFont="1" applyFill="1" applyBorder="1"/>
    <xf numFmtId="0" fontId="53" fillId="0" borderId="15" xfId="1126" applyFont="1" applyFill="1" applyBorder="1"/>
    <xf numFmtId="177" fontId="53" fillId="0" borderId="22" xfId="1" applyNumberFormat="1" applyFont="1" applyFill="1" applyBorder="1"/>
    <xf numFmtId="177" fontId="53" fillId="0" borderId="8" xfId="1" applyNumberFormat="1" applyFont="1" applyFill="1" applyBorder="1"/>
    <xf numFmtId="177" fontId="53" fillId="0" borderId="0" xfId="1" applyNumberFormat="1" applyFont="1" applyFill="1" applyBorder="1"/>
    <xf numFmtId="177" fontId="53" fillId="0" borderId="9" xfId="1" applyNumberFormat="1" applyFont="1" applyFill="1" applyBorder="1"/>
    <xf numFmtId="177" fontId="53" fillId="0" borderId="7" xfId="1" applyNumberFormat="1" applyFont="1" applyFill="1" applyBorder="1"/>
    <xf numFmtId="177" fontId="53" fillId="0" borderId="11" xfId="1" applyNumberFormat="1" applyFont="1" applyFill="1" applyBorder="1"/>
    <xf numFmtId="177" fontId="53" fillId="0" borderId="21" xfId="1" applyNumberFormat="1" applyFont="1" applyFill="1" applyBorder="1" applyAlignment="1">
      <alignment horizontal="center"/>
    </xf>
    <xf numFmtId="177" fontId="53" fillId="0" borderId="14" xfId="1" applyNumberFormat="1" applyFont="1" applyFill="1" applyBorder="1"/>
    <xf numFmtId="177" fontId="53" fillId="0" borderId="10" xfId="1" applyNumberFormat="1" applyFont="1" applyFill="1" applyBorder="1"/>
    <xf numFmtId="177" fontId="53" fillId="0" borderId="12" xfId="1" applyNumberFormat="1" applyFont="1" applyFill="1" applyBorder="1"/>
    <xf numFmtId="177" fontId="53" fillId="0" borderId="12" xfId="1" applyNumberFormat="1" applyFont="1" applyFill="1" applyBorder="1" applyAlignment="1">
      <alignment horizontal="center"/>
    </xf>
    <xf numFmtId="177" fontId="53" fillId="0" borderId="15" xfId="1" applyNumberFormat="1" applyFont="1" applyFill="1" applyBorder="1"/>
    <xf numFmtId="177" fontId="53" fillId="0" borderId="13" xfId="1" applyNumberFormat="1" applyFont="1" applyFill="1" applyBorder="1"/>
    <xf numFmtId="177" fontId="53" fillId="0" borderId="13" xfId="1" applyNumberFormat="1" applyFont="1" applyFill="1" applyBorder="1" applyAlignment="1">
      <alignment horizontal="center"/>
    </xf>
    <xf numFmtId="177" fontId="53" fillId="0" borderId="16" xfId="1" applyNumberFormat="1" applyFont="1" applyFill="1" applyBorder="1"/>
    <xf numFmtId="0" fontId="53" fillId="0" borderId="14" xfId="1126" applyFont="1" applyFill="1" applyBorder="1"/>
    <xf numFmtId="0" fontId="53" fillId="0" borderId="15" xfId="1126" applyFont="1" applyFill="1" applyBorder="1" applyAlignment="1" applyProtection="1">
      <alignment horizontal="left"/>
    </xf>
    <xf numFmtId="0" fontId="53" fillId="0" borderId="16" xfId="1126" applyFont="1" applyFill="1" applyBorder="1"/>
    <xf numFmtId="0" fontId="53" fillId="0" borderId="8" xfId="0" applyNumberFormat="1" applyFont="1" applyFill="1" applyBorder="1" applyAlignment="1">
      <alignment horizontal="center"/>
    </xf>
    <xf numFmtId="43" fontId="53" fillId="0" borderId="0" xfId="1211" applyFont="1" applyFill="1"/>
    <xf numFmtId="0" fontId="53" fillId="0" borderId="0" xfId="1086" applyFont="1" applyFill="1" applyBorder="1"/>
    <xf numFmtId="0" fontId="53" fillId="0" borderId="0" xfId="1082" applyFont="1" applyFill="1" applyBorder="1"/>
    <xf numFmtId="0" fontId="53" fillId="0" borderId="0" xfId="1080" applyFont="1" applyFill="1" applyBorder="1"/>
    <xf numFmtId="0" fontId="53" fillId="0" borderId="0" xfId="1074" applyFont="1" applyFill="1" applyBorder="1"/>
    <xf numFmtId="0" fontId="53" fillId="0" borderId="0" xfId="1068" applyFont="1" applyFill="1" applyBorder="1"/>
    <xf numFmtId="0" fontId="53" fillId="0" borderId="0" xfId="1066" applyFont="1" applyFill="1" applyBorder="1"/>
    <xf numFmtId="0" fontId="65" fillId="0" borderId="0" xfId="0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0" fontId="65" fillId="0" borderId="12" xfId="0" applyFont="1" applyFill="1" applyBorder="1" applyAlignment="1">
      <alignment horizontal="center"/>
    </xf>
    <xf numFmtId="10" fontId="65" fillId="0" borderId="0" xfId="2" applyNumberFormat="1" applyFont="1" applyFill="1" applyAlignment="1">
      <alignment horizontal="center"/>
    </xf>
    <xf numFmtId="177" fontId="65" fillId="0" borderId="0" xfId="1" applyNumberFormat="1" applyFont="1" applyFill="1"/>
    <xf numFmtId="0" fontId="65" fillId="0" borderId="16" xfId="0" applyFont="1" applyFill="1" applyBorder="1" applyAlignment="1">
      <alignment horizontal="center"/>
    </xf>
    <xf numFmtId="0" fontId="65" fillId="0" borderId="9" xfId="0" applyFont="1" applyFill="1" applyBorder="1" applyAlignment="1">
      <alignment horizontal="center"/>
    </xf>
    <xf numFmtId="0" fontId="65" fillId="0" borderId="13" xfId="0" applyFont="1" applyFill="1" applyBorder="1" applyAlignment="1">
      <alignment horizontal="center"/>
    </xf>
    <xf numFmtId="177" fontId="65" fillId="0" borderId="0" xfId="1" applyNumberFormat="1" applyFont="1" applyFill="1" applyAlignment="1">
      <alignment horizontal="center"/>
    </xf>
    <xf numFmtId="0" fontId="65" fillId="0" borderId="22" xfId="0" applyFont="1" applyFill="1" applyBorder="1" applyAlignment="1">
      <alignment horizontal="center"/>
    </xf>
    <xf numFmtId="2" fontId="53" fillId="0" borderId="8" xfId="1" applyNumberFormat="1" applyFont="1" applyFill="1" applyBorder="1" applyAlignment="1">
      <alignment horizontal="center"/>
    </xf>
    <xf numFmtId="2" fontId="53" fillId="0" borderId="7" xfId="1" applyNumberFormat="1" applyFont="1" applyFill="1" applyBorder="1" applyAlignment="1">
      <alignment horizontal="center"/>
    </xf>
    <xf numFmtId="2" fontId="53" fillId="0" borderId="22" xfId="1" applyNumberFormat="1" applyFont="1" applyFill="1" applyBorder="1" applyAlignment="1">
      <alignment horizontal="center"/>
    </xf>
    <xf numFmtId="0" fontId="53" fillId="0" borderId="7" xfId="0" applyNumberFormat="1" applyFont="1" applyFill="1" applyBorder="1" applyAlignment="1">
      <alignment horizontal="center"/>
    </xf>
    <xf numFmtId="0" fontId="53" fillId="0" borderId="22" xfId="0" applyNumberFormat="1" applyFont="1" applyFill="1" applyBorder="1" applyAlignment="1">
      <alignment horizontal="center"/>
    </xf>
    <xf numFmtId="177" fontId="56" fillId="0" borderId="6" xfId="1" applyNumberFormat="1" applyFont="1" applyFill="1" applyBorder="1"/>
    <xf numFmtId="43" fontId="53" fillId="0" borderId="0" xfId="0" applyNumberFormat="1" applyFont="1" applyFill="1" applyBorder="1"/>
    <xf numFmtId="177" fontId="65" fillId="0" borderId="22" xfId="1" applyNumberFormat="1" applyFont="1" applyFill="1" applyBorder="1"/>
    <xf numFmtId="177" fontId="65" fillId="0" borderId="8" xfId="1" applyNumberFormat="1" applyFont="1" applyFill="1" applyBorder="1"/>
    <xf numFmtId="0" fontId="65" fillId="0" borderId="8" xfId="0" applyFont="1" applyFill="1" applyBorder="1" applyAlignment="1">
      <alignment horizontal="center"/>
    </xf>
    <xf numFmtId="43" fontId="65" fillId="0" borderId="0" xfId="1" applyNumberFormat="1" applyFont="1" applyFill="1"/>
    <xf numFmtId="0" fontId="65" fillId="0" borderId="22" xfId="0" applyFont="1" applyBorder="1"/>
    <xf numFmtId="177" fontId="68" fillId="0" borderId="22" xfId="1" applyNumberFormat="1" applyFont="1" applyBorder="1"/>
    <xf numFmtId="177" fontId="65" fillId="0" borderId="15" xfId="1" applyNumberFormat="1" applyFont="1" applyBorder="1"/>
    <xf numFmtId="177" fontId="53" fillId="0" borderId="12" xfId="1" applyNumberFormat="1" applyFont="1" applyBorder="1"/>
    <xf numFmtId="177" fontId="65" fillId="0" borderId="0" xfId="1" applyNumberFormat="1" applyFont="1" applyBorder="1" applyAlignment="1">
      <alignment horizontal="center"/>
    </xf>
    <xf numFmtId="177" fontId="65" fillId="0" borderId="15" xfId="1" applyNumberFormat="1" applyFont="1" applyBorder="1" applyAlignment="1">
      <alignment horizontal="center"/>
    </xf>
    <xf numFmtId="177" fontId="53" fillId="0" borderId="22" xfId="1" applyNumberFormat="1" applyFont="1" applyBorder="1"/>
    <xf numFmtId="0" fontId="73" fillId="0" borderId="22" xfId="1221" applyFont="1" applyFill="1" applyBorder="1"/>
    <xf numFmtId="0" fontId="73" fillId="0" borderId="22" xfId="1226" applyFont="1" applyFill="1" applyBorder="1"/>
    <xf numFmtId="0" fontId="56" fillId="0" borderId="0" xfId="0" applyFont="1" applyFill="1"/>
    <xf numFmtId="0" fontId="72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9" fontId="48" fillId="0" borderId="0" xfId="2" applyFont="1" applyFill="1" applyBorder="1" applyAlignment="1">
      <alignment horizontal="center"/>
    </xf>
    <xf numFmtId="0" fontId="49" fillId="0" borderId="0" xfId="0" quotePrefix="1" applyFont="1" applyFill="1" applyAlignment="1">
      <alignment horizontal="center"/>
    </xf>
    <xf numFmtId="43" fontId="49" fillId="0" borderId="0" xfId="1" applyFont="1" applyFill="1" applyAlignment="1">
      <alignment horizontal="center"/>
    </xf>
    <xf numFmtId="2" fontId="49" fillId="0" borderId="0" xfId="1" applyNumberFormat="1" applyFont="1" applyFill="1" applyAlignment="1">
      <alignment horizontal="center"/>
    </xf>
    <xf numFmtId="0" fontId="49" fillId="0" borderId="0" xfId="0" quotePrefix="1" applyNumberFormat="1" applyFont="1" applyFill="1" applyAlignment="1">
      <alignment horizontal="center"/>
    </xf>
    <xf numFmtId="0" fontId="49" fillId="0" borderId="0" xfId="0" applyFont="1" applyFill="1" applyBorder="1" applyAlignment="1">
      <alignment horizontal="center"/>
    </xf>
    <xf numFmtId="9" fontId="49" fillId="0" borderId="0" xfId="2" quotePrefix="1" applyFont="1" applyFill="1" applyBorder="1" applyAlignment="1">
      <alignment horizontal="center"/>
    </xf>
    <xf numFmtId="6" fontId="57" fillId="0" borderId="0" xfId="0" quotePrefix="1" applyNumberFormat="1" applyFont="1" applyFill="1" applyBorder="1" applyAlignment="1">
      <alignment horizontal="center"/>
    </xf>
    <xf numFmtId="0" fontId="49" fillId="0" borderId="0" xfId="1" applyNumberFormat="1" applyFont="1" applyFill="1" applyAlignment="1">
      <alignment horizontal="center"/>
    </xf>
    <xf numFmtId="0" fontId="54" fillId="0" borderId="7" xfId="0" applyFont="1" applyFill="1" applyBorder="1" applyAlignment="1">
      <alignment horizontal="center" vertical="center"/>
    </xf>
    <xf numFmtId="37" fontId="56" fillId="0" borderId="10" xfId="534" applyNumberFormat="1" applyFont="1" applyFill="1" applyBorder="1" applyAlignment="1" applyProtection="1">
      <alignment horizontal="center" vertical="center"/>
    </xf>
    <xf numFmtId="37" fontId="56" fillId="0" borderId="11" xfId="534" applyNumberFormat="1" applyFont="1" applyFill="1" applyBorder="1" applyAlignment="1" applyProtection="1">
      <alignment horizontal="center" vertical="center"/>
    </xf>
    <xf numFmtId="37" fontId="56" fillId="0" borderId="11" xfId="512" applyNumberFormat="1" applyFont="1" applyFill="1" applyBorder="1" applyAlignment="1" applyProtection="1">
      <alignment horizontal="center" vertical="center" wrapText="1"/>
    </xf>
    <xf numFmtId="0" fontId="68" fillId="0" borderId="4" xfId="0" applyFont="1" applyFill="1" applyBorder="1" applyAlignment="1">
      <alignment horizontal="center" wrapText="1"/>
    </xf>
    <xf numFmtId="43" fontId="68" fillId="0" borderId="4" xfId="1" applyFont="1" applyFill="1" applyBorder="1" applyAlignment="1">
      <alignment horizontal="center" wrapText="1"/>
    </xf>
    <xf numFmtId="0" fontId="71" fillId="0" borderId="4" xfId="0" applyFont="1" applyFill="1" applyBorder="1" applyAlignment="1">
      <alignment horizontal="center" wrapText="1"/>
    </xf>
    <xf numFmtId="43" fontId="68" fillId="0" borderId="7" xfId="1" applyFont="1" applyFill="1" applyBorder="1" applyAlignment="1">
      <alignment horizontal="center" vertical="top" wrapText="1"/>
    </xf>
    <xf numFmtId="43" fontId="68" fillId="0" borderId="7" xfId="1" applyFont="1" applyFill="1" applyBorder="1" applyAlignment="1">
      <alignment horizontal="center" wrapText="1"/>
    </xf>
    <xf numFmtId="2" fontId="68" fillId="0" borderId="7" xfId="1" applyNumberFormat="1" applyFont="1" applyFill="1" applyBorder="1" applyAlignment="1">
      <alignment horizontal="center" wrapText="1"/>
    </xf>
    <xf numFmtId="0" fontId="68" fillId="0" borderId="7" xfId="0" applyFont="1" applyFill="1" applyBorder="1" applyAlignment="1">
      <alignment horizontal="center" wrapText="1"/>
    </xf>
    <xf numFmtId="0" fontId="68" fillId="0" borderId="4" xfId="0" applyNumberFormat="1" applyFont="1" applyFill="1" applyBorder="1" applyAlignment="1">
      <alignment horizontal="center" wrapText="1"/>
    </xf>
    <xf numFmtId="0" fontId="68" fillId="0" borderId="0" xfId="0" applyFont="1" applyFill="1" applyAlignment="1">
      <alignment horizontal="center" wrapText="1"/>
    </xf>
    <xf numFmtId="0" fontId="68" fillId="0" borderId="0" xfId="0" applyFont="1" applyFill="1" applyAlignment="1">
      <alignment horizontal="center"/>
    </xf>
    <xf numFmtId="0" fontId="68" fillId="0" borderId="7" xfId="0" applyFont="1" applyFill="1" applyBorder="1" applyAlignment="1">
      <alignment horizontal="center"/>
    </xf>
    <xf numFmtId="3" fontId="53" fillId="0" borderId="7" xfId="1126" applyNumberFormat="1" applyFont="1" applyFill="1" applyBorder="1"/>
    <xf numFmtId="38" fontId="53" fillId="0" borderId="0" xfId="1126" applyNumberFormat="1" applyFont="1" applyFill="1" applyBorder="1"/>
    <xf numFmtId="38" fontId="53" fillId="0" borderId="22" xfId="1126" applyNumberFormat="1" applyFont="1" applyFill="1" applyBorder="1"/>
    <xf numFmtId="3" fontId="53" fillId="0" borderId="9" xfId="1126" applyNumberFormat="1" applyFont="1" applyFill="1" applyBorder="1"/>
    <xf numFmtId="177" fontId="53" fillId="0" borderId="9" xfId="1191" applyNumberFormat="1" applyFont="1" applyFill="1" applyBorder="1"/>
    <xf numFmtId="3" fontId="53" fillId="0" borderId="8" xfId="1126" applyNumberFormat="1" applyFont="1" applyFill="1" applyBorder="1"/>
    <xf numFmtId="164" fontId="65" fillId="0" borderId="0" xfId="0" applyNumberFormat="1" applyFont="1" applyFill="1"/>
    <xf numFmtId="0" fontId="64" fillId="0" borderId="14" xfId="1126" applyFont="1" applyFill="1" applyBorder="1"/>
    <xf numFmtId="43" fontId="64" fillId="0" borderId="10" xfId="1220" applyFont="1" applyFill="1" applyBorder="1"/>
    <xf numFmtId="43" fontId="64" fillId="0" borderId="11" xfId="1220" applyFont="1" applyFill="1" applyBorder="1"/>
    <xf numFmtId="0" fontId="64" fillId="0" borderId="16" xfId="1126" applyFont="1" applyFill="1" applyBorder="1"/>
    <xf numFmtId="43" fontId="64" fillId="0" borderId="9" xfId="1220" applyFont="1" applyFill="1" applyBorder="1"/>
    <xf numFmtId="43" fontId="64" fillId="0" borderId="13" xfId="1220" applyFont="1" applyFill="1" applyBorder="1"/>
    <xf numFmtId="0" fontId="34" fillId="0" borderId="0" xfId="0" applyFont="1" applyFill="1" applyBorder="1"/>
    <xf numFmtId="0" fontId="32" fillId="0" borderId="0" xfId="602" applyNumberFormat="1" applyFont="1" applyFill="1"/>
    <xf numFmtId="0" fontId="32" fillId="0" borderId="0" xfId="510" applyNumberFormat="1" applyFont="1" applyFill="1" applyAlignment="1">
      <alignment horizontal="center"/>
    </xf>
    <xf numFmtId="0" fontId="32" fillId="0" borderId="0" xfId="510" applyNumberFormat="1" applyFont="1" applyFill="1"/>
    <xf numFmtId="0" fontId="32" fillId="0" borderId="0" xfId="0" applyFont="1" applyFill="1" applyBorder="1"/>
    <xf numFmtId="0" fontId="32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53" fillId="0" borderId="0" xfId="602" applyNumberFormat="1" applyFont="1" applyFill="1" applyAlignment="1">
      <alignment horizontal="center"/>
    </xf>
    <xf numFmtId="1" fontId="64" fillId="0" borderId="0" xfId="510" applyFont="1" applyFill="1" applyAlignment="1">
      <alignment horizontal="center"/>
    </xf>
    <xf numFmtId="0" fontId="63" fillId="0" borderId="0" xfId="602" applyNumberFormat="1" applyFont="1" applyFill="1" applyAlignment="1">
      <alignment horizontal="center"/>
    </xf>
    <xf numFmtId="0" fontId="63" fillId="0" borderId="0" xfId="602" applyNumberFormat="1" applyFont="1" applyFill="1"/>
    <xf numFmtId="0" fontId="52" fillId="0" borderId="0" xfId="602" applyNumberFormat="1" applyFont="1" applyFill="1" applyAlignment="1">
      <alignment horizontal="center"/>
    </xf>
    <xf numFmtId="37" fontId="53" fillId="0" borderId="7" xfId="585" applyNumberFormat="1" applyFont="1" applyFill="1" applyBorder="1" applyAlignment="1" applyProtection="1">
      <alignment horizontal="center"/>
    </xf>
    <xf numFmtId="37" fontId="53" fillId="0" borderId="14" xfId="585" applyNumberFormat="1" applyFont="1" applyFill="1" applyBorder="1" applyAlignment="1" applyProtection="1">
      <alignment horizontal="center"/>
    </xf>
    <xf numFmtId="178" fontId="53" fillId="0" borderId="11" xfId="585" applyNumberFormat="1" applyFont="1" applyFill="1" applyBorder="1" applyAlignment="1" applyProtection="1">
      <alignment horizontal="center"/>
    </xf>
    <xf numFmtId="1" fontId="53" fillId="0" borderId="22" xfId="512" applyFont="1" applyFill="1" applyBorder="1" applyAlignment="1">
      <alignment horizontal="center"/>
    </xf>
    <xf numFmtId="37" fontId="53" fillId="0" borderId="15" xfId="585" applyNumberFormat="1" applyFont="1" applyFill="1" applyBorder="1" applyAlignment="1" applyProtection="1">
      <alignment horizontal="center"/>
    </xf>
    <xf numFmtId="178" fontId="53" fillId="0" borderId="12" xfId="585" applyNumberFormat="1" applyFont="1" applyFill="1" applyBorder="1" applyAlignment="1" applyProtection="1">
      <alignment horizontal="center"/>
    </xf>
    <xf numFmtId="37" fontId="53" fillId="0" borderId="8" xfId="585" applyNumberFormat="1" applyFont="1" applyFill="1" applyBorder="1" applyAlignment="1" applyProtection="1">
      <alignment horizontal="center"/>
    </xf>
    <xf numFmtId="0" fontId="52" fillId="0" borderId="9" xfId="602" applyNumberFormat="1" applyFont="1" applyFill="1" applyBorder="1"/>
    <xf numFmtId="37" fontId="53" fillId="0" borderId="16" xfId="585" applyNumberFormat="1" applyFont="1" applyFill="1" applyBorder="1" applyAlignment="1" applyProtection="1">
      <alignment horizontal="center"/>
    </xf>
    <xf numFmtId="178" fontId="62" fillId="0" borderId="13" xfId="585" quotePrefix="1" applyNumberFormat="1" applyFont="1" applyFill="1" applyBorder="1" applyAlignment="1" applyProtection="1">
      <alignment horizontal="center"/>
      <protection locked="0"/>
    </xf>
    <xf numFmtId="1" fontId="50" fillId="0" borderId="0" xfId="510" applyFont="1" applyFill="1"/>
    <xf numFmtId="1" fontId="51" fillId="0" borderId="0" xfId="510" applyFill="1" applyBorder="1"/>
    <xf numFmtId="174" fontId="53" fillId="0" borderId="8" xfId="585" applyNumberFormat="1" applyFont="1" applyFill="1" applyBorder="1" applyAlignment="1" applyProtection="1">
      <alignment horizontal="center"/>
    </xf>
    <xf numFmtId="175" fontId="53" fillId="0" borderId="16" xfId="585" applyNumberFormat="1" applyFont="1" applyFill="1" applyBorder="1" applyAlignment="1">
      <alignment horizontal="center"/>
    </xf>
    <xf numFmtId="0" fontId="52" fillId="0" borderId="0" xfId="510" applyNumberFormat="1" applyFont="1" applyFill="1" applyAlignment="1">
      <alignment horizontal="center"/>
    </xf>
    <xf numFmtId="0" fontId="47" fillId="0" borderId="18" xfId="0" applyFont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74" fillId="0" borderId="18" xfId="0" applyFont="1" applyBorder="1" applyAlignment="1">
      <alignment horizontal="center"/>
    </xf>
    <xf numFmtId="0" fontId="74" fillId="0" borderId="19" xfId="0" applyFont="1" applyBorder="1" applyAlignment="1">
      <alignment horizontal="center"/>
    </xf>
    <xf numFmtId="0" fontId="74" fillId="0" borderId="20" xfId="0" applyFont="1" applyBorder="1" applyAlignment="1">
      <alignment horizontal="center"/>
    </xf>
    <xf numFmtId="0" fontId="47" fillId="0" borderId="18" xfId="0" applyFont="1" applyFill="1" applyBorder="1" applyAlignment="1">
      <alignment horizontal="center"/>
    </xf>
    <xf numFmtId="0" fontId="47" fillId="0" borderId="19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/>
    </xf>
    <xf numFmtId="0" fontId="47" fillId="0" borderId="4" xfId="0" applyFont="1" applyFill="1" applyBorder="1" applyAlignment="1">
      <alignment horizontal="center"/>
    </xf>
    <xf numFmtId="0" fontId="49" fillId="0" borderId="0" xfId="0" applyFont="1" applyFill="1" applyAlignment="1">
      <alignment horizontal="center"/>
    </xf>
    <xf numFmtId="6" fontId="57" fillId="0" borderId="9" xfId="0" quotePrefix="1" applyNumberFormat="1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19" xfId="0" applyFont="1" applyFill="1" applyBorder="1" applyAlignment="1">
      <alignment horizontal="center"/>
    </xf>
    <xf numFmtId="0" fontId="49" fillId="0" borderId="20" xfId="0" applyFont="1" applyFill="1" applyBorder="1" applyAlignment="1">
      <alignment horizontal="center"/>
    </xf>
    <xf numFmtId="0" fontId="63" fillId="0" borderId="0" xfId="602" applyNumberFormat="1" applyFont="1" applyFill="1" applyAlignment="1">
      <alignment horizontal="center"/>
    </xf>
    <xf numFmtId="0" fontId="54" fillId="0" borderId="0" xfId="602" applyNumberFormat="1" applyFont="1" applyFill="1" applyAlignment="1">
      <alignment horizontal="center"/>
    </xf>
    <xf numFmtId="0" fontId="75" fillId="0" borderId="0" xfId="0" applyFont="1"/>
    <xf numFmtId="0" fontId="77" fillId="0" borderId="0" xfId="0" applyFont="1" applyFill="1"/>
    <xf numFmtId="0" fontId="76" fillId="0" borderId="0" xfId="510" applyNumberFormat="1" applyFont="1" applyFill="1" applyAlignment="1">
      <alignment horizontal="left"/>
    </xf>
  </cellXfs>
  <cellStyles count="2618">
    <cellStyle name="_x0013_" xfId="11"/>
    <cellStyle name="_x0013_ 2" xfId="12"/>
    <cellStyle name="??_HB_diagram-HHH" xfId="13"/>
    <cellStyle name="_x0013__Ocotillo" xfId="14"/>
    <cellStyle name="Bad 2" xfId="15"/>
    <cellStyle name="Check Cell 2" xfId="16"/>
    <cellStyle name="Check Cell 3" xfId="17"/>
    <cellStyle name="Check Cell 3 2" xfId="18"/>
    <cellStyle name="Check Cell 3 3" xfId="19"/>
    <cellStyle name="Comma" xfId="1" builtinId="3"/>
    <cellStyle name="Comma  - Style1" xfId="20"/>
    <cellStyle name="Comma  - Style2" xfId="21"/>
    <cellStyle name="Comma  - Style3" xfId="22"/>
    <cellStyle name="Comma  - Style4" xfId="23"/>
    <cellStyle name="Comma  - Style5" xfId="24"/>
    <cellStyle name="Comma  - Style6" xfId="25"/>
    <cellStyle name="Comma  - Style7" xfId="26"/>
    <cellStyle name="Comma  - Style8" xfId="27"/>
    <cellStyle name="Comma [0] 2" xfId="863"/>
    <cellStyle name="Comma [0] 2 2" xfId="864"/>
    <cellStyle name="Comma [0] 2 2 2" xfId="1218"/>
    <cellStyle name="Comma [0] 2 2 2 2" xfId="1902"/>
    <cellStyle name="Comma [0] 2 2 2 3" xfId="2597"/>
    <cellStyle name="Comma [0] 2 2 3" xfId="1649"/>
    <cellStyle name="Comma [0] 2 2 4" xfId="2181"/>
    <cellStyle name="Comma [0] 2 2 5" xfId="2463"/>
    <cellStyle name="Comma [0] 2 3" xfId="1217"/>
    <cellStyle name="Comma [0] 2 3 2" xfId="1901"/>
    <cellStyle name="Comma [0] 2 3 3" xfId="2596"/>
    <cellStyle name="Comma [0] 2 4" xfId="1648"/>
    <cellStyle name="Comma [0] 2 5" xfId="2180"/>
    <cellStyle name="Comma [0] 2 6" xfId="2462"/>
    <cellStyle name="Comma 10" xfId="219"/>
    <cellStyle name="Comma 10 2" xfId="748"/>
    <cellStyle name="Comma 10 2 2" xfId="977"/>
    <cellStyle name="Comma 10 2 2 2" xfId="1486"/>
    <cellStyle name="Comma 10 2 2 2 2" xfId="1993"/>
    <cellStyle name="Comma 10 2 2 3" xfId="1740"/>
    <cellStyle name="Comma 10 2 2 4" xfId="2272"/>
    <cellStyle name="Comma 10 2 2 5" xfId="2554"/>
    <cellStyle name="Comma 10 2 3" xfId="902"/>
    <cellStyle name="Comma 10 2 3 2" xfId="1411"/>
    <cellStyle name="Comma 10 2 3 2 2" xfId="1918"/>
    <cellStyle name="Comma 10 2 3 3" xfId="1665"/>
    <cellStyle name="Comma 10 2 3 4" xfId="2197"/>
    <cellStyle name="Comma 10 2 3 5" xfId="2479"/>
    <cellStyle name="Comma 10 2 4" xfId="1326"/>
    <cellStyle name="Comma 10 2 4 2" xfId="1831"/>
    <cellStyle name="Comma 10 2 5" xfId="1578"/>
    <cellStyle name="Comma 10 2 6" xfId="2110"/>
    <cellStyle name="Comma 10 2 7" xfId="2392"/>
    <cellStyle name="Comma 10 3" xfId="854"/>
    <cellStyle name="Comma 10 3 2" xfId="1391"/>
    <cellStyle name="Comma 10 3 2 2" xfId="1896"/>
    <cellStyle name="Comma 10 3 3" xfId="1643"/>
    <cellStyle name="Comma 10 3 4" xfId="2175"/>
    <cellStyle name="Comma 10 3 5" xfId="2457"/>
    <cellStyle name="Comma 10 4" xfId="865"/>
    <cellStyle name="Comma 10 5" xfId="926"/>
    <cellStyle name="Comma 10 5 2" xfId="1435"/>
    <cellStyle name="Comma 10 5 2 2" xfId="1942"/>
    <cellStyle name="Comma 10 5 3" xfId="1689"/>
    <cellStyle name="Comma 10 5 4" xfId="2221"/>
    <cellStyle name="Comma 10 5 5" xfId="2503"/>
    <cellStyle name="Comma 10 6" xfId="570"/>
    <cellStyle name="Comma 10 6 2" xfId="1276"/>
    <cellStyle name="Comma 10 6 2 2" xfId="1782"/>
    <cellStyle name="Comma 10 6 3" xfId="1529"/>
    <cellStyle name="Comma 10 6 4" xfId="2055"/>
    <cellStyle name="Comma 10 6 5" xfId="2341"/>
    <cellStyle name="Comma 10 7" xfId="1173"/>
    <cellStyle name="Comma 10 8" xfId="1194"/>
    <cellStyle name="Comma 100" xfId="1017"/>
    <cellStyle name="Comma 101" xfId="1019"/>
    <cellStyle name="Comma 102" xfId="1021"/>
    <cellStyle name="Comma 103" xfId="1022"/>
    <cellStyle name="Comma 104" xfId="1005"/>
    <cellStyle name="Comma 105" xfId="1026"/>
    <cellStyle name="Comma 106" xfId="1028"/>
    <cellStyle name="Comma 107" xfId="1030"/>
    <cellStyle name="Comma 108" xfId="1032"/>
    <cellStyle name="Comma 109" xfId="1034"/>
    <cellStyle name="Comma 11" xfId="308"/>
    <cellStyle name="Comma 11 2" xfId="884"/>
    <cellStyle name="Comma 11 3" xfId="671"/>
    <cellStyle name="Comma 110" xfId="1036"/>
    <cellStyle name="Comma 111" xfId="1038"/>
    <cellStyle name="Comma 112" xfId="1040"/>
    <cellStyle name="Comma 113" xfId="1042"/>
    <cellStyle name="Comma 114" xfId="1044"/>
    <cellStyle name="Comma 115" xfId="1046"/>
    <cellStyle name="Comma 116" xfId="1048"/>
    <cellStyle name="Comma 117" xfId="1050"/>
    <cellStyle name="Comma 118" xfId="1052"/>
    <cellStyle name="Comma 119" xfId="1054"/>
    <cellStyle name="Comma 12" xfId="313"/>
    <cellStyle name="Comma 12 2" xfId="771"/>
    <cellStyle name="Comma 12 3" xfId="1183"/>
    <cellStyle name="Comma 12 3 2" xfId="1778"/>
    <cellStyle name="Comma 12 3 3" xfId="2300"/>
    <cellStyle name="Comma 12 3 4" xfId="2583"/>
    <cellStyle name="Comma 12 4" xfId="1204"/>
    <cellStyle name="Comma 12 4 2" xfId="2306"/>
    <cellStyle name="Comma 12 4 3" xfId="2588"/>
    <cellStyle name="Comma 12 5" xfId="2043"/>
    <cellStyle name="Comma 12 6" xfId="2334"/>
    <cellStyle name="Comma 120" xfId="1056"/>
    <cellStyle name="Comma 121" xfId="1058"/>
    <cellStyle name="Comma 122" xfId="1060"/>
    <cellStyle name="Comma 123" xfId="1062"/>
    <cellStyle name="Comma 124" xfId="1064"/>
    <cellStyle name="Comma 125" xfId="1065"/>
    <cellStyle name="Comma 126" xfId="1067"/>
    <cellStyle name="Comma 127" xfId="1071"/>
    <cellStyle name="Comma 128" xfId="1073"/>
    <cellStyle name="Comma 129" xfId="1075"/>
    <cellStyle name="Comma 13" xfId="798"/>
    <cellStyle name="Comma 130" xfId="1077"/>
    <cellStyle name="Comma 131" xfId="1079"/>
    <cellStyle name="Comma 132" xfId="1081"/>
    <cellStyle name="Comma 133" xfId="1083"/>
    <cellStyle name="Comma 134" xfId="1085"/>
    <cellStyle name="Comma 135" xfId="1087"/>
    <cellStyle name="Comma 136" xfId="1089"/>
    <cellStyle name="Comma 137" xfId="1090"/>
    <cellStyle name="Comma 138" xfId="1069"/>
    <cellStyle name="Comma 139" xfId="1093"/>
    <cellStyle name="Comma 14" xfId="774"/>
    <cellStyle name="Comma 140" xfId="1095"/>
    <cellStyle name="Comma 141" xfId="1171"/>
    <cellStyle name="Comma 141 2" xfId="1262"/>
    <cellStyle name="Comma 141 2 2" xfId="1772"/>
    <cellStyle name="Comma 141 3" xfId="1521"/>
    <cellStyle name="Comma 141 4" xfId="2297"/>
    <cellStyle name="Comma 141 5" xfId="2580"/>
    <cellStyle name="Comma 142" xfId="1172"/>
    <cellStyle name="Comma 142 2" xfId="1265"/>
    <cellStyle name="Comma 142 3" xfId="2298"/>
    <cellStyle name="Comma 142 4" xfId="2581"/>
    <cellStyle name="Comma 142 5" xfId="1234"/>
    <cellStyle name="Comma 143" xfId="1189"/>
    <cellStyle name="Comma 143 2" xfId="1268"/>
    <cellStyle name="Comma 143 3" xfId="2301"/>
    <cellStyle name="Comma 143 4" xfId="2584"/>
    <cellStyle name="Comma 143 5" xfId="1238"/>
    <cellStyle name="Comma 144" xfId="1190"/>
    <cellStyle name="Comma 144 2" xfId="1266"/>
    <cellStyle name="Comma 144 3" xfId="2302"/>
    <cellStyle name="Comma 144 4" xfId="2585"/>
    <cellStyle name="Comma 144 5" xfId="1240"/>
    <cellStyle name="Comma 145" xfId="1169"/>
    <cellStyle name="Comma 145 2" xfId="1272"/>
    <cellStyle name="Comma 146" xfId="1170"/>
    <cellStyle name="Comma 146 2" xfId="1519"/>
    <cellStyle name="Comma 147" xfId="1193"/>
    <cellStyle name="Comma 147 2" xfId="1274"/>
    <cellStyle name="Comma 147 3" xfId="2304"/>
    <cellStyle name="Comma 147 4" xfId="2586"/>
    <cellStyle name="Comma 147 5" xfId="1244"/>
    <cellStyle name="Comma 148" xfId="1191"/>
    <cellStyle name="Comma 148 2" xfId="1509"/>
    <cellStyle name="Comma 149" xfId="1192"/>
    <cellStyle name="Comma 149 2" xfId="1511"/>
    <cellStyle name="Comma 149 2 2" xfId="2017"/>
    <cellStyle name="Comma 149 3" xfId="1764"/>
    <cellStyle name="Comma 149 4" xfId="2303"/>
    <cellStyle name="Comma 149 5" xfId="1247"/>
    <cellStyle name="Comma 15" xfId="797"/>
    <cellStyle name="Comma 150" xfId="1211"/>
    <cellStyle name="Comma 150 2" xfId="1513"/>
    <cellStyle name="Comma 150 2 2" xfId="2019"/>
    <cellStyle name="Comma 150 3" xfId="1766"/>
    <cellStyle name="Comma 150 4" xfId="2590"/>
    <cellStyle name="Comma 150 5" xfId="1249"/>
    <cellStyle name="Comma 151" xfId="1220"/>
    <cellStyle name="Comma 151 2" xfId="1517"/>
    <cellStyle name="Comma 151 2 2" xfId="2023"/>
    <cellStyle name="Comma 151 3" xfId="1770"/>
    <cellStyle name="Comma 151 4" xfId="2599"/>
    <cellStyle name="Comma 151 5" xfId="1260"/>
    <cellStyle name="Comma 152" xfId="2025"/>
    <cellStyle name="Comma 153" xfId="2034"/>
    <cellStyle name="Comma 154" xfId="2032"/>
    <cellStyle name="Comma 155" xfId="2049"/>
    <cellStyle name="Comma 156" xfId="2027"/>
    <cellStyle name="Comma 157" xfId="2050"/>
    <cellStyle name="Comma 158" xfId="2046"/>
    <cellStyle name="Comma 159" xfId="2093"/>
    <cellStyle name="Comma 16" xfId="799"/>
    <cellStyle name="Comma 160" xfId="2307"/>
    <cellStyle name="Comma 161" xfId="2045"/>
    <cellStyle name="Comma 162" xfId="2309"/>
    <cellStyle name="Comma 163" xfId="2063"/>
    <cellStyle name="Comma 164" xfId="2051"/>
    <cellStyle name="Comma 165" xfId="2308"/>
    <cellStyle name="Comma 166" xfId="2052"/>
    <cellStyle name="Comma 167" xfId="2296"/>
    <cellStyle name="Comma 168" xfId="2029"/>
    <cellStyle name="Comma 169" xfId="2295"/>
    <cellStyle name="Comma 17" xfId="796"/>
    <cellStyle name="Comma 170" xfId="2314"/>
    <cellStyle name="Comma 171" xfId="2312"/>
    <cellStyle name="Comma 172" xfId="2318"/>
    <cellStyle name="Comma 173" xfId="2326"/>
    <cellStyle name="Comma 174" xfId="2323"/>
    <cellStyle name="Comma 175" xfId="2337"/>
    <cellStyle name="Comma 176" xfId="2602"/>
    <cellStyle name="Comma 177" xfId="2339"/>
    <cellStyle name="Comma 178" xfId="2321"/>
    <cellStyle name="Comma 179" xfId="2579"/>
    <cellStyle name="Comma 18" xfId="775"/>
    <cellStyle name="Comma 180" xfId="2324"/>
    <cellStyle name="Comma 181" xfId="2325"/>
    <cellStyle name="Comma 182" xfId="2330"/>
    <cellStyle name="Comma 183" xfId="2600"/>
    <cellStyle name="Comma 184" xfId="1222"/>
    <cellStyle name="Comma 185" xfId="1225"/>
    <cellStyle name="Comma 186" xfId="1224"/>
    <cellStyle name="Comma 187" xfId="2605"/>
    <cellStyle name="Comma 188" xfId="2604"/>
    <cellStyle name="Comma 189" xfId="2610"/>
    <cellStyle name="Comma 19" xfId="772"/>
    <cellStyle name="Comma 190" xfId="2615"/>
    <cellStyle name="Comma 191" xfId="2616"/>
    <cellStyle name="Comma 192" xfId="2614"/>
    <cellStyle name="Comma 193" xfId="1232"/>
    <cellStyle name="Comma 194" xfId="1228"/>
    <cellStyle name="Comma 195" xfId="2609"/>
    <cellStyle name="Comma 196" xfId="2608"/>
    <cellStyle name="Comma 2" xfId="28"/>
    <cellStyle name="Comma 2 2" xfId="29"/>
    <cellStyle name="Comma 2 2 2" xfId="296"/>
    <cellStyle name="Comma 2 2 3" xfId="270"/>
    <cellStyle name="Comma 2 2 3 2" xfId="624"/>
    <cellStyle name="Comma 2 2 4" xfId="321"/>
    <cellStyle name="Comma 2 2 4 2" xfId="669"/>
    <cellStyle name="Comma 2 2 4 3" xfId="1161"/>
    <cellStyle name="Comma 2 2 5" xfId="418"/>
    <cellStyle name="Comma 2 2 6" xfId="571"/>
    <cellStyle name="Comma 2 3" xfId="268"/>
    <cellStyle name="Comma 2 3 2" xfId="513"/>
    <cellStyle name="Comma 2 3 3" xfId="578"/>
    <cellStyle name="Comma 2 3 4" xfId="1177"/>
    <cellStyle name="Comma 2 3 5" xfId="1198"/>
    <cellStyle name="Comma 2 4" xfId="514"/>
    <cellStyle name="Comma 2 4 2" xfId="625"/>
    <cellStyle name="Comma 2 4 3" xfId="866"/>
    <cellStyle name="Comma 2 4 4" xfId="1185"/>
    <cellStyle name="Comma 2 4 5" xfId="1206"/>
    <cellStyle name="Comma 2 5" xfId="515"/>
    <cellStyle name="Comma 2 6" xfId="626"/>
    <cellStyle name="Comma 20" xfId="776"/>
    <cellStyle name="Comma 21" xfId="794"/>
    <cellStyle name="Comma 22" xfId="778"/>
    <cellStyle name="Comma 23" xfId="792"/>
    <cellStyle name="Comma 24" xfId="781"/>
    <cellStyle name="Comma 25" xfId="791"/>
    <cellStyle name="Comma 26" xfId="782"/>
    <cellStyle name="Comma 27" xfId="790"/>
    <cellStyle name="Comma 28" xfId="783"/>
    <cellStyle name="Comma 29" xfId="804"/>
    <cellStyle name="Comma 3" xfId="30"/>
    <cellStyle name="Comma 3 10" xfId="221"/>
    <cellStyle name="Comma 3 10 2" xfId="678"/>
    <cellStyle name="Comma 3 11" xfId="322"/>
    <cellStyle name="Comma 3 11 2" xfId="1145"/>
    <cellStyle name="Comma 3 12" xfId="419"/>
    <cellStyle name="Comma 3 13" xfId="567"/>
    <cellStyle name="Comma 3 2" xfId="31"/>
    <cellStyle name="Comma 3 2 2" xfId="297"/>
    <cellStyle name="Comma 3 2 2 2" xfId="867"/>
    <cellStyle name="Comma 3 2 2 3" xfId="679"/>
    <cellStyle name="Comma 3 2 3" xfId="323"/>
    <cellStyle name="Comma 3 2 3 2" xfId="1122"/>
    <cellStyle name="Comma 3 2 4" xfId="420"/>
    <cellStyle name="Comma 3 3" xfId="32"/>
    <cellStyle name="Comma 3 3 2" xfId="275"/>
    <cellStyle name="Comma 3 3 2 2" xfId="628"/>
    <cellStyle name="Comma 3 3 2 2 2" xfId="690"/>
    <cellStyle name="Comma 3 3 2 2 2 2" xfId="962"/>
    <cellStyle name="Comma 3 3 2 2 2 2 2" xfId="1471"/>
    <cellStyle name="Comma 3 3 2 2 2 2 2 2" xfId="1978"/>
    <cellStyle name="Comma 3 3 2 2 2 2 3" xfId="1725"/>
    <cellStyle name="Comma 3 3 2 2 2 2 4" xfId="2257"/>
    <cellStyle name="Comma 3 3 2 2 2 2 5" xfId="2539"/>
    <cellStyle name="Comma 3 3 2 2 2 3" xfId="887"/>
    <cellStyle name="Comma 3 3 2 2 2 3 2" xfId="1396"/>
    <cellStyle name="Comma 3 3 2 2 2 3 2 2" xfId="1903"/>
    <cellStyle name="Comma 3 3 2 2 2 3 3" xfId="1650"/>
    <cellStyle name="Comma 3 3 2 2 2 3 4" xfId="2182"/>
    <cellStyle name="Comma 3 3 2 2 2 3 5" xfId="2464"/>
    <cellStyle name="Comma 3 3 2 2 2 4" xfId="1311"/>
    <cellStyle name="Comma 3 3 2 2 2 4 2" xfId="1816"/>
    <cellStyle name="Comma 3 3 2 2 2 5" xfId="1563"/>
    <cellStyle name="Comma 3 3 2 2 2 6" xfId="2094"/>
    <cellStyle name="Comma 3 3 2 2 2 7" xfId="2377"/>
    <cellStyle name="Comma 3 3 2 2 3" xfId="839"/>
    <cellStyle name="Comma 3 3 2 2 3 2" xfId="1377"/>
    <cellStyle name="Comma 3 3 2 2 3 2 2" xfId="1882"/>
    <cellStyle name="Comma 3 3 2 2 3 3" xfId="1629"/>
    <cellStyle name="Comma 3 3 2 2 3 4" xfId="2161"/>
    <cellStyle name="Comma 3 3 2 2 3 5" xfId="2443"/>
    <cellStyle name="Comma 3 3 2 2 4" xfId="952"/>
    <cellStyle name="Comma 3 3 2 2 4 2" xfId="1461"/>
    <cellStyle name="Comma 3 3 2 2 4 2 2" xfId="1968"/>
    <cellStyle name="Comma 3 3 2 2 4 3" xfId="1715"/>
    <cellStyle name="Comma 3 3 2 2 4 4" xfId="2247"/>
    <cellStyle name="Comma 3 3 2 2 4 5" xfId="2529"/>
    <cellStyle name="Comma 3 3 2 2 5" xfId="1301"/>
    <cellStyle name="Comma 3 3 2 2 5 2" xfId="1806"/>
    <cellStyle name="Comma 3 3 2 2 6" xfId="1553"/>
    <cellStyle name="Comma 3 3 2 2 7" xfId="2082"/>
    <cellStyle name="Comma 3 3 2 2 8" xfId="2366"/>
    <cellStyle name="Comma 3 3 2 3" xfId="619"/>
    <cellStyle name="Comma 3 3 2 3 2" xfId="752"/>
    <cellStyle name="Comma 3 3 2 3 2 2" xfId="981"/>
    <cellStyle name="Comma 3 3 2 3 2 2 2" xfId="1490"/>
    <cellStyle name="Comma 3 3 2 3 2 2 2 2" xfId="1997"/>
    <cellStyle name="Comma 3 3 2 3 2 2 3" xfId="1744"/>
    <cellStyle name="Comma 3 3 2 3 2 2 4" xfId="2276"/>
    <cellStyle name="Comma 3 3 2 3 2 2 5" xfId="2558"/>
    <cellStyle name="Comma 3 3 2 3 2 3" xfId="906"/>
    <cellStyle name="Comma 3 3 2 3 2 3 2" xfId="1415"/>
    <cellStyle name="Comma 3 3 2 3 2 3 2 2" xfId="1922"/>
    <cellStyle name="Comma 3 3 2 3 2 3 3" xfId="1669"/>
    <cellStyle name="Comma 3 3 2 3 2 3 4" xfId="2201"/>
    <cellStyle name="Comma 3 3 2 3 2 3 5" xfId="2483"/>
    <cellStyle name="Comma 3 3 2 3 2 4" xfId="1330"/>
    <cellStyle name="Comma 3 3 2 3 2 4 2" xfId="1835"/>
    <cellStyle name="Comma 3 3 2 3 2 5" xfId="1582"/>
    <cellStyle name="Comma 3 3 2 3 2 6" xfId="2114"/>
    <cellStyle name="Comma 3 3 2 3 2 7" xfId="2396"/>
    <cellStyle name="Comma 3 3 2 3 3" xfId="833"/>
    <cellStyle name="Comma 3 3 2 3 3 2" xfId="1371"/>
    <cellStyle name="Comma 3 3 2 3 3 2 2" xfId="1876"/>
    <cellStyle name="Comma 3 3 2 3 3 3" xfId="1623"/>
    <cellStyle name="Comma 3 3 2 3 3 4" xfId="2155"/>
    <cellStyle name="Comma 3 3 2 3 3 5" xfId="2437"/>
    <cellStyle name="Comma 3 3 2 3 4" xfId="946"/>
    <cellStyle name="Comma 3 3 2 3 4 2" xfId="1455"/>
    <cellStyle name="Comma 3 3 2 3 4 2 2" xfId="1962"/>
    <cellStyle name="Comma 3 3 2 3 4 3" xfId="1709"/>
    <cellStyle name="Comma 3 3 2 3 4 4" xfId="2241"/>
    <cellStyle name="Comma 3 3 2 3 4 5" xfId="2523"/>
    <cellStyle name="Comma 3 3 2 3 5" xfId="1295"/>
    <cellStyle name="Comma 3 3 2 3 5 2" xfId="1800"/>
    <cellStyle name="Comma 3 3 2 3 6" xfId="1547"/>
    <cellStyle name="Comma 3 3 2 3 7" xfId="2076"/>
    <cellStyle name="Comma 3 3 2 3 8" xfId="2360"/>
    <cellStyle name="Comma 3 3 2 4" xfId="766"/>
    <cellStyle name="Comma 3 3 2 4 2" xfId="995"/>
    <cellStyle name="Comma 3 3 2 4 2 2" xfId="1504"/>
    <cellStyle name="Comma 3 3 2 4 2 2 2" xfId="2011"/>
    <cellStyle name="Comma 3 3 2 4 2 3" xfId="1758"/>
    <cellStyle name="Comma 3 3 2 4 2 4" xfId="2290"/>
    <cellStyle name="Comma 3 3 2 4 2 5" xfId="2572"/>
    <cellStyle name="Comma 3 3 2 4 3" xfId="920"/>
    <cellStyle name="Comma 3 3 2 4 3 2" xfId="1429"/>
    <cellStyle name="Comma 3 3 2 4 3 2 2" xfId="1936"/>
    <cellStyle name="Comma 3 3 2 4 3 3" xfId="1683"/>
    <cellStyle name="Comma 3 3 2 4 3 4" xfId="2215"/>
    <cellStyle name="Comma 3 3 2 4 3 5" xfId="2497"/>
    <cellStyle name="Comma 3 3 2 4 4" xfId="1344"/>
    <cellStyle name="Comma 3 3 2 4 4 2" xfId="1849"/>
    <cellStyle name="Comma 3 3 2 4 5" xfId="1596"/>
    <cellStyle name="Comma 3 3 2 4 6" xfId="2128"/>
    <cellStyle name="Comma 3 3 2 4 7" xfId="2410"/>
    <cellStyle name="Comma 3 3 2 5" xfId="821"/>
    <cellStyle name="Comma 3 3 2 5 2" xfId="1359"/>
    <cellStyle name="Comma 3 3 2 5 2 2" xfId="1864"/>
    <cellStyle name="Comma 3 3 2 5 3" xfId="1611"/>
    <cellStyle name="Comma 3 3 2 5 4" xfId="2143"/>
    <cellStyle name="Comma 3 3 2 5 5" xfId="2425"/>
    <cellStyle name="Comma 3 3 2 6" xfId="934"/>
    <cellStyle name="Comma 3 3 2 6 2" xfId="1443"/>
    <cellStyle name="Comma 3 3 2 6 2 2" xfId="1950"/>
    <cellStyle name="Comma 3 3 2 6 3" xfId="1697"/>
    <cellStyle name="Comma 3 3 2 6 4" xfId="2229"/>
    <cellStyle name="Comma 3 3 2 6 5" xfId="2511"/>
    <cellStyle name="Comma 3 3 2 7" xfId="605"/>
    <cellStyle name="Comma 3 3 2 7 2" xfId="1284"/>
    <cellStyle name="Comma 3 3 2 7 2 2" xfId="1789"/>
    <cellStyle name="Comma 3 3 2 7 3" xfId="1536"/>
    <cellStyle name="Comma 3 3 2 7 4" xfId="2065"/>
    <cellStyle name="Comma 3 3 2 7 5" xfId="2349"/>
    <cellStyle name="Comma 3 3 3" xfId="324"/>
    <cellStyle name="Comma 3 3 3 2" xfId="742"/>
    <cellStyle name="Comma 3 3 3 2 2" xfId="971"/>
    <cellStyle name="Comma 3 3 3 2 2 2" xfId="1480"/>
    <cellStyle name="Comma 3 3 3 2 2 2 2" xfId="1987"/>
    <cellStyle name="Comma 3 3 3 2 2 3" xfId="1734"/>
    <cellStyle name="Comma 3 3 3 2 2 4" xfId="2266"/>
    <cellStyle name="Comma 3 3 3 2 2 5" xfId="2548"/>
    <cellStyle name="Comma 3 3 3 2 3" xfId="896"/>
    <cellStyle name="Comma 3 3 3 2 3 2" xfId="1405"/>
    <cellStyle name="Comma 3 3 3 2 3 2 2" xfId="1912"/>
    <cellStyle name="Comma 3 3 3 2 3 3" xfId="1659"/>
    <cellStyle name="Comma 3 3 3 2 3 4" xfId="2191"/>
    <cellStyle name="Comma 3 3 3 2 3 5" xfId="2473"/>
    <cellStyle name="Comma 3 3 3 2 4" xfId="1320"/>
    <cellStyle name="Comma 3 3 3 2 4 2" xfId="1825"/>
    <cellStyle name="Comma 3 3 3 2 5" xfId="1572"/>
    <cellStyle name="Comma 3 3 3 2 6" xfId="2104"/>
    <cellStyle name="Comma 3 3 3 2 7" xfId="2386"/>
    <cellStyle name="Comma 3 3 3 3" xfId="838"/>
    <cellStyle name="Comma 3 3 3 3 2" xfId="1376"/>
    <cellStyle name="Comma 3 3 3 3 2 2" xfId="1881"/>
    <cellStyle name="Comma 3 3 3 3 3" xfId="1628"/>
    <cellStyle name="Comma 3 3 3 3 4" xfId="2160"/>
    <cellStyle name="Comma 3 3 3 3 5" xfId="2442"/>
    <cellStyle name="Comma 3 3 3 4" xfId="951"/>
    <cellStyle name="Comma 3 3 3 4 2" xfId="1460"/>
    <cellStyle name="Comma 3 3 3 4 2 2" xfId="1967"/>
    <cellStyle name="Comma 3 3 3 4 3" xfId="1714"/>
    <cellStyle name="Comma 3 3 3 4 4" xfId="2246"/>
    <cellStyle name="Comma 3 3 3 4 5" xfId="2528"/>
    <cellStyle name="Comma 3 3 3 5" xfId="627"/>
    <cellStyle name="Comma 3 3 3 5 2" xfId="1300"/>
    <cellStyle name="Comma 3 3 3 5 2 2" xfId="1805"/>
    <cellStyle name="Comma 3 3 3 5 3" xfId="1552"/>
    <cellStyle name="Comma 3 3 3 5 4" xfId="2081"/>
    <cellStyle name="Comma 3 3 3 5 5" xfId="2365"/>
    <cellStyle name="Comma 3 3 3 6" xfId="1158"/>
    <cellStyle name="Comma 3 3 4" xfId="421"/>
    <cellStyle name="Comma 3 3 4 2" xfId="736"/>
    <cellStyle name="Comma 3 3 4 2 2" xfId="965"/>
    <cellStyle name="Comma 3 3 4 2 2 2" xfId="1474"/>
    <cellStyle name="Comma 3 3 4 2 2 2 2" xfId="1981"/>
    <cellStyle name="Comma 3 3 4 2 2 3" xfId="1728"/>
    <cellStyle name="Comma 3 3 4 2 2 4" xfId="2260"/>
    <cellStyle name="Comma 3 3 4 2 2 5" xfId="2542"/>
    <cellStyle name="Comma 3 3 4 2 3" xfId="890"/>
    <cellStyle name="Comma 3 3 4 2 3 2" xfId="1399"/>
    <cellStyle name="Comma 3 3 4 2 3 2 2" xfId="1906"/>
    <cellStyle name="Comma 3 3 4 2 3 3" xfId="1653"/>
    <cellStyle name="Comma 3 3 4 2 3 4" xfId="2185"/>
    <cellStyle name="Comma 3 3 4 2 3 5" xfId="2467"/>
    <cellStyle name="Comma 3 3 4 2 4" xfId="1314"/>
    <cellStyle name="Comma 3 3 4 2 4 2" xfId="1819"/>
    <cellStyle name="Comma 3 3 4 2 5" xfId="1566"/>
    <cellStyle name="Comma 3 3 4 2 6" xfId="2098"/>
    <cellStyle name="Comma 3 3 4 2 7" xfId="2380"/>
    <cellStyle name="Comma 3 3 4 3" xfId="827"/>
    <cellStyle name="Comma 3 3 4 3 2" xfId="1365"/>
    <cellStyle name="Comma 3 3 4 3 2 2" xfId="1870"/>
    <cellStyle name="Comma 3 3 4 3 3" xfId="1617"/>
    <cellStyle name="Comma 3 3 4 3 4" xfId="2149"/>
    <cellStyle name="Comma 3 3 4 3 5" xfId="2431"/>
    <cellStyle name="Comma 3 3 4 4" xfId="940"/>
    <cellStyle name="Comma 3 3 4 4 2" xfId="1449"/>
    <cellStyle name="Comma 3 3 4 4 2 2" xfId="1956"/>
    <cellStyle name="Comma 3 3 4 4 3" xfId="1703"/>
    <cellStyle name="Comma 3 3 4 4 4" xfId="2235"/>
    <cellStyle name="Comma 3 3 4 4 5" xfId="2517"/>
    <cellStyle name="Comma 3 3 4 5" xfId="613"/>
    <cellStyle name="Comma 3 3 4 5 2" xfId="1289"/>
    <cellStyle name="Comma 3 3 4 5 2 2" xfId="1794"/>
    <cellStyle name="Comma 3 3 4 5 3" xfId="1541"/>
    <cellStyle name="Comma 3 3 4 5 4" xfId="2070"/>
    <cellStyle name="Comma 3 3 4 5 5" xfId="2354"/>
    <cellStyle name="Comma 3 3 5" xfId="680"/>
    <cellStyle name="Comma 3 3 6" xfId="767"/>
    <cellStyle name="Comma 3 3 6 2" xfId="996"/>
    <cellStyle name="Comma 3 3 6 2 2" xfId="1505"/>
    <cellStyle name="Comma 3 3 6 2 2 2" xfId="2012"/>
    <cellStyle name="Comma 3 3 6 2 3" xfId="1759"/>
    <cellStyle name="Comma 3 3 6 2 4" xfId="2291"/>
    <cellStyle name="Comma 3 3 6 2 5" xfId="2573"/>
    <cellStyle name="Comma 3 3 6 3" xfId="921"/>
    <cellStyle name="Comma 3 3 6 3 2" xfId="1430"/>
    <cellStyle name="Comma 3 3 6 3 2 2" xfId="1937"/>
    <cellStyle name="Comma 3 3 6 3 3" xfId="1684"/>
    <cellStyle name="Comma 3 3 6 3 4" xfId="2216"/>
    <cellStyle name="Comma 3 3 6 3 5" xfId="2498"/>
    <cellStyle name="Comma 3 3 6 4" xfId="1345"/>
    <cellStyle name="Comma 3 3 6 4 2" xfId="1850"/>
    <cellStyle name="Comma 3 3 6 5" xfId="1597"/>
    <cellStyle name="Comma 3 3 6 6" xfId="2129"/>
    <cellStyle name="Comma 3 3 6 7" xfId="2411"/>
    <cellStyle name="Comma 3 3 7" xfId="814"/>
    <cellStyle name="Comma 3 3 7 2" xfId="1352"/>
    <cellStyle name="Comma 3 3 7 2 2" xfId="1857"/>
    <cellStyle name="Comma 3 3 7 3" xfId="1604"/>
    <cellStyle name="Comma 3 3 7 4" xfId="2136"/>
    <cellStyle name="Comma 3 3 7 5" xfId="2418"/>
    <cellStyle name="Comma 3 3 8" xfId="928"/>
    <cellStyle name="Comma 3 3 8 2" xfId="1437"/>
    <cellStyle name="Comma 3 3 8 2 2" xfId="1944"/>
    <cellStyle name="Comma 3 3 8 3" xfId="1691"/>
    <cellStyle name="Comma 3 3 8 4" xfId="2223"/>
    <cellStyle name="Comma 3 3 8 5" xfId="2505"/>
    <cellStyle name="Comma 3 3 9" xfId="576"/>
    <cellStyle name="Comma 3 3 9 2" xfId="1278"/>
    <cellStyle name="Comma 3 3 9 2 2" xfId="1784"/>
    <cellStyle name="Comma 3 3 9 3" xfId="1531"/>
    <cellStyle name="Comma 3 3 9 4" xfId="2057"/>
    <cellStyle name="Comma 3 3 9 5" xfId="2343"/>
    <cellStyle name="Comma 3 4" xfId="33"/>
    <cellStyle name="Comma 3 4 2" xfId="325"/>
    <cellStyle name="Comma 3 4 2 2" xfId="681"/>
    <cellStyle name="Comma 3 4 3" xfId="422"/>
    <cellStyle name="Comma 3 4 4" xfId="629"/>
    <cellStyle name="Comma 3 5" xfId="34"/>
    <cellStyle name="Comma 3 5 2" xfId="326"/>
    <cellStyle name="Comma 3 5 2 2" xfId="682"/>
    <cellStyle name="Comma 3 5 3" xfId="423"/>
    <cellStyle name="Comma 3 5 4" xfId="572"/>
    <cellStyle name="Comma 3 6" xfId="35"/>
    <cellStyle name="Comma 3 6 2" xfId="327"/>
    <cellStyle name="Comma 3 6 2 2" xfId="683"/>
    <cellStyle name="Comma 3 6 3" xfId="424"/>
    <cellStyle name="Comma 3 6 4" xfId="673"/>
    <cellStyle name="Comma 3 7" xfId="36"/>
    <cellStyle name="Comma 3 7 2" xfId="328"/>
    <cellStyle name="Comma 3 7 2 2" xfId="1123"/>
    <cellStyle name="Comma 3 7 3" xfId="425"/>
    <cellStyle name="Comma 3 8" xfId="37"/>
    <cellStyle name="Comma 3 8 2" xfId="329"/>
    <cellStyle name="Comma 3 8 2 2" xfId="1157"/>
    <cellStyle name="Comma 3 8 3" xfId="426"/>
    <cellStyle name="Comma 3 9" xfId="38"/>
    <cellStyle name="Comma 3 9 2" xfId="330"/>
    <cellStyle name="Comma 3 9 2 2" xfId="1165"/>
    <cellStyle name="Comma 3 9 3" xfId="427"/>
    <cellStyle name="Comma 30" xfId="784"/>
    <cellStyle name="Comma 31" xfId="803"/>
    <cellStyle name="Comma 32" xfId="795"/>
    <cellStyle name="Comma 33" xfId="802"/>
    <cellStyle name="Comma 34" xfId="779"/>
    <cellStyle name="Comma 35" xfId="801"/>
    <cellStyle name="Comma 36" xfId="793"/>
    <cellStyle name="Comma 37" xfId="800"/>
    <cellStyle name="Comma 38" xfId="777"/>
    <cellStyle name="Comma 39" xfId="780"/>
    <cellStyle name="Comma 4" xfId="223"/>
    <cellStyle name="Comma 4 2" xfId="277"/>
    <cellStyle name="Comma 4 2 2" xfId="516"/>
    <cellStyle name="Comma 4 2 2 2" xfId="630"/>
    <cellStyle name="Comma 4 2 3" xfId="517"/>
    <cellStyle name="Comma 4 2 4" xfId="631"/>
    <cellStyle name="Comma 4 3" xfId="276"/>
    <cellStyle name="Comma 4 4" xfId="1175"/>
    <cellStyle name="Comma 4 4 2" xfId="1775"/>
    <cellStyle name="Comma 4 4 3" xfId="2299"/>
    <cellStyle name="Comma 4 4 4" xfId="2582"/>
    <cellStyle name="Comma 4 5" xfId="1196"/>
    <cellStyle name="Comma 4 5 2" xfId="2305"/>
    <cellStyle name="Comma 4 5 3" xfId="2587"/>
    <cellStyle name="Comma 4 6" xfId="2037"/>
    <cellStyle name="Comma 4 7" xfId="2329"/>
    <cellStyle name="Comma 40" xfId="785"/>
    <cellStyle name="Comma 41" xfId="789"/>
    <cellStyle name="Comma 42" xfId="786"/>
    <cellStyle name="Comma 43" xfId="773"/>
    <cellStyle name="Comma 44" xfId="787"/>
    <cellStyle name="Comma 45" xfId="788"/>
    <cellStyle name="Comma 46" xfId="805"/>
    <cellStyle name="Comma 47" xfId="809"/>
    <cellStyle name="Comma 48" xfId="806"/>
    <cellStyle name="Comma 49" xfId="808"/>
    <cellStyle name="Comma 5" xfId="286"/>
    <cellStyle name="Comma 5 10" xfId="1178"/>
    <cellStyle name="Comma 5 11" xfId="1199"/>
    <cellStyle name="Comma 5 2" xfId="302"/>
    <cellStyle name="Comma 5 2 2" xfId="633"/>
    <cellStyle name="Comma 5 2 2 2" xfId="743"/>
    <cellStyle name="Comma 5 2 2 2 2" xfId="972"/>
    <cellStyle name="Comma 5 2 2 2 2 2" xfId="1481"/>
    <cellStyle name="Comma 5 2 2 2 2 2 2" xfId="1988"/>
    <cellStyle name="Comma 5 2 2 2 2 3" xfId="1735"/>
    <cellStyle name="Comma 5 2 2 2 2 4" xfId="2267"/>
    <cellStyle name="Comma 5 2 2 2 2 5" xfId="2549"/>
    <cellStyle name="Comma 5 2 2 2 3" xfId="897"/>
    <cellStyle name="Comma 5 2 2 2 3 2" xfId="1406"/>
    <cellStyle name="Comma 5 2 2 2 3 2 2" xfId="1913"/>
    <cellStyle name="Comma 5 2 2 2 3 3" xfId="1660"/>
    <cellStyle name="Comma 5 2 2 2 3 4" xfId="2192"/>
    <cellStyle name="Comma 5 2 2 2 3 5" xfId="2474"/>
    <cellStyle name="Comma 5 2 2 2 4" xfId="1321"/>
    <cellStyle name="Comma 5 2 2 2 4 2" xfId="1826"/>
    <cellStyle name="Comma 5 2 2 2 5" xfId="1573"/>
    <cellStyle name="Comma 5 2 2 2 6" xfId="2105"/>
    <cellStyle name="Comma 5 2 2 2 7" xfId="2387"/>
    <cellStyle name="Comma 5 2 2 3" xfId="841"/>
    <cellStyle name="Comma 5 2 2 3 2" xfId="1379"/>
    <cellStyle name="Comma 5 2 2 3 2 2" xfId="1884"/>
    <cellStyle name="Comma 5 2 2 3 3" xfId="1631"/>
    <cellStyle name="Comma 5 2 2 3 4" xfId="2163"/>
    <cellStyle name="Comma 5 2 2 3 5" xfId="2445"/>
    <cellStyle name="Comma 5 2 2 4" xfId="954"/>
    <cellStyle name="Comma 5 2 2 4 2" xfId="1463"/>
    <cellStyle name="Comma 5 2 2 4 2 2" xfId="1970"/>
    <cellStyle name="Comma 5 2 2 4 3" xfId="1717"/>
    <cellStyle name="Comma 5 2 2 4 4" xfId="2249"/>
    <cellStyle name="Comma 5 2 2 4 5" xfId="2531"/>
    <cellStyle name="Comma 5 2 2 5" xfId="1303"/>
    <cellStyle name="Comma 5 2 2 5 2" xfId="1808"/>
    <cellStyle name="Comma 5 2 2 6" xfId="1555"/>
    <cellStyle name="Comma 5 2 2 7" xfId="2084"/>
    <cellStyle name="Comma 5 2 2 8" xfId="2368"/>
    <cellStyle name="Comma 5 2 3" xfId="620"/>
    <cellStyle name="Comma 5 2 3 2" xfId="734"/>
    <cellStyle name="Comma 5 2 3 2 2" xfId="963"/>
    <cellStyle name="Comma 5 2 3 2 2 2" xfId="1472"/>
    <cellStyle name="Comma 5 2 3 2 2 2 2" xfId="1979"/>
    <cellStyle name="Comma 5 2 3 2 2 3" xfId="1726"/>
    <cellStyle name="Comma 5 2 3 2 2 4" xfId="2258"/>
    <cellStyle name="Comma 5 2 3 2 2 5" xfId="2540"/>
    <cellStyle name="Comma 5 2 3 2 3" xfId="888"/>
    <cellStyle name="Comma 5 2 3 2 3 2" xfId="1397"/>
    <cellStyle name="Comma 5 2 3 2 3 2 2" xfId="1904"/>
    <cellStyle name="Comma 5 2 3 2 3 3" xfId="1651"/>
    <cellStyle name="Comma 5 2 3 2 3 4" xfId="2183"/>
    <cellStyle name="Comma 5 2 3 2 3 5" xfId="2465"/>
    <cellStyle name="Comma 5 2 3 2 4" xfId="1312"/>
    <cellStyle name="Comma 5 2 3 2 4 2" xfId="1817"/>
    <cellStyle name="Comma 5 2 3 2 5" xfId="1564"/>
    <cellStyle name="Comma 5 2 3 2 6" xfId="2096"/>
    <cellStyle name="Comma 5 2 3 2 7" xfId="2378"/>
    <cellStyle name="Comma 5 2 3 3" xfId="834"/>
    <cellStyle name="Comma 5 2 3 3 2" xfId="1372"/>
    <cellStyle name="Comma 5 2 3 3 2 2" xfId="1877"/>
    <cellStyle name="Comma 5 2 3 3 3" xfId="1624"/>
    <cellStyle name="Comma 5 2 3 3 4" xfId="2156"/>
    <cellStyle name="Comma 5 2 3 3 5" xfId="2438"/>
    <cellStyle name="Comma 5 2 3 4" xfId="947"/>
    <cellStyle name="Comma 5 2 3 4 2" xfId="1456"/>
    <cellStyle name="Comma 5 2 3 4 2 2" xfId="1963"/>
    <cellStyle name="Comma 5 2 3 4 3" xfId="1710"/>
    <cellStyle name="Comma 5 2 3 4 4" xfId="2242"/>
    <cellStyle name="Comma 5 2 3 4 5" xfId="2524"/>
    <cellStyle name="Comma 5 2 3 5" xfId="1296"/>
    <cellStyle name="Comma 5 2 3 5 2" xfId="1801"/>
    <cellStyle name="Comma 5 2 3 6" xfId="1548"/>
    <cellStyle name="Comma 5 2 3 7" xfId="2077"/>
    <cellStyle name="Comma 5 2 3 8" xfId="2361"/>
    <cellStyle name="Comma 5 2 4" xfId="756"/>
    <cellStyle name="Comma 5 2 4 2" xfId="985"/>
    <cellStyle name="Comma 5 2 4 2 2" xfId="1494"/>
    <cellStyle name="Comma 5 2 4 2 2 2" xfId="2001"/>
    <cellStyle name="Comma 5 2 4 2 3" xfId="1748"/>
    <cellStyle name="Comma 5 2 4 2 4" xfId="2280"/>
    <cellStyle name="Comma 5 2 4 2 5" xfId="2562"/>
    <cellStyle name="Comma 5 2 4 3" xfId="910"/>
    <cellStyle name="Comma 5 2 4 3 2" xfId="1419"/>
    <cellStyle name="Comma 5 2 4 3 2 2" xfId="1926"/>
    <cellStyle name="Comma 5 2 4 3 3" xfId="1673"/>
    <cellStyle name="Comma 5 2 4 3 4" xfId="2205"/>
    <cellStyle name="Comma 5 2 4 3 5" xfId="2487"/>
    <cellStyle name="Comma 5 2 4 4" xfId="1334"/>
    <cellStyle name="Comma 5 2 4 4 2" xfId="1839"/>
    <cellStyle name="Comma 5 2 4 5" xfId="1586"/>
    <cellStyle name="Comma 5 2 4 6" xfId="2118"/>
    <cellStyle name="Comma 5 2 4 7" xfId="2400"/>
    <cellStyle name="Comma 5 2 5" xfId="822"/>
    <cellStyle name="Comma 5 2 5 2" xfId="1360"/>
    <cellStyle name="Comma 5 2 5 2 2" xfId="1865"/>
    <cellStyle name="Comma 5 2 5 3" xfId="1612"/>
    <cellStyle name="Comma 5 2 5 4" xfId="2144"/>
    <cellStyle name="Comma 5 2 5 5" xfId="2426"/>
    <cellStyle name="Comma 5 2 6" xfId="935"/>
    <cellStyle name="Comma 5 2 6 2" xfId="1444"/>
    <cellStyle name="Comma 5 2 6 2 2" xfId="1951"/>
    <cellStyle name="Comma 5 2 6 3" xfId="1698"/>
    <cellStyle name="Comma 5 2 6 4" xfId="2230"/>
    <cellStyle name="Comma 5 2 6 5" xfId="2512"/>
    <cellStyle name="Comma 5 2 7" xfId="606"/>
    <cellStyle name="Comma 5 2 7 2" xfId="1285"/>
    <cellStyle name="Comma 5 2 7 2 2" xfId="1790"/>
    <cellStyle name="Comma 5 2 7 3" xfId="1537"/>
    <cellStyle name="Comma 5 2 7 4" xfId="2066"/>
    <cellStyle name="Comma 5 2 7 5" xfId="2350"/>
    <cellStyle name="Comma 5 3" xfId="289"/>
    <cellStyle name="Comma 5 3 2" xfId="760"/>
    <cellStyle name="Comma 5 3 2 2" xfId="989"/>
    <cellStyle name="Comma 5 3 2 2 2" xfId="1498"/>
    <cellStyle name="Comma 5 3 2 2 2 2" xfId="2005"/>
    <cellStyle name="Comma 5 3 2 2 3" xfId="1752"/>
    <cellStyle name="Comma 5 3 2 2 4" xfId="2284"/>
    <cellStyle name="Comma 5 3 2 2 5" xfId="2566"/>
    <cellStyle name="Comma 5 3 2 3" xfId="914"/>
    <cellStyle name="Comma 5 3 2 3 2" xfId="1423"/>
    <cellStyle name="Comma 5 3 2 3 2 2" xfId="1930"/>
    <cellStyle name="Comma 5 3 2 3 3" xfId="1677"/>
    <cellStyle name="Comma 5 3 2 3 4" xfId="2209"/>
    <cellStyle name="Comma 5 3 2 3 5" xfId="2491"/>
    <cellStyle name="Comma 5 3 2 4" xfId="1338"/>
    <cellStyle name="Comma 5 3 2 4 2" xfId="1843"/>
    <cellStyle name="Comma 5 3 2 5" xfId="1590"/>
    <cellStyle name="Comma 5 3 2 6" xfId="2122"/>
    <cellStyle name="Comma 5 3 2 7" xfId="2404"/>
    <cellStyle name="Comma 5 3 3" xfId="840"/>
    <cellStyle name="Comma 5 3 3 2" xfId="1378"/>
    <cellStyle name="Comma 5 3 3 2 2" xfId="1883"/>
    <cellStyle name="Comma 5 3 3 3" xfId="1630"/>
    <cellStyle name="Comma 5 3 3 4" xfId="2162"/>
    <cellStyle name="Comma 5 3 3 5" xfId="2444"/>
    <cellStyle name="Comma 5 3 4" xfId="953"/>
    <cellStyle name="Comma 5 3 4 2" xfId="1462"/>
    <cellStyle name="Comma 5 3 4 2 2" xfId="1969"/>
    <cellStyle name="Comma 5 3 4 3" xfId="1716"/>
    <cellStyle name="Comma 5 3 4 4" xfId="2248"/>
    <cellStyle name="Comma 5 3 4 5" xfId="2530"/>
    <cellStyle name="Comma 5 3 5" xfId="632"/>
    <cellStyle name="Comma 5 3 5 2" xfId="1302"/>
    <cellStyle name="Comma 5 3 5 2 2" xfId="1807"/>
    <cellStyle name="Comma 5 3 5 3" xfId="1554"/>
    <cellStyle name="Comma 5 3 5 4" xfId="2083"/>
    <cellStyle name="Comma 5 3 5 5" xfId="2367"/>
    <cellStyle name="Comma 5 4" xfId="614"/>
    <cellStyle name="Comma 5 4 2" xfId="762"/>
    <cellStyle name="Comma 5 4 2 2" xfId="991"/>
    <cellStyle name="Comma 5 4 2 2 2" xfId="1500"/>
    <cellStyle name="Comma 5 4 2 2 2 2" xfId="2007"/>
    <cellStyle name="Comma 5 4 2 2 3" xfId="1754"/>
    <cellStyle name="Comma 5 4 2 2 4" xfId="2286"/>
    <cellStyle name="Comma 5 4 2 2 5" xfId="2568"/>
    <cellStyle name="Comma 5 4 2 3" xfId="916"/>
    <cellStyle name="Comma 5 4 2 3 2" xfId="1425"/>
    <cellStyle name="Comma 5 4 2 3 2 2" xfId="1932"/>
    <cellStyle name="Comma 5 4 2 3 3" xfId="1679"/>
    <cellStyle name="Comma 5 4 2 3 4" xfId="2211"/>
    <cellStyle name="Comma 5 4 2 3 5" xfId="2493"/>
    <cellStyle name="Comma 5 4 2 4" xfId="1340"/>
    <cellStyle name="Comma 5 4 2 4 2" xfId="1845"/>
    <cellStyle name="Comma 5 4 2 5" xfId="1592"/>
    <cellStyle name="Comma 5 4 2 6" xfId="2124"/>
    <cellStyle name="Comma 5 4 2 7" xfId="2406"/>
    <cellStyle name="Comma 5 4 3" xfId="828"/>
    <cellStyle name="Comma 5 4 3 2" xfId="1366"/>
    <cellStyle name="Comma 5 4 3 2 2" xfId="1871"/>
    <cellStyle name="Comma 5 4 3 3" xfId="1618"/>
    <cellStyle name="Comma 5 4 3 4" xfId="2150"/>
    <cellStyle name="Comma 5 4 3 5" xfId="2432"/>
    <cellStyle name="Comma 5 4 4" xfId="941"/>
    <cellStyle name="Comma 5 4 4 2" xfId="1450"/>
    <cellStyle name="Comma 5 4 4 2 2" xfId="1957"/>
    <cellStyle name="Comma 5 4 4 3" xfId="1704"/>
    <cellStyle name="Comma 5 4 4 4" xfId="2236"/>
    <cellStyle name="Comma 5 4 4 5" xfId="2518"/>
    <cellStyle name="Comma 5 4 5" xfId="1290"/>
    <cellStyle name="Comma 5 4 5 2" xfId="1795"/>
    <cellStyle name="Comma 5 4 6" xfId="1542"/>
    <cellStyle name="Comma 5 4 7" xfId="2071"/>
    <cellStyle name="Comma 5 4 8" xfId="2355"/>
    <cellStyle name="Comma 5 5" xfId="768"/>
    <cellStyle name="Comma 5 5 2" xfId="997"/>
    <cellStyle name="Comma 5 5 2 2" xfId="1506"/>
    <cellStyle name="Comma 5 5 2 2 2" xfId="2013"/>
    <cellStyle name="Comma 5 5 2 3" xfId="1760"/>
    <cellStyle name="Comma 5 5 2 4" xfId="2292"/>
    <cellStyle name="Comma 5 5 2 5" xfId="2574"/>
    <cellStyle name="Comma 5 5 3" xfId="922"/>
    <cellStyle name="Comma 5 5 3 2" xfId="1431"/>
    <cellStyle name="Comma 5 5 3 2 2" xfId="1938"/>
    <cellStyle name="Comma 5 5 3 3" xfId="1685"/>
    <cellStyle name="Comma 5 5 3 4" xfId="2217"/>
    <cellStyle name="Comma 5 5 3 5" xfId="2499"/>
    <cellStyle name="Comma 5 5 4" xfId="1346"/>
    <cellStyle name="Comma 5 5 4 2" xfId="1851"/>
    <cellStyle name="Comma 5 5 5" xfId="1598"/>
    <cellStyle name="Comma 5 5 6" xfId="2130"/>
    <cellStyle name="Comma 5 5 7" xfId="2412"/>
    <cellStyle name="Comma 5 6" xfId="815"/>
    <cellStyle name="Comma 5 6 2" xfId="1353"/>
    <cellStyle name="Comma 5 6 2 2" xfId="1858"/>
    <cellStyle name="Comma 5 6 3" xfId="1605"/>
    <cellStyle name="Comma 5 6 4" xfId="2137"/>
    <cellStyle name="Comma 5 6 5" xfId="2419"/>
    <cellStyle name="Comma 5 7" xfId="868"/>
    <cellStyle name="Comma 5 8" xfId="929"/>
    <cellStyle name="Comma 5 8 2" xfId="1438"/>
    <cellStyle name="Comma 5 8 2 2" xfId="1945"/>
    <cellStyle name="Comma 5 8 3" xfId="1692"/>
    <cellStyle name="Comma 5 8 4" xfId="2224"/>
    <cellStyle name="Comma 5 8 5" xfId="2506"/>
    <cellStyle name="Comma 5 9" xfId="579"/>
    <cellStyle name="Comma 5 9 2" xfId="1279"/>
    <cellStyle name="Comma 5 9 2 2" xfId="1785"/>
    <cellStyle name="Comma 5 9 3" xfId="1532"/>
    <cellStyle name="Comma 5 9 4" xfId="2058"/>
    <cellStyle name="Comma 5 9 5" xfId="2344"/>
    <cellStyle name="Comma 50" xfId="807"/>
    <cellStyle name="Comma 51" xfId="811"/>
    <cellStyle name="Comma 51 2" xfId="1350"/>
    <cellStyle name="Comma 51 2 2" xfId="1855"/>
    <cellStyle name="Comma 51 3" xfId="1602"/>
    <cellStyle name="Comma 51 4" xfId="2134"/>
    <cellStyle name="Comma 51 5" xfId="2416"/>
    <cellStyle name="Comma 52" xfId="851"/>
    <cellStyle name="Comma 52 2" xfId="1388"/>
    <cellStyle name="Comma 52 2 2" xfId="1893"/>
    <cellStyle name="Comma 52 3" xfId="1640"/>
    <cellStyle name="Comma 52 4" xfId="2172"/>
    <cellStyle name="Comma 52 5" xfId="2454"/>
    <cellStyle name="Comma 53" xfId="856"/>
    <cellStyle name="Comma 53 2" xfId="1393"/>
    <cellStyle name="Comma 53 2 2" xfId="1898"/>
    <cellStyle name="Comma 53 3" xfId="1645"/>
    <cellStyle name="Comma 53 4" xfId="2177"/>
    <cellStyle name="Comma 53 5" xfId="2459"/>
    <cellStyle name="Comma 54" xfId="819"/>
    <cellStyle name="Comma 54 2" xfId="1357"/>
    <cellStyle name="Comma 54 2 2" xfId="1862"/>
    <cellStyle name="Comma 54 3" xfId="1609"/>
    <cellStyle name="Comma 54 4" xfId="2141"/>
    <cellStyle name="Comma 54 5" xfId="2423"/>
    <cellStyle name="Comma 55" xfId="848"/>
    <cellStyle name="Comma 55 2" xfId="1385"/>
    <cellStyle name="Comma 55 2 2" xfId="1890"/>
    <cellStyle name="Comma 55 3" xfId="1637"/>
    <cellStyle name="Comma 55 4" xfId="2169"/>
    <cellStyle name="Comma 55 5" xfId="2451"/>
    <cellStyle name="Comma 56" xfId="535"/>
    <cellStyle name="Comma 57" xfId="536"/>
    <cellStyle name="Comma 58" xfId="537"/>
    <cellStyle name="Comma 59" xfId="538"/>
    <cellStyle name="Comma 6" xfId="293"/>
    <cellStyle name="Comma 6 2" xfId="518"/>
    <cellStyle name="Comma 6 2 2" xfId="634"/>
    <cellStyle name="Comma 6 3" xfId="519"/>
    <cellStyle name="Comma 6 3 2" xfId="635"/>
    <cellStyle name="Comma 6 4" xfId="869"/>
    <cellStyle name="Comma 6 5" xfId="1179"/>
    <cellStyle name="Comma 6 6" xfId="1200"/>
    <cellStyle name="Comma 60" xfId="539"/>
    <cellStyle name="Comma 61" xfId="540"/>
    <cellStyle name="Comma 62" xfId="541"/>
    <cellStyle name="Comma 63" xfId="542"/>
    <cellStyle name="Comma 64" xfId="543"/>
    <cellStyle name="Comma 65" xfId="544"/>
    <cellStyle name="Comma 66" xfId="545"/>
    <cellStyle name="Comma 67" xfId="546"/>
    <cellStyle name="Comma 68" xfId="547"/>
    <cellStyle name="Comma 69" xfId="548"/>
    <cellStyle name="Comma 7" xfId="225"/>
    <cellStyle name="Comma 7 2" xfId="637"/>
    <cellStyle name="Comma 7 3" xfId="870"/>
    <cellStyle name="Comma 7 4" xfId="636"/>
    <cellStyle name="Comma 7 5" xfId="1176"/>
    <cellStyle name="Comma 7 6" xfId="1197"/>
    <cellStyle name="Comma 70" xfId="549"/>
    <cellStyle name="Comma 71" xfId="550"/>
    <cellStyle name="Comma 72" xfId="551"/>
    <cellStyle name="Comma 73" xfId="552"/>
    <cellStyle name="Comma 74" xfId="553"/>
    <cellStyle name="Comma 75" xfId="554"/>
    <cellStyle name="Comma 76" xfId="555"/>
    <cellStyle name="Comma 77" xfId="556"/>
    <cellStyle name="Comma 78" xfId="557"/>
    <cellStyle name="Comma 79" xfId="558"/>
    <cellStyle name="Comma 8" xfId="306"/>
    <cellStyle name="Comma 8 2" xfId="871"/>
    <cellStyle name="Comma 8 3" xfId="1182"/>
    <cellStyle name="Comma 8 4" xfId="1203"/>
    <cellStyle name="Comma 80" xfId="559"/>
    <cellStyle name="Comma 81" xfId="560"/>
    <cellStyle name="Comma 82" xfId="861"/>
    <cellStyle name="Comma 83" xfId="858"/>
    <cellStyle name="Comma 84" xfId="860"/>
    <cellStyle name="Comma 85" xfId="842"/>
    <cellStyle name="Comma 86" xfId="885"/>
    <cellStyle name="Comma 87" xfId="880"/>
    <cellStyle name="Comma 88" xfId="886"/>
    <cellStyle name="Comma 89" xfId="812"/>
    <cellStyle name="Comma 9" xfId="220"/>
    <cellStyle name="Comma 9 2" xfId="638"/>
    <cellStyle name="Comma 9 3" xfId="872"/>
    <cellStyle name="Comma 9 4" xfId="1174"/>
    <cellStyle name="Comma 9 5" xfId="1195"/>
    <cellStyle name="Comma 90" xfId="561"/>
    <cellStyle name="Comma 91" xfId="562"/>
    <cellStyle name="Comma 92" xfId="564"/>
    <cellStyle name="Comma 93" xfId="1001"/>
    <cellStyle name="Comma 94" xfId="1003"/>
    <cellStyle name="Comma 95" xfId="1007"/>
    <cellStyle name="Comma 96" xfId="1009"/>
    <cellStyle name="Comma 97" xfId="1011"/>
    <cellStyle name="Comma 98" xfId="1013"/>
    <cellStyle name="Comma 99" xfId="1015"/>
    <cellStyle name="Comma0" xfId="39"/>
    <cellStyle name="Currency" xfId="310" builtinId="4"/>
    <cellStyle name="Currency 2" xfId="5"/>
    <cellStyle name="Currency 2 2" xfId="278"/>
    <cellStyle name="Currency 2 2 2" xfId="520"/>
    <cellStyle name="Currency 2 2 3" xfId="639"/>
    <cellStyle name="Currency 2 3" xfId="521"/>
    <cellStyle name="Currency 2 3 2" xfId="640"/>
    <cellStyle name="Currency 2 4" xfId="641"/>
    <cellStyle name="Currency 3" xfId="287"/>
    <cellStyle name="Currency 3 2" xfId="303"/>
    <cellStyle name="Currency 3 2 2" xfId="643"/>
    <cellStyle name="Currency 3 2 2 2" xfId="739"/>
    <cellStyle name="Currency 3 2 2 2 2" xfId="968"/>
    <cellStyle name="Currency 3 2 2 2 2 2" xfId="1477"/>
    <cellStyle name="Currency 3 2 2 2 2 2 2" xfId="1984"/>
    <cellStyle name="Currency 3 2 2 2 2 3" xfId="1731"/>
    <cellStyle name="Currency 3 2 2 2 2 4" xfId="2263"/>
    <cellStyle name="Currency 3 2 2 2 2 5" xfId="2545"/>
    <cellStyle name="Currency 3 2 2 2 3" xfId="893"/>
    <cellStyle name="Currency 3 2 2 2 3 2" xfId="1402"/>
    <cellStyle name="Currency 3 2 2 2 3 2 2" xfId="1909"/>
    <cellStyle name="Currency 3 2 2 2 3 3" xfId="1656"/>
    <cellStyle name="Currency 3 2 2 2 3 4" xfId="2188"/>
    <cellStyle name="Currency 3 2 2 2 3 5" xfId="2470"/>
    <cellStyle name="Currency 3 2 2 2 4" xfId="1317"/>
    <cellStyle name="Currency 3 2 2 2 4 2" xfId="1822"/>
    <cellStyle name="Currency 3 2 2 2 5" xfId="1569"/>
    <cellStyle name="Currency 3 2 2 2 6" xfId="2101"/>
    <cellStyle name="Currency 3 2 2 2 7" xfId="2383"/>
    <cellStyle name="Currency 3 2 2 3" xfId="844"/>
    <cellStyle name="Currency 3 2 2 3 2" xfId="1381"/>
    <cellStyle name="Currency 3 2 2 3 2 2" xfId="1886"/>
    <cellStyle name="Currency 3 2 2 3 3" xfId="1633"/>
    <cellStyle name="Currency 3 2 2 3 4" xfId="2165"/>
    <cellStyle name="Currency 3 2 2 3 5" xfId="2447"/>
    <cellStyle name="Currency 3 2 2 4" xfId="956"/>
    <cellStyle name="Currency 3 2 2 4 2" xfId="1465"/>
    <cellStyle name="Currency 3 2 2 4 2 2" xfId="1972"/>
    <cellStyle name="Currency 3 2 2 4 3" xfId="1719"/>
    <cellStyle name="Currency 3 2 2 4 4" xfId="2251"/>
    <cellStyle name="Currency 3 2 2 4 5" xfId="2533"/>
    <cellStyle name="Currency 3 2 2 5" xfId="1305"/>
    <cellStyle name="Currency 3 2 2 5 2" xfId="1810"/>
    <cellStyle name="Currency 3 2 2 6" xfId="1557"/>
    <cellStyle name="Currency 3 2 2 7" xfId="2086"/>
    <cellStyle name="Currency 3 2 2 8" xfId="2370"/>
    <cellStyle name="Currency 3 2 3" xfId="621"/>
    <cellStyle name="Currency 3 2 3 2" xfId="740"/>
    <cellStyle name="Currency 3 2 3 2 2" xfId="969"/>
    <cellStyle name="Currency 3 2 3 2 2 2" xfId="1478"/>
    <cellStyle name="Currency 3 2 3 2 2 2 2" xfId="1985"/>
    <cellStyle name="Currency 3 2 3 2 2 3" xfId="1732"/>
    <cellStyle name="Currency 3 2 3 2 2 4" xfId="2264"/>
    <cellStyle name="Currency 3 2 3 2 2 5" xfId="2546"/>
    <cellStyle name="Currency 3 2 3 2 3" xfId="894"/>
    <cellStyle name="Currency 3 2 3 2 3 2" xfId="1403"/>
    <cellStyle name="Currency 3 2 3 2 3 2 2" xfId="1910"/>
    <cellStyle name="Currency 3 2 3 2 3 3" xfId="1657"/>
    <cellStyle name="Currency 3 2 3 2 3 4" xfId="2189"/>
    <cellStyle name="Currency 3 2 3 2 3 5" xfId="2471"/>
    <cellStyle name="Currency 3 2 3 2 4" xfId="1318"/>
    <cellStyle name="Currency 3 2 3 2 4 2" xfId="1823"/>
    <cellStyle name="Currency 3 2 3 2 5" xfId="1570"/>
    <cellStyle name="Currency 3 2 3 2 6" xfId="2102"/>
    <cellStyle name="Currency 3 2 3 2 7" xfId="2384"/>
    <cellStyle name="Currency 3 2 3 3" xfId="835"/>
    <cellStyle name="Currency 3 2 3 3 2" xfId="1373"/>
    <cellStyle name="Currency 3 2 3 3 2 2" xfId="1878"/>
    <cellStyle name="Currency 3 2 3 3 3" xfId="1625"/>
    <cellStyle name="Currency 3 2 3 3 4" xfId="2157"/>
    <cellStyle name="Currency 3 2 3 3 5" xfId="2439"/>
    <cellStyle name="Currency 3 2 3 4" xfId="948"/>
    <cellStyle name="Currency 3 2 3 4 2" xfId="1457"/>
    <cellStyle name="Currency 3 2 3 4 2 2" xfId="1964"/>
    <cellStyle name="Currency 3 2 3 4 3" xfId="1711"/>
    <cellStyle name="Currency 3 2 3 4 4" xfId="2243"/>
    <cellStyle name="Currency 3 2 3 4 5" xfId="2525"/>
    <cellStyle name="Currency 3 2 3 5" xfId="1297"/>
    <cellStyle name="Currency 3 2 3 5 2" xfId="1802"/>
    <cellStyle name="Currency 3 2 3 6" xfId="1549"/>
    <cellStyle name="Currency 3 2 3 7" xfId="2078"/>
    <cellStyle name="Currency 3 2 3 8" xfId="2362"/>
    <cellStyle name="Currency 3 2 4" xfId="764"/>
    <cellStyle name="Currency 3 2 4 2" xfId="993"/>
    <cellStyle name="Currency 3 2 4 2 2" xfId="1502"/>
    <cellStyle name="Currency 3 2 4 2 2 2" xfId="2009"/>
    <cellStyle name="Currency 3 2 4 2 3" xfId="1756"/>
    <cellStyle name="Currency 3 2 4 2 4" xfId="2288"/>
    <cellStyle name="Currency 3 2 4 2 5" xfId="2570"/>
    <cellStyle name="Currency 3 2 4 3" xfId="918"/>
    <cellStyle name="Currency 3 2 4 3 2" xfId="1427"/>
    <cellStyle name="Currency 3 2 4 3 2 2" xfId="1934"/>
    <cellStyle name="Currency 3 2 4 3 3" xfId="1681"/>
    <cellStyle name="Currency 3 2 4 3 4" xfId="2213"/>
    <cellStyle name="Currency 3 2 4 3 5" xfId="2495"/>
    <cellStyle name="Currency 3 2 4 4" xfId="1342"/>
    <cellStyle name="Currency 3 2 4 4 2" xfId="1847"/>
    <cellStyle name="Currency 3 2 4 5" xfId="1594"/>
    <cellStyle name="Currency 3 2 4 6" xfId="2126"/>
    <cellStyle name="Currency 3 2 4 7" xfId="2408"/>
    <cellStyle name="Currency 3 2 5" xfId="823"/>
    <cellStyle name="Currency 3 2 5 2" xfId="1361"/>
    <cellStyle name="Currency 3 2 5 2 2" xfId="1866"/>
    <cellStyle name="Currency 3 2 5 3" xfId="1613"/>
    <cellStyle name="Currency 3 2 5 4" xfId="2145"/>
    <cellStyle name="Currency 3 2 5 5" xfId="2427"/>
    <cellStyle name="Currency 3 2 6" xfId="874"/>
    <cellStyle name="Currency 3 2 7" xfId="936"/>
    <cellStyle name="Currency 3 2 7 2" xfId="1445"/>
    <cellStyle name="Currency 3 2 7 2 2" xfId="1952"/>
    <cellStyle name="Currency 3 2 7 3" xfId="1699"/>
    <cellStyle name="Currency 3 2 7 4" xfId="2231"/>
    <cellStyle name="Currency 3 2 7 5" xfId="2513"/>
    <cellStyle name="Currency 3 2 8" xfId="607"/>
    <cellStyle name="Currency 3 2 8 2" xfId="1286"/>
    <cellStyle name="Currency 3 2 8 2 2" xfId="1791"/>
    <cellStyle name="Currency 3 2 8 3" xfId="1538"/>
    <cellStyle name="Currency 3 2 8 4" xfId="2067"/>
    <cellStyle name="Currency 3 2 8 5" xfId="2351"/>
    <cellStyle name="Currency 3 3" xfId="290"/>
    <cellStyle name="Currency 3 3 2" xfId="744"/>
    <cellStyle name="Currency 3 3 2 2" xfId="973"/>
    <cellStyle name="Currency 3 3 2 2 2" xfId="1482"/>
    <cellStyle name="Currency 3 3 2 2 2 2" xfId="1989"/>
    <cellStyle name="Currency 3 3 2 2 3" xfId="1736"/>
    <cellStyle name="Currency 3 3 2 2 4" xfId="2268"/>
    <cellStyle name="Currency 3 3 2 2 5" xfId="2550"/>
    <cellStyle name="Currency 3 3 2 3" xfId="898"/>
    <cellStyle name="Currency 3 3 2 3 2" xfId="1407"/>
    <cellStyle name="Currency 3 3 2 3 2 2" xfId="1914"/>
    <cellStyle name="Currency 3 3 2 3 3" xfId="1661"/>
    <cellStyle name="Currency 3 3 2 3 4" xfId="2193"/>
    <cellStyle name="Currency 3 3 2 3 5" xfId="2475"/>
    <cellStyle name="Currency 3 3 2 4" xfId="1322"/>
    <cellStyle name="Currency 3 3 2 4 2" xfId="1827"/>
    <cellStyle name="Currency 3 3 2 5" xfId="1574"/>
    <cellStyle name="Currency 3 3 2 6" xfId="2106"/>
    <cellStyle name="Currency 3 3 2 7" xfId="2388"/>
    <cellStyle name="Currency 3 3 3" xfId="843"/>
    <cellStyle name="Currency 3 3 3 2" xfId="1380"/>
    <cellStyle name="Currency 3 3 3 2 2" xfId="1885"/>
    <cellStyle name="Currency 3 3 3 3" xfId="1632"/>
    <cellStyle name="Currency 3 3 3 4" xfId="2164"/>
    <cellStyle name="Currency 3 3 3 5" xfId="2446"/>
    <cellStyle name="Currency 3 3 4" xfId="955"/>
    <cellStyle name="Currency 3 3 4 2" xfId="1464"/>
    <cellStyle name="Currency 3 3 4 2 2" xfId="1971"/>
    <cellStyle name="Currency 3 3 4 3" xfId="1718"/>
    <cellStyle name="Currency 3 3 4 4" xfId="2250"/>
    <cellStyle name="Currency 3 3 4 5" xfId="2532"/>
    <cellStyle name="Currency 3 3 5" xfId="642"/>
    <cellStyle name="Currency 3 3 5 2" xfId="1304"/>
    <cellStyle name="Currency 3 3 5 2 2" xfId="1809"/>
    <cellStyle name="Currency 3 3 5 3" xfId="1556"/>
    <cellStyle name="Currency 3 3 5 4" xfId="2085"/>
    <cellStyle name="Currency 3 3 5 5" xfId="2369"/>
    <cellStyle name="Currency 3 4" xfId="615"/>
    <cellStyle name="Currency 3 4 2" xfId="738"/>
    <cellStyle name="Currency 3 4 2 2" xfId="967"/>
    <cellStyle name="Currency 3 4 2 2 2" xfId="1476"/>
    <cellStyle name="Currency 3 4 2 2 2 2" xfId="1983"/>
    <cellStyle name="Currency 3 4 2 2 3" xfId="1730"/>
    <cellStyle name="Currency 3 4 2 2 4" xfId="2262"/>
    <cellStyle name="Currency 3 4 2 2 5" xfId="2544"/>
    <cellStyle name="Currency 3 4 2 3" xfId="892"/>
    <cellStyle name="Currency 3 4 2 3 2" xfId="1401"/>
    <cellStyle name="Currency 3 4 2 3 2 2" xfId="1908"/>
    <cellStyle name="Currency 3 4 2 3 3" xfId="1655"/>
    <cellStyle name="Currency 3 4 2 3 4" xfId="2187"/>
    <cellStyle name="Currency 3 4 2 3 5" xfId="2469"/>
    <cellStyle name="Currency 3 4 2 4" xfId="1316"/>
    <cellStyle name="Currency 3 4 2 4 2" xfId="1821"/>
    <cellStyle name="Currency 3 4 2 5" xfId="1568"/>
    <cellStyle name="Currency 3 4 2 6" xfId="2100"/>
    <cellStyle name="Currency 3 4 2 7" xfId="2382"/>
    <cellStyle name="Currency 3 4 3" xfId="829"/>
    <cellStyle name="Currency 3 4 3 2" xfId="1367"/>
    <cellStyle name="Currency 3 4 3 2 2" xfId="1872"/>
    <cellStyle name="Currency 3 4 3 3" xfId="1619"/>
    <cellStyle name="Currency 3 4 3 4" xfId="2151"/>
    <cellStyle name="Currency 3 4 3 5" xfId="2433"/>
    <cellStyle name="Currency 3 4 4" xfId="942"/>
    <cellStyle name="Currency 3 4 4 2" xfId="1451"/>
    <cellStyle name="Currency 3 4 4 2 2" xfId="1958"/>
    <cellStyle name="Currency 3 4 4 3" xfId="1705"/>
    <cellStyle name="Currency 3 4 4 4" xfId="2237"/>
    <cellStyle name="Currency 3 4 4 5" xfId="2519"/>
    <cellStyle name="Currency 3 4 5" xfId="1291"/>
    <cellStyle name="Currency 3 4 5 2" xfId="1796"/>
    <cellStyle name="Currency 3 4 6" xfId="1543"/>
    <cellStyle name="Currency 3 4 7" xfId="2072"/>
    <cellStyle name="Currency 3 4 8" xfId="2356"/>
    <cellStyle name="Currency 3 5" xfId="747"/>
    <cellStyle name="Currency 3 5 2" xfId="976"/>
    <cellStyle name="Currency 3 5 2 2" xfId="1485"/>
    <cellStyle name="Currency 3 5 2 2 2" xfId="1992"/>
    <cellStyle name="Currency 3 5 2 3" xfId="1739"/>
    <cellStyle name="Currency 3 5 2 4" xfId="2271"/>
    <cellStyle name="Currency 3 5 2 5" xfId="2553"/>
    <cellStyle name="Currency 3 5 3" xfId="901"/>
    <cellStyle name="Currency 3 5 3 2" xfId="1410"/>
    <cellStyle name="Currency 3 5 3 2 2" xfId="1917"/>
    <cellStyle name="Currency 3 5 3 3" xfId="1664"/>
    <cellStyle name="Currency 3 5 3 4" xfId="2196"/>
    <cellStyle name="Currency 3 5 3 5" xfId="2478"/>
    <cellStyle name="Currency 3 5 4" xfId="1325"/>
    <cellStyle name="Currency 3 5 4 2" xfId="1830"/>
    <cellStyle name="Currency 3 5 5" xfId="1577"/>
    <cellStyle name="Currency 3 5 6" xfId="2109"/>
    <cellStyle name="Currency 3 5 7" xfId="2391"/>
    <cellStyle name="Currency 3 6" xfId="816"/>
    <cellStyle name="Currency 3 6 2" xfId="1354"/>
    <cellStyle name="Currency 3 6 2 2" xfId="1859"/>
    <cellStyle name="Currency 3 6 3" xfId="1606"/>
    <cellStyle name="Currency 3 6 4" xfId="2138"/>
    <cellStyle name="Currency 3 6 5" xfId="2420"/>
    <cellStyle name="Currency 3 7" xfId="873"/>
    <cellStyle name="Currency 3 8" xfId="930"/>
    <cellStyle name="Currency 3 8 2" xfId="1439"/>
    <cellStyle name="Currency 3 8 2 2" xfId="1946"/>
    <cellStyle name="Currency 3 8 3" xfId="1693"/>
    <cellStyle name="Currency 3 8 4" xfId="2225"/>
    <cellStyle name="Currency 3 8 5" xfId="2507"/>
    <cellStyle name="Currency 3 9" xfId="580"/>
    <cellStyle name="Currency 3 9 2" xfId="1280"/>
    <cellStyle name="Currency 3 9 2 2" xfId="1786"/>
    <cellStyle name="Currency 3 9 3" xfId="1533"/>
    <cellStyle name="Currency 3 9 4" xfId="2059"/>
    <cellStyle name="Currency 3 9 5" xfId="2345"/>
    <cellStyle name="Currency 4" xfId="875"/>
    <cellStyle name="Currency 4 2" xfId="876"/>
    <cellStyle name="Currency 5" xfId="877"/>
    <cellStyle name="Currency 6" xfId="1216"/>
    <cellStyle name="Currency 6 2" xfId="1269"/>
    <cellStyle name="Currency 6 2 2" xfId="1776"/>
    <cellStyle name="Currency 6 3" xfId="1524"/>
    <cellStyle name="Currency 6 4" xfId="2595"/>
    <cellStyle name="Currency 7" xfId="1212"/>
    <cellStyle name="Currency 7 2" xfId="1518"/>
    <cellStyle name="Currency 7 3" xfId="2591"/>
    <cellStyle name="Currency 7 4" xfId="1235"/>
    <cellStyle name="Currency 8" xfId="2041"/>
    <cellStyle name="Currency 9" xfId="2332"/>
    <cellStyle name="Currency0" xfId="40"/>
    <cellStyle name="Currency0 2" xfId="41"/>
    <cellStyle name="Date" xfId="42"/>
    <cellStyle name="Euro" xfId="43"/>
    <cellStyle name="Fixed" xfId="44"/>
    <cellStyle name="Good 2" xfId="45"/>
    <cellStyle name="GrayCell" xfId="46"/>
    <cellStyle name="Heading1" xfId="47"/>
    <cellStyle name="Heading2" xfId="48"/>
    <cellStyle name="Hyperlink 2" xfId="49"/>
    <cellStyle name="Input 2" xfId="50"/>
    <cellStyle name="Input 3" xfId="51"/>
    <cellStyle name="Input 3 2" xfId="52"/>
    <cellStyle name="Input 3 3" xfId="53"/>
    <cellStyle name="input data" xfId="54"/>
    <cellStyle name="input data 2" xfId="55"/>
    <cellStyle name="input data_Ocotillo" xfId="56"/>
    <cellStyle name="Neutral 2" xfId="57"/>
    <cellStyle name="no dec" xfId="58"/>
    <cellStyle name="Normal" xfId="0" builtinId="0"/>
    <cellStyle name="Normal - Style1" xfId="59"/>
    <cellStyle name="Normal + box" xfId="60"/>
    <cellStyle name="Normal + cyan" xfId="61"/>
    <cellStyle name="Normal + cyan 2" xfId="62"/>
    <cellStyle name="Normal + cyan 2 2" xfId="63"/>
    <cellStyle name="Normal + cyan 3" xfId="64"/>
    <cellStyle name="Normal + cyan 3 2" xfId="65"/>
    <cellStyle name="normal + link" xfId="66"/>
    <cellStyle name="normal + link 2" xfId="67"/>
    <cellStyle name="normal + link2" xfId="68"/>
    <cellStyle name="Normal + red" xfId="69"/>
    <cellStyle name="Normal 10" xfId="70"/>
    <cellStyle name="Normal 10 2" xfId="522"/>
    <cellStyle name="Normal 10 2 2" xfId="878"/>
    <cellStyle name="Normal 10 2 3" xfId="1186"/>
    <cellStyle name="Normal 10 2 4" xfId="1207"/>
    <cellStyle name="Normal 10 3" xfId="684"/>
    <cellStyle name="Normal 10 3 2" xfId="879"/>
    <cellStyle name="Normal 10 3 3" xfId="1188"/>
    <cellStyle name="Normal 10 3 4" xfId="1209"/>
    <cellStyle name="Normal 10 4" xfId="581"/>
    <cellStyle name="Normal 100" xfId="2310"/>
    <cellStyle name="Normal 101" xfId="2313"/>
    <cellStyle name="Normal 102" xfId="2315"/>
    <cellStyle name="Normal 103" xfId="2038"/>
    <cellStyle name="Normal 104" xfId="2031"/>
    <cellStyle name="Normal 105" xfId="2090"/>
    <cellStyle name="Normal 106" xfId="2030"/>
    <cellStyle name="Normal 107" xfId="2317"/>
    <cellStyle name="Normal 108" xfId="2327"/>
    <cellStyle name="Normal 109" xfId="2322"/>
    <cellStyle name="Normal 11" xfId="71"/>
    <cellStyle name="Normal 11 2" xfId="72"/>
    <cellStyle name="Normal 11 2 2" xfId="332"/>
    <cellStyle name="Normal 11 2 2 2" xfId="1104"/>
    <cellStyle name="Normal 11 2 3" xfId="429"/>
    <cellStyle name="Normal 11 3" xfId="73"/>
    <cellStyle name="Normal 11 3 2" xfId="333"/>
    <cellStyle name="Normal 11 3 2 2" xfId="1164"/>
    <cellStyle name="Normal 11 3 3" xfId="430"/>
    <cellStyle name="Normal 11 4" xfId="74"/>
    <cellStyle name="Normal 11 4 2" xfId="334"/>
    <cellStyle name="Normal 11 4 2 2" xfId="1127"/>
    <cellStyle name="Normal 11 4 3" xfId="431"/>
    <cellStyle name="Normal 11 5" xfId="331"/>
    <cellStyle name="Normal 11 5 2" xfId="685"/>
    <cellStyle name="Normal 11 6" xfId="428"/>
    <cellStyle name="Normal 11 7" xfId="582"/>
    <cellStyle name="Normal 110" xfId="2346"/>
    <cellStyle name="Normal 111" xfId="2336"/>
    <cellStyle name="Normal 112" xfId="2601"/>
    <cellStyle name="Normal 113" xfId="2578"/>
    <cellStyle name="Normal 114" xfId="2603"/>
    <cellStyle name="Normal 115" xfId="2577"/>
    <cellStyle name="Normal 116" xfId="2374"/>
    <cellStyle name="Normal 117" xfId="2331"/>
    <cellStyle name="Normal 118" xfId="2320"/>
    <cellStyle name="Normal 119" xfId="1221"/>
    <cellStyle name="Normal 12" xfId="4"/>
    <cellStyle name="Normal 12 2" xfId="75"/>
    <cellStyle name="Normal 12 3" xfId="76"/>
    <cellStyle name="Normal 12 4" xfId="675"/>
    <cellStyle name="Normal 12 5" xfId="583"/>
    <cellStyle name="Normal 120" xfId="1226"/>
    <cellStyle name="Normal 121" xfId="1223"/>
    <cellStyle name="Normal 122" xfId="1227"/>
    <cellStyle name="Normal 123" xfId="1229"/>
    <cellStyle name="Normal 124" xfId="2611"/>
    <cellStyle name="Normal 125" xfId="2613"/>
    <cellStyle name="Normal 126" xfId="2606"/>
    <cellStyle name="Normal 127" xfId="2607"/>
    <cellStyle name="Normal 128" xfId="2612"/>
    <cellStyle name="Normal 129" xfId="2617"/>
    <cellStyle name="Normal 13" xfId="77"/>
    <cellStyle name="Normal 13 2" xfId="523"/>
    <cellStyle name="Normal 13 3" xfId="686"/>
    <cellStyle name="Normal 130" xfId="1230"/>
    <cellStyle name="Normal 131" xfId="1231"/>
    <cellStyle name="Normal 14" xfId="78"/>
    <cellStyle name="Normal 14 2" xfId="524"/>
    <cellStyle name="Normal 14 2 10" xfId="2338"/>
    <cellStyle name="Normal 14 2 2" xfId="645"/>
    <cellStyle name="Normal 14 2 2 2" xfId="769"/>
    <cellStyle name="Normal 14 2 2 2 2" xfId="998"/>
    <cellStyle name="Normal 14 2 2 2 2 2" xfId="1507"/>
    <cellStyle name="Normal 14 2 2 2 2 2 2" xfId="2014"/>
    <cellStyle name="Normal 14 2 2 2 2 3" xfId="1761"/>
    <cellStyle name="Normal 14 2 2 2 2 4" xfId="2293"/>
    <cellStyle name="Normal 14 2 2 2 2 5" xfId="2575"/>
    <cellStyle name="Normal 14 2 2 2 3" xfId="923"/>
    <cellStyle name="Normal 14 2 2 2 3 2" xfId="1432"/>
    <cellStyle name="Normal 14 2 2 2 3 2 2" xfId="1939"/>
    <cellStyle name="Normal 14 2 2 2 3 3" xfId="1686"/>
    <cellStyle name="Normal 14 2 2 2 3 4" xfId="2218"/>
    <cellStyle name="Normal 14 2 2 2 3 5" xfId="2500"/>
    <cellStyle name="Normal 14 2 2 2 4" xfId="1347"/>
    <cellStyle name="Normal 14 2 2 2 4 2" xfId="1852"/>
    <cellStyle name="Normal 14 2 2 2 5" xfId="1599"/>
    <cellStyle name="Normal 14 2 2 2 6" xfId="2131"/>
    <cellStyle name="Normal 14 2 2 2 7" xfId="2413"/>
    <cellStyle name="Normal 14 2 2 3" xfId="846"/>
    <cellStyle name="Normal 14 2 2 3 2" xfId="1383"/>
    <cellStyle name="Normal 14 2 2 3 2 2" xfId="1888"/>
    <cellStyle name="Normal 14 2 2 3 3" xfId="1635"/>
    <cellStyle name="Normal 14 2 2 3 4" xfId="2167"/>
    <cellStyle name="Normal 14 2 2 3 5" xfId="2449"/>
    <cellStyle name="Normal 14 2 2 4" xfId="958"/>
    <cellStyle name="Normal 14 2 2 4 2" xfId="1467"/>
    <cellStyle name="Normal 14 2 2 4 2 2" xfId="1974"/>
    <cellStyle name="Normal 14 2 2 4 3" xfId="1721"/>
    <cellStyle name="Normal 14 2 2 4 4" xfId="2253"/>
    <cellStyle name="Normal 14 2 2 4 5" xfId="2535"/>
    <cellStyle name="Normal 14 2 2 5" xfId="1307"/>
    <cellStyle name="Normal 14 2 2 5 2" xfId="1812"/>
    <cellStyle name="Normal 14 2 2 6" xfId="1559"/>
    <cellStyle name="Normal 14 2 2 7" xfId="2088"/>
    <cellStyle name="Normal 14 2 2 8" xfId="2372"/>
    <cellStyle name="Normal 14 2 3" xfId="622"/>
    <cellStyle name="Normal 14 2 3 2" xfId="745"/>
    <cellStyle name="Normal 14 2 3 2 2" xfId="974"/>
    <cellStyle name="Normal 14 2 3 2 2 2" xfId="1483"/>
    <cellStyle name="Normal 14 2 3 2 2 2 2" xfId="1990"/>
    <cellStyle name="Normal 14 2 3 2 2 3" xfId="1737"/>
    <cellStyle name="Normal 14 2 3 2 2 4" xfId="2269"/>
    <cellStyle name="Normal 14 2 3 2 2 5" xfId="2551"/>
    <cellStyle name="Normal 14 2 3 2 3" xfId="899"/>
    <cellStyle name="Normal 14 2 3 2 3 2" xfId="1408"/>
    <cellStyle name="Normal 14 2 3 2 3 2 2" xfId="1915"/>
    <cellStyle name="Normal 14 2 3 2 3 3" xfId="1662"/>
    <cellStyle name="Normal 14 2 3 2 3 4" xfId="2194"/>
    <cellStyle name="Normal 14 2 3 2 3 5" xfId="2476"/>
    <cellStyle name="Normal 14 2 3 2 4" xfId="1323"/>
    <cellStyle name="Normal 14 2 3 2 4 2" xfId="1828"/>
    <cellStyle name="Normal 14 2 3 2 5" xfId="1575"/>
    <cellStyle name="Normal 14 2 3 2 6" xfId="2107"/>
    <cellStyle name="Normal 14 2 3 2 7" xfId="2389"/>
    <cellStyle name="Normal 14 2 3 3" xfId="836"/>
    <cellStyle name="Normal 14 2 3 3 2" xfId="1374"/>
    <cellStyle name="Normal 14 2 3 3 2 2" xfId="1879"/>
    <cellStyle name="Normal 14 2 3 3 3" xfId="1626"/>
    <cellStyle name="Normal 14 2 3 3 4" xfId="2158"/>
    <cellStyle name="Normal 14 2 3 3 5" xfId="2440"/>
    <cellStyle name="Normal 14 2 3 4" xfId="949"/>
    <cellStyle name="Normal 14 2 3 4 2" xfId="1458"/>
    <cellStyle name="Normal 14 2 3 4 2 2" xfId="1965"/>
    <cellStyle name="Normal 14 2 3 4 3" xfId="1712"/>
    <cellStyle name="Normal 14 2 3 4 4" xfId="2244"/>
    <cellStyle name="Normal 14 2 3 4 5" xfId="2526"/>
    <cellStyle name="Normal 14 2 3 5" xfId="1298"/>
    <cellStyle name="Normal 14 2 3 5 2" xfId="1803"/>
    <cellStyle name="Normal 14 2 3 6" xfId="1550"/>
    <cellStyle name="Normal 14 2 3 7" xfId="2079"/>
    <cellStyle name="Normal 14 2 3 8" xfId="2363"/>
    <cellStyle name="Normal 14 2 4" xfId="755"/>
    <cellStyle name="Normal 14 2 4 2" xfId="984"/>
    <cellStyle name="Normal 14 2 4 2 2" xfId="1493"/>
    <cellStyle name="Normal 14 2 4 2 2 2" xfId="2000"/>
    <cellStyle name="Normal 14 2 4 2 3" xfId="1747"/>
    <cellStyle name="Normal 14 2 4 2 4" xfId="2279"/>
    <cellStyle name="Normal 14 2 4 2 5" xfId="2561"/>
    <cellStyle name="Normal 14 2 4 3" xfId="909"/>
    <cellStyle name="Normal 14 2 4 3 2" xfId="1418"/>
    <cellStyle name="Normal 14 2 4 3 2 2" xfId="1925"/>
    <cellStyle name="Normal 14 2 4 3 3" xfId="1672"/>
    <cellStyle name="Normal 14 2 4 3 4" xfId="2204"/>
    <cellStyle name="Normal 14 2 4 3 5" xfId="2486"/>
    <cellStyle name="Normal 14 2 4 4" xfId="1333"/>
    <cellStyle name="Normal 14 2 4 4 2" xfId="1838"/>
    <cellStyle name="Normal 14 2 4 5" xfId="1585"/>
    <cellStyle name="Normal 14 2 4 6" xfId="2117"/>
    <cellStyle name="Normal 14 2 4 7" xfId="2399"/>
    <cellStyle name="Normal 14 2 5" xfId="824"/>
    <cellStyle name="Normal 14 2 5 2" xfId="1362"/>
    <cellStyle name="Normal 14 2 5 2 2" xfId="1867"/>
    <cellStyle name="Normal 14 2 5 3" xfId="1614"/>
    <cellStyle name="Normal 14 2 5 4" xfId="2146"/>
    <cellStyle name="Normal 14 2 5 5" xfId="2428"/>
    <cellStyle name="Normal 14 2 6" xfId="937"/>
    <cellStyle name="Normal 14 2 6 2" xfId="1446"/>
    <cellStyle name="Normal 14 2 6 2 2" xfId="1953"/>
    <cellStyle name="Normal 14 2 6 3" xfId="1700"/>
    <cellStyle name="Normal 14 2 6 4" xfId="2232"/>
    <cellStyle name="Normal 14 2 6 5" xfId="2514"/>
    <cellStyle name="Normal 14 2 7" xfId="1273"/>
    <cellStyle name="Normal 14 2 7 2" xfId="1780"/>
    <cellStyle name="Normal 14 2 8" xfId="1527"/>
    <cellStyle name="Normal 14 2 9" xfId="2053"/>
    <cellStyle name="Normal 14 3" xfId="644"/>
    <cellStyle name="Normal 14 3 2" xfId="761"/>
    <cellStyle name="Normal 14 3 2 2" xfId="990"/>
    <cellStyle name="Normal 14 3 2 2 2" xfId="1499"/>
    <cellStyle name="Normal 14 3 2 2 2 2" xfId="2006"/>
    <cellStyle name="Normal 14 3 2 2 3" xfId="1753"/>
    <cellStyle name="Normal 14 3 2 2 4" xfId="2285"/>
    <cellStyle name="Normal 14 3 2 2 5" xfId="2567"/>
    <cellStyle name="Normal 14 3 2 3" xfId="915"/>
    <cellStyle name="Normal 14 3 2 3 2" xfId="1424"/>
    <cellStyle name="Normal 14 3 2 3 2 2" xfId="1931"/>
    <cellStyle name="Normal 14 3 2 3 3" xfId="1678"/>
    <cellStyle name="Normal 14 3 2 3 4" xfId="2210"/>
    <cellStyle name="Normal 14 3 2 3 5" xfId="2492"/>
    <cellStyle name="Normal 14 3 2 4" xfId="1339"/>
    <cellStyle name="Normal 14 3 2 4 2" xfId="1844"/>
    <cellStyle name="Normal 14 3 2 5" xfId="1591"/>
    <cellStyle name="Normal 14 3 2 6" xfId="2123"/>
    <cellStyle name="Normal 14 3 2 7" xfId="2405"/>
    <cellStyle name="Normal 14 3 3" xfId="845"/>
    <cellStyle name="Normal 14 3 3 2" xfId="1382"/>
    <cellStyle name="Normal 14 3 3 2 2" xfId="1887"/>
    <cellStyle name="Normal 14 3 3 3" xfId="1634"/>
    <cellStyle name="Normal 14 3 3 4" xfId="2166"/>
    <cellStyle name="Normal 14 3 3 5" xfId="2448"/>
    <cellStyle name="Normal 14 3 4" xfId="957"/>
    <cellStyle name="Normal 14 3 4 2" xfId="1466"/>
    <cellStyle name="Normal 14 3 4 2 2" xfId="1973"/>
    <cellStyle name="Normal 14 3 4 3" xfId="1720"/>
    <cellStyle name="Normal 14 3 4 4" xfId="2252"/>
    <cellStyle name="Normal 14 3 4 5" xfId="2534"/>
    <cellStyle name="Normal 14 3 5" xfId="1306"/>
    <cellStyle name="Normal 14 3 5 2" xfId="1811"/>
    <cellStyle name="Normal 14 3 6" xfId="1558"/>
    <cellStyle name="Normal 14 3 7" xfId="2087"/>
    <cellStyle name="Normal 14 3 8" xfId="2371"/>
    <cellStyle name="Normal 14 4" xfId="616"/>
    <cellStyle name="Normal 14 4 2" xfId="750"/>
    <cellStyle name="Normal 14 4 2 2" xfId="979"/>
    <cellStyle name="Normal 14 4 2 2 2" xfId="1488"/>
    <cellStyle name="Normal 14 4 2 2 2 2" xfId="1995"/>
    <cellStyle name="Normal 14 4 2 2 3" xfId="1742"/>
    <cellStyle name="Normal 14 4 2 2 4" xfId="2274"/>
    <cellStyle name="Normal 14 4 2 2 5" xfId="2556"/>
    <cellStyle name="Normal 14 4 2 3" xfId="904"/>
    <cellStyle name="Normal 14 4 2 3 2" xfId="1413"/>
    <cellStyle name="Normal 14 4 2 3 2 2" xfId="1920"/>
    <cellStyle name="Normal 14 4 2 3 3" xfId="1667"/>
    <cellStyle name="Normal 14 4 2 3 4" xfId="2199"/>
    <cellStyle name="Normal 14 4 2 3 5" xfId="2481"/>
    <cellStyle name="Normal 14 4 2 4" xfId="1328"/>
    <cellStyle name="Normal 14 4 2 4 2" xfId="1833"/>
    <cellStyle name="Normal 14 4 2 5" xfId="1580"/>
    <cellStyle name="Normal 14 4 2 6" xfId="2112"/>
    <cellStyle name="Normal 14 4 2 7" xfId="2394"/>
    <cellStyle name="Normal 14 4 3" xfId="830"/>
    <cellStyle name="Normal 14 4 3 2" xfId="1368"/>
    <cellStyle name="Normal 14 4 3 2 2" xfId="1873"/>
    <cellStyle name="Normal 14 4 3 3" xfId="1620"/>
    <cellStyle name="Normal 14 4 3 4" xfId="2152"/>
    <cellStyle name="Normal 14 4 3 5" xfId="2434"/>
    <cellStyle name="Normal 14 4 4" xfId="943"/>
    <cellStyle name="Normal 14 4 4 2" xfId="1452"/>
    <cellStyle name="Normal 14 4 4 2 2" xfId="1959"/>
    <cellStyle name="Normal 14 4 4 3" xfId="1706"/>
    <cellStyle name="Normal 14 4 4 4" xfId="2238"/>
    <cellStyle name="Normal 14 4 4 5" xfId="2520"/>
    <cellStyle name="Normal 14 4 5" xfId="1292"/>
    <cellStyle name="Normal 14 4 5 2" xfId="1797"/>
    <cellStyle name="Normal 14 4 6" xfId="1544"/>
    <cellStyle name="Normal 14 4 7" xfId="2073"/>
    <cellStyle name="Normal 14 4 8" xfId="2357"/>
    <cellStyle name="Normal 14 5" xfId="687"/>
    <cellStyle name="Normal 14 6" xfId="746"/>
    <cellStyle name="Normal 14 6 2" xfId="975"/>
    <cellStyle name="Normal 14 6 2 2" xfId="1484"/>
    <cellStyle name="Normal 14 6 2 2 2" xfId="1991"/>
    <cellStyle name="Normal 14 6 2 3" xfId="1738"/>
    <cellStyle name="Normal 14 6 2 4" xfId="2270"/>
    <cellStyle name="Normal 14 6 2 5" xfId="2552"/>
    <cellStyle name="Normal 14 6 3" xfId="900"/>
    <cellStyle name="Normal 14 6 3 2" xfId="1409"/>
    <cellStyle name="Normal 14 6 3 2 2" xfId="1916"/>
    <cellStyle name="Normal 14 6 3 3" xfId="1663"/>
    <cellStyle name="Normal 14 6 3 4" xfId="2195"/>
    <cellStyle name="Normal 14 6 3 5" xfId="2477"/>
    <cellStyle name="Normal 14 6 4" xfId="1324"/>
    <cellStyle name="Normal 14 6 4 2" xfId="1829"/>
    <cellStyle name="Normal 14 6 5" xfId="1576"/>
    <cellStyle name="Normal 14 6 6" xfId="2108"/>
    <cellStyle name="Normal 14 6 7" xfId="2390"/>
    <cellStyle name="Normal 14 7" xfId="770"/>
    <cellStyle name="Normal 14 7 2" xfId="999"/>
    <cellStyle name="Normal 14 7 2 2" xfId="1508"/>
    <cellStyle name="Normal 14 7 2 2 2" xfId="2015"/>
    <cellStyle name="Normal 14 7 2 3" xfId="1762"/>
    <cellStyle name="Normal 14 7 2 4" xfId="2294"/>
    <cellStyle name="Normal 14 7 2 5" xfId="2576"/>
    <cellStyle name="Normal 14 7 3" xfId="924"/>
    <cellStyle name="Normal 14 7 3 2" xfId="1433"/>
    <cellStyle name="Normal 14 7 3 2 2" xfId="1940"/>
    <cellStyle name="Normal 14 7 3 3" xfId="1687"/>
    <cellStyle name="Normal 14 7 3 4" xfId="2219"/>
    <cellStyle name="Normal 14 7 3 5" xfId="2501"/>
    <cellStyle name="Normal 14 7 4" xfId="1348"/>
    <cellStyle name="Normal 14 7 4 2" xfId="1853"/>
    <cellStyle name="Normal 14 7 5" xfId="1600"/>
    <cellStyle name="Normal 14 7 6" xfId="2132"/>
    <cellStyle name="Normal 14 7 7" xfId="2414"/>
    <cellStyle name="Normal 14 8" xfId="817"/>
    <cellStyle name="Normal 14 8 2" xfId="1355"/>
    <cellStyle name="Normal 14 8 2 2" xfId="1860"/>
    <cellStyle name="Normal 14 8 3" xfId="1607"/>
    <cellStyle name="Normal 14 8 4" xfId="2139"/>
    <cellStyle name="Normal 14 8 5" xfId="2421"/>
    <cellStyle name="Normal 14 9" xfId="931"/>
    <cellStyle name="Normal 14 9 2" xfId="1440"/>
    <cellStyle name="Normal 14 9 2 2" xfId="1947"/>
    <cellStyle name="Normal 14 9 3" xfId="1694"/>
    <cellStyle name="Normal 14 9 4" xfId="2226"/>
    <cellStyle name="Normal 14 9 5" xfId="2508"/>
    <cellStyle name="Normal 15" xfId="79"/>
    <cellStyle name="Normal 15 2" xfId="525"/>
    <cellStyle name="Normal 15 3" xfId="688"/>
    <cellStyle name="Normal 16" xfId="80"/>
    <cellStyle name="Normal 16 2" xfId="526"/>
    <cellStyle name="Normal 16 2 2" xfId="646"/>
    <cellStyle name="Normal 16 3" xfId="527"/>
    <cellStyle name="Normal 16 3 2" xfId="647"/>
    <cellStyle name="Normal 16 4" xfId="689"/>
    <cellStyle name="Normal 17" xfId="81"/>
    <cellStyle name="Normal 17 2" xfId="648"/>
    <cellStyle name="Normal 18" xfId="3"/>
    <cellStyle name="Normal 18 2" xfId="315"/>
    <cellStyle name="Normal 18 2 2" xfId="1163"/>
    <cellStyle name="Normal 18 3" xfId="412"/>
    <cellStyle name="Normal 18 4" xfId="666"/>
    <cellStyle name="Normal 19" xfId="218"/>
    <cellStyle name="Normal 19 2" xfId="757"/>
    <cellStyle name="Normal 19 2 2" xfId="986"/>
    <cellStyle name="Normal 19 2 2 2" xfId="1495"/>
    <cellStyle name="Normal 19 2 2 2 2" xfId="2002"/>
    <cellStyle name="Normal 19 2 2 3" xfId="1749"/>
    <cellStyle name="Normal 19 2 2 4" xfId="2281"/>
    <cellStyle name="Normal 19 2 2 5" xfId="2563"/>
    <cellStyle name="Normal 19 2 3" xfId="911"/>
    <cellStyle name="Normal 19 2 3 2" xfId="1420"/>
    <cellStyle name="Normal 19 2 3 2 2" xfId="1927"/>
    <cellStyle name="Normal 19 2 3 3" xfId="1674"/>
    <cellStyle name="Normal 19 2 3 4" xfId="2206"/>
    <cellStyle name="Normal 19 2 3 5" xfId="2488"/>
    <cellStyle name="Normal 19 2 4" xfId="1335"/>
    <cellStyle name="Normal 19 2 4 2" xfId="1840"/>
    <cellStyle name="Normal 19 2 5" xfId="1587"/>
    <cellStyle name="Normal 19 2 6" xfId="2119"/>
    <cellStyle name="Normal 19 2 7" xfId="2401"/>
    <cellStyle name="Normal 19 3" xfId="853"/>
    <cellStyle name="Normal 19 3 2" xfId="1390"/>
    <cellStyle name="Normal 19 3 2 2" xfId="1895"/>
    <cellStyle name="Normal 19 3 3" xfId="1642"/>
    <cellStyle name="Normal 19 3 4" xfId="2174"/>
    <cellStyle name="Normal 19 3 5" xfId="2456"/>
    <cellStyle name="Normal 19 4" xfId="925"/>
    <cellStyle name="Normal 19 4 2" xfId="1434"/>
    <cellStyle name="Normal 19 4 2 2" xfId="1941"/>
    <cellStyle name="Normal 19 4 3" xfId="1688"/>
    <cellStyle name="Normal 19 4 4" xfId="2220"/>
    <cellStyle name="Normal 19 4 5" xfId="2502"/>
    <cellStyle name="Normal 19 5" xfId="568"/>
    <cellStyle name="Normal 19 5 2" xfId="1275"/>
    <cellStyle name="Normal 19 5 2 2" xfId="1781"/>
    <cellStyle name="Normal 19 5 3" xfId="1528"/>
    <cellStyle name="Normal 19 5 4" xfId="2054"/>
    <cellStyle name="Normal 19 5 5" xfId="2340"/>
    <cellStyle name="Normal 2" xfId="82"/>
    <cellStyle name="Normal 2 2" xfId="83"/>
    <cellStyle name="Normal 2 2 2" xfId="84"/>
    <cellStyle name="Normal 2 2 2 2" xfId="335"/>
    <cellStyle name="Normal 2 2 2 2 2" xfId="693"/>
    <cellStyle name="Normal 2 2 2 3" xfId="432"/>
    <cellStyle name="Normal 2 2 2 4" xfId="584"/>
    <cellStyle name="Normal 2 2 3" xfId="294"/>
    <cellStyle name="Normal 2 2 3 2" xfId="585"/>
    <cellStyle name="Normal 2 2 4" xfId="511"/>
    <cellStyle name="Normal 2 2 4 2" xfId="692"/>
    <cellStyle name="Normal 2 3" xfId="85"/>
    <cellStyle name="Normal 2 3 2" xfId="86"/>
    <cellStyle name="Normal 2 3 3" xfId="87"/>
    <cellStyle name="Normal 2 3 4" xfId="226"/>
    <cellStyle name="Normal 2 3 4 2" xfId="694"/>
    <cellStyle name="Normal 2 4" xfId="509"/>
    <cellStyle name="Normal 2 4 2" xfId="881"/>
    <cellStyle name="Normal 2 4 3" xfId="577"/>
    <cellStyle name="Normal 2 4 4" xfId="1184"/>
    <cellStyle name="Normal 2 4 5" xfId="1205"/>
    <cellStyle name="Normal 2 5" xfId="528"/>
    <cellStyle name="Normal 2 6" xfId="529"/>
    <cellStyle name="Normal 2 7" xfId="569"/>
    <cellStyle name="Normal 2 8" xfId="691"/>
    <cellStyle name="Normal 2 9" xfId="565"/>
    <cellStyle name="Normal 2_Ocotillo" xfId="88"/>
    <cellStyle name="Normal 20" xfId="281"/>
    <cellStyle name="Normal 20 2" xfId="670"/>
    <cellStyle name="Normal 21" xfId="309"/>
    <cellStyle name="Normal 21 2" xfId="810"/>
    <cellStyle name="Normal 21 2 2" xfId="1349"/>
    <cellStyle name="Normal 21 2 2 2" xfId="1854"/>
    <cellStyle name="Normal 21 2 3" xfId="1601"/>
    <cellStyle name="Normal 21 2 4" xfId="2133"/>
    <cellStyle name="Normal 21 2 5" xfId="2415"/>
    <cellStyle name="Normal 22" xfId="312"/>
    <cellStyle name="Normal 22 2" xfId="1270"/>
    <cellStyle name="Normal 22 2 2" xfId="1777"/>
    <cellStyle name="Normal 22 3" xfId="1525"/>
    <cellStyle name="Normal 22 4" xfId="2042"/>
    <cellStyle name="Normal 22 5" xfId="2333"/>
    <cellStyle name="Normal 23" xfId="311"/>
    <cellStyle name="Normal 23 2" xfId="859"/>
    <cellStyle name="Normal 23 2 2" xfId="1395"/>
    <cellStyle name="Normal 23 2 2 2" xfId="1900"/>
    <cellStyle name="Normal 23 2 3" xfId="1647"/>
    <cellStyle name="Normal 23 2 4" xfId="2179"/>
    <cellStyle name="Normal 23 2 5" xfId="2461"/>
    <cellStyle name="Normal 23 3" xfId="1156"/>
    <cellStyle name="Normal 24" xfId="510"/>
    <cellStyle name="Normal 24 2" xfId="852"/>
    <cellStyle name="Normal 24 2 2" xfId="1389"/>
    <cellStyle name="Normal 24 2 2 2" xfId="1894"/>
    <cellStyle name="Normal 24 2 3" xfId="1641"/>
    <cellStyle name="Normal 24 2 4" xfId="2173"/>
    <cellStyle name="Normal 24 2 5" xfId="2455"/>
    <cellStyle name="Normal 24 3" xfId="1167"/>
    <cellStyle name="Normal 25" xfId="857"/>
    <cellStyle name="Normal 25 2" xfId="1394"/>
    <cellStyle name="Normal 25 2 2" xfId="1899"/>
    <cellStyle name="Normal 25 3" xfId="1646"/>
    <cellStyle name="Normal 25 4" xfId="2178"/>
    <cellStyle name="Normal 25 5" xfId="2460"/>
    <cellStyle name="Normal 26" xfId="563"/>
    <cellStyle name="Normal 27" xfId="1000"/>
    <cellStyle name="Normal 27 2" xfId="1168"/>
    <cellStyle name="Normal 28" xfId="1002"/>
    <cellStyle name="Normal 29" xfId="1004"/>
    <cellStyle name="Normal 3" xfId="89"/>
    <cellStyle name="Normal 3 2" xfId="90"/>
    <cellStyle name="Normal 3 2 2" xfId="91"/>
    <cellStyle name="Normal 3 2 2 2" xfId="338"/>
    <cellStyle name="Normal 3 2 2 2 2" xfId="697"/>
    <cellStyle name="Normal 3 2 2 3" xfId="435"/>
    <cellStyle name="Normal 3 2 2 4" xfId="602"/>
    <cellStyle name="Normal 3 2 3" xfId="92"/>
    <cellStyle name="Normal 3 2 3 2" xfId="339"/>
    <cellStyle name="Normal 3 2 3 2 2" xfId="737"/>
    <cellStyle name="Normal 3 2 3 2 2 2" xfId="966"/>
    <cellStyle name="Normal 3 2 3 2 2 2 2" xfId="1475"/>
    <cellStyle name="Normal 3 2 3 2 2 2 2 2" xfId="1982"/>
    <cellStyle name="Normal 3 2 3 2 2 2 3" xfId="1729"/>
    <cellStyle name="Normal 3 2 3 2 2 2 4" xfId="2261"/>
    <cellStyle name="Normal 3 2 3 2 2 2 5" xfId="2543"/>
    <cellStyle name="Normal 3 2 3 2 2 3" xfId="891"/>
    <cellStyle name="Normal 3 2 3 2 2 3 2" xfId="1400"/>
    <cellStyle name="Normal 3 2 3 2 2 3 2 2" xfId="1907"/>
    <cellStyle name="Normal 3 2 3 2 2 3 3" xfId="1654"/>
    <cellStyle name="Normal 3 2 3 2 2 3 4" xfId="2186"/>
    <cellStyle name="Normal 3 2 3 2 2 3 5" xfId="2468"/>
    <cellStyle name="Normal 3 2 3 2 2 4" xfId="1315"/>
    <cellStyle name="Normal 3 2 3 2 2 4 2" xfId="1820"/>
    <cellStyle name="Normal 3 2 3 2 2 5" xfId="1567"/>
    <cellStyle name="Normal 3 2 3 2 2 6" xfId="2099"/>
    <cellStyle name="Normal 3 2 3 2 2 7" xfId="2381"/>
    <cellStyle name="Normal 3 2 3 2 3" xfId="847"/>
    <cellStyle name="Normal 3 2 3 2 3 2" xfId="1384"/>
    <cellStyle name="Normal 3 2 3 2 3 2 2" xfId="1889"/>
    <cellStyle name="Normal 3 2 3 2 3 3" xfId="1636"/>
    <cellStyle name="Normal 3 2 3 2 3 4" xfId="2168"/>
    <cellStyle name="Normal 3 2 3 2 3 5" xfId="2450"/>
    <cellStyle name="Normal 3 2 3 2 4" xfId="959"/>
    <cellStyle name="Normal 3 2 3 2 4 2" xfId="1468"/>
    <cellStyle name="Normal 3 2 3 2 4 2 2" xfId="1975"/>
    <cellStyle name="Normal 3 2 3 2 4 3" xfId="1722"/>
    <cellStyle name="Normal 3 2 3 2 4 4" xfId="2254"/>
    <cellStyle name="Normal 3 2 3 2 4 5" xfId="2536"/>
    <cellStyle name="Normal 3 2 3 2 5" xfId="649"/>
    <cellStyle name="Normal 3 2 3 2 5 2" xfId="1308"/>
    <cellStyle name="Normal 3 2 3 2 5 2 2" xfId="1813"/>
    <cellStyle name="Normal 3 2 3 2 5 3" xfId="1560"/>
    <cellStyle name="Normal 3 2 3 2 5 4" xfId="2089"/>
    <cellStyle name="Normal 3 2 3 2 5 5" xfId="2373"/>
    <cellStyle name="Normal 3 2 3 2 6" xfId="1101"/>
    <cellStyle name="Normal 3 2 3 3" xfId="436"/>
    <cellStyle name="Normal 3 2 3 3 2" xfId="753"/>
    <cellStyle name="Normal 3 2 3 3 2 2" xfId="982"/>
    <cellStyle name="Normal 3 2 3 3 2 2 2" xfId="1491"/>
    <cellStyle name="Normal 3 2 3 3 2 2 2 2" xfId="1998"/>
    <cellStyle name="Normal 3 2 3 3 2 2 3" xfId="1745"/>
    <cellStyle name="Normal 3 2 3 3 2 2 4" xfId="2277"/>
    <cellStyle name="Normal 3 2 3 3 2 2 5" xfId="2559"/>
    <cellStyle name="Normal 3 2 3 3 2 3" xfId="907"/>
    <cellStyle name="Normal 3 2 3 3 2 3 2" xfId="1416"/>
    <cellStyle name="Normal 3 2 3 3 2 3 2 2" xfId="1923"/>
    <cellStyle name="Normal 3 2 3 3 2 3 3" xfId="1670"/>
    <cellStyle name="Normal 3 2 3 3 2 3 4" xfId="2202"/>
    <cellStyle name="Normal 3 2 3 3 2 3 5" xfId="2484"/>
    <cellStyle name="Normal 3 2 3 3 2 4" xfId="1331"/>
    <cellStyle name="Normal 3 2 3 3 2 4 2" xfId="1836"/>
    <cellStyle name="Normal 3 2 3 3 2 5" xfId="1583"/>
    <cellStyle name="Normal 3 2 3 3 2 6" xfId="2115"/>
    <cellStyle name="Normal 3 2 3 3 2 7" xfId="2397"/>
    <cellStyle name="Normal 3 2 3 3 3" xfId="832"/>
    <cellStyle name="Normal 3 2 3 3 3 2" xfId="1370"/>
    <cellStyle name="Normal 3 2 3 3 3 2 2" xfId="1875"/>
    <cellStyle name="Normal 3 2 3 3 3 3" xfId="1622"/>
    <cellStyle name="Normal 3 2 3 3 3 4" xfId="2154"/>
    <cellStyle name="Normal 3 2 3 3 3 5" xfId="2436"/>
    <cellStyle name="Normal 3 2 3 3 4" xfId="945"/>
    <cellStyle name="Normal 3 2 3 3 4 2" xfId="1454"/>
    <cellStyle name="Normal 3 2 3 3 4 2 2" xfId="1961"/>
    <cellStyle name="Normal 3 2 3 3 4 3" xfId="1708"/>
    <cellStyle name="Normal 3 2 3 3 4 4" xfId="2240"/>
    <cellStyle name="Normal 3 2 3 3 4 5" xfId="2522"/>
    <cellStyle name="Normal 3 2 3 3 5" xfId="618"/>
    <cellStyle name="Normal 3 2 3 3 5 2" xfId="1294"/>
    <cellStyle name="Normal 3 2 3 3 5 2 2" xfId="1799"/>
    <cellStyle name="Normal 3 2 3 3 5 3" xfId="1546"/>
    <cellStyle name="Normal 3 2 3 3 5 4" xfId="2075"/>
    <cellStyle name="Normal 3 2 3 3 5 5" xfId="2359"/>
    <cellStyle name="Normal 3 2 3 4" xfId="698"/>
    <cellStyle name="Normal 3 2 3 5" xfId="741"/>
    <cellStyle name="Normal 3 2 3 5 2" xfId="970"/>
    <cellStyle name="Normal 3 2 3 5 2 2" xfId="1479"/>
    <cellStyle name="Normal 3 2 3 5 2 2 2" xfId="1986"/>
    <cellStyle name="Normal 3 2 3 5 2 3" xfId="1733"/>
    <cellStyle name="Normal 3 2 3 5 2 4" xfId="2265"/>
    <cellStyle name="Normal 3 2 3 5 2 5" xfId="2547"/>
    <cellStyle name="Normal 3 2 3 5 3" xfId="895"/>
    <cellStyle name="Normal 3 2 3 5 3 2" xfId="1404"/>
    <cellStyle name="Normal 3 2 3 5 3 2 2" xfId="1911"/>
    <cellStyle name="Normal 3 2 3 5 3 3" xfId="1658"/>
    <cellStyle name="Normal 3 2 3 5 3 4" xfId="2190"/>
    <cellStyle name="Normal 3 2 3 5 3 5" xfId="2472"/>
    <cellStyle name="Normal 3 2 3 5 4" xfId="1319"/>
    <cellStyle name="Normal 3 2 3 5 4 2" xfId="1824"/>
    <cellStyle name="Normal 3 2 3 5 5" xfId="1571"/>
    <cellStyle name="Normal 3 2 3 5 6" xfId="2103"/>
    <cellStyle name="Normal 3 2 3 5 7" xfId="2385"/>
    <cellStyle name="Normal 3 2 3 6" xfId="820"/>
    <cellStyle name="Normal 3 2 3 6 2" xfId="1358"/>
    <cellStyle name="Normal 3 2 3 6 2 2" xfId="1863"/>
    <cellStyle name="Normal 3 2 3 6 3" xfId="1610"/>
    <cellStyle name="Normal 3 2 3 6 4" xfId="2142"/>
    <cellStyle name="Normal 3 2 3 6 5" xfId="2424"/>
    <cellStyle name="Normal 3 2 3 7" xfId="933"/>
    <cellStyle name="Normal 3 2 3 7 2" xfId="1442"/>
    <cellStyle name="Normal 3 2 3 7 2 2" xfId="1949"/>
    <cellStyle name="Normal 3 2 3 7 3" xfId="1696"/>
    <cellStyle name="Normal 3 2 3 7 4" xfId="2228"/>
    <cellStyle name="Normal 3 2 3 7 5" xfId="2510"/>
    <cellStyle name="Normal 3 2 3 8" xfId="604"/>
    <cellStyle name="Normal 3 2 3 8 2" xfId="1283"/>
    <cellStyle name="Normal 3 2 3 8 2 2" xfId="1788"/>
    <cellStyle name="Normal 3 2 3 8 3" xfId="1535"/>
    <cellStyle name="Normal 3 2 3 8 4" xfId="2064"/>
    <cellStyle name="Normal 3 2 3 8 5" xfId="2348"/>
    <cellStyle name="Normal 3 2 4" xfId="295"/>
    <cellStyle name="Normal 3 2 4 2" xfId="749"/>
    <cellStyle name="Normal 3 2 4 2 2" xfId="978"/>
    <cellStyle name="Normal 3 2 4 2 2 2" xfId="1487"/>
    <cellStyle name="Normal 3 2 4 2 2 2 2" xfId="1994"/>
    <cellStyle name="Normal 3 2 4 2 2 3" xfId="1741"/>
    <cellStyle name="Normal 3 2 4 2 2 4" xfId="2273"/>
    <cellStyle name="Normal 3 2 4 2 2 5" xfId="2555"/>
    <cellStyle name="Normal 3 2 4 2 3" xfId="903"/>
    <cellStyle name="Normal 3 2 4 2 3 2" xfId="1412"/>
    <cellStyle name="Normal 3 2 4 2 3 2 2" xfId="1919"/>
    <cellStyle name="Normal 3 2 4 2 3 3" xfId="1666"/>
    <cellStyle name="Normal 3 2 4 2 3 4" xfId="2198"/>
    <cellStyle name="Normal 3 2 4 2 3 5" xfId="2480"/>
    <cellStyle name="Normal 3 2 4 2 4" xfId="1327"/>
    <cellStyle name="Normal 3 2 4 2 4 2" xfId="1832"/>
    <cellStyle name="Normal 3 2 4 2 5" xfId="1579"/>
    <cellStyle name="Normal 3 2 4 2 6" xfId="2111"/>
    <cellStyle name="Normal 3 2 4 2 7" xfId="2393"/>
    <cellStyle name="Normal 3 2 4 3" xfId="826"/>
    <cellStyle name="Normal 3 2 4 3 2" xfId="1364"/>
    <cellStyle name="Normal 3 2 4 3 2 2" xfId="1869"/>
    <cellStyle name="Normal 3 2 4 3 3" xfId="1616"/>
    <cellStyle name="Normal 3 2 4 3 4" xfId="2148"/>
    <cellStyle name="Normal 3 2 4 3 5" xfId="2430"/>
    <cellStyle name="Normal 3 2 4 4" xfId="939"/>
    <cellStyle name="Normal 3 2 4 4 2" xfId="1448"/>
    <cellStyle name="Normal 3 2 4 4 2 2" xfId="1955"/>
    <cellStyle name="Normal 3 2 4 4 3" xfId="1702"/>
    <cellStyle name="Normal 3 2 4 4 4" xfId="2234"/>
    <cellStyle name="Normal 3 2 4 4 5" xfId="2516"/>
    <cellStyle name="Normal 3 2 4 5" xfId="612"/>
    <cellStyle name="Normal 3 2 4 5 2" xfId="1288"/>
    <cellStyle name="Normal 3 2 4 5 2 2" xfId="1793"/>
    <cellStyle name="Normal 3 2 4 5 3" xfId="1540"/>
    <cellStyle name="Normal 3 2 4 5 4" xfId="2069"/>
    <cellStyle name="Normal 3 2 4 5 5" xfId="2353"/>
    <cellStyle name="Normal 3 2 5" xfId="337"/>
    <cellStyle name="Normal 3 2 5 2" xfId="696"/>
    <cellStyle name="Normal 3 2 6" xfId="434"/>
    <cellStyle name="Normal 3 2 6 2" xfId="988"/>
    <cellStyle name="Normal 3 2 6 2 2" xfId="1497"/>
    <cellStyle name="Normal 3 2 6 2 2 2" xfId="2004"/>
    <cellStyle name="Normal 3 2 6 2 3" xfId="1751"/>
    <cellStyle name="Normal 3 2 6 2 4" xfId="2283"/>
    <cellStyle name="Normal 3 2 6 2 5" xfId="2565"/>
    <cellStyle name="Normal 3 2 6 3" xfId="913"/>
    <cellStyle name="Normal 3 2 6 3 2" xfId="1422"/>
    <cellStyle name="Normal 3 2 6 3 2 2" xfId="1929"/>
    <cellStyle name="Normal 3 2 6 3 3" xfId="1676"/>
    <cellStyle name="Normal 3 2 6 3 4" xfId="2208"/>
    <cellStyle name="Normal 3 2 6 3 5" xfId="2490"/>
    <cellStyle name="Normal 3 2 6 4" xfId="759"/>
    <cellStyle name="Normal 3 2 6 4 2" xfId="1337"/>
    <cellStyle name="Normal 3 2 6 4 2 2" xfId="1842"/>
    <cellStyle name="Normal 3 2 6 4 3" xfId="1589"/>
    <cellStyle name="Normal 3 2 6 4 4" xfId="2121"/>
    <cellStyle name="Normal 3 2 6 4 5" xfId="2403"/>
    <cellStyle name="Normal 3 2 7" xfId="813"/>
    <cellStyle name="Normal 3 2 7 2" xfId="1351"/>
    <cellStyle name="Normal 3 2 7 2 2" xfId="1856"/>
    <cellStyle name="Normal 3 2 7 3" xfId="1603"/>
    <cellStyle name="Normal 3 2 7 4" xfId="2135"/>
    <cellStyle name="Normal 3 2 7 5" xfId="2417"/>
    <cellStyle name="Normal 3 2 8" xfId="927"/>
    <cellStyle name="Normal 3 2 8 2" xfId="1436"/>
    <cellStyle name="Normal 3 2 8 2 2" xfId="1943"/>
    <cellStyle name="Normal 3 2 8 3" xfId="1690"/>
    <cellStyle name="Normal 3 2 8 4" xfId="2222"/>
    <cellStyle name="Normal 3 2 8 5" xfId="2504"/>
    <cellStyle name="Normal 3 2 9" xfId="575"/>
    <cellStyle name="Normal 3 2 9 2" xfId="1277"/>
    <cellStyle name="Normal 3 2 9 2 2" xfId="1783"/>
    <cellStyle name="Normal 3 2 9 3" xfId="1530"/>
    <cellStyle name="Normal 3 2 9 4" xfId="2056"/>
    <cellStyle name="Normal 3 2 9 5" xfId="2342"/>
    <cellStyle name="Normal 3 3" xfId="93"/>
    <cellStyle name="Normal 3 3 2" xfId="227"/>
    <cellStyle name="Normal 3 3 2 2" xfId="699"/>
    <cellStyle name="Normal 3 3 3" xfId="340"/>
    <cellStyle name="Normal 3 3 3 2" xfId="1100"/>
    <cellStyle name="Normal 3 3 4" xfId="437"/>
    <cellStyle name="Normal 3 3 5" xfId="573"/>
    <cellStyle name="Normal 3 4" xfId="94"/>
    <cellStyle name="Normal 3 4 2" xfId="341"/>
    <cellStyle name="Normal 3 4 2 2" xfId="700"/>
    <cellStyle name="Normal 3 4 3" xfId="438"/>
    <cellStyle name="Normal 3 4 4" xfId="667"/>
    <cellStyle name="Normal 3 5" xfId="95"/>
    <cellStyle name="Normal 3 5 2" xfId="701"/>
    <cellStyle name="Normal 3 5 3" xfId="672"/>
    <cellStyle name="Normal 3 6" xfId="336"/>
    <cellStyle name="Normal 3 6 2" xfId="695"/>
    <cellStyle name="Normal 3 7" xfId="433"/>
    <cellStyle name="Normal 3 8" xfId="566"/>
    <cellStyle name="Normal 3_Ocotillo" xfId="96"/>
    <cellStyle name="Normal 30" xfId="1006"/>
    <cellStyle name="Normal 31" xfId="1008"/>
    <cellStyle name="Normal 32" xfId="1010"/>
    <cellStyle name="Normal 33" xfId="1012"/>
    <cellStyle name="Normal 34" xfId="1014"/>
    <cellStyle name="Normal 35" xfId="1016"/>
    <cellStyle name="Normal 36" xfId="1018"/>
    <cellStyle name="Normal 37" xfId="1020"/>
    <cellStyle name="Normal 38" xfId="1023"/>
    <cellStyle name="Normal 39" xfId="1024"/>
    <cellStyle name="Normal 4" xfId="97"/>
    <cellStyle name="Normal 4 10" xfId="512"/>
    <cellStyle name="Normal 4 2" xfId="98"/>
    <cellStyle name="Normal 4 2 2" xfId="273"/>
    <cellStyle name="Normal 4 2 2 2" xfId="703"/>
    <cellStyle name="Normal 4 2 3" xfId="586"/>
    <cellStyle name="Normal 4 3" xfId="99"/>
    <cellStyle name="Normal 4 3 2" xfId="6"/>
    <cellStyle name="Normal 4 3 2 2" xfId="316"/>
    <cellStyle name="Normal 4 3 2 2 2" xfId="1126"/>
    <cellStyle name="Normal 4 3 2 3" xfId="413"/>
    <cellStyle name="Normal 4 3 3" xfId="269"/>
    <cellStyle name="Normal 4 3 3 2" xfId="704"/>
    <cellStyle name="Normal 4 3 4" xfId="342"/>
    <cellStyle name="Normal 4 3 4 2" xfId="1110"/>
    <cellStyle name="Normal 4 3 5" xfId="439"/>
    <cellStyle name="Normal 4 3 6" xfId="587"/>
    <cellStyle name="Normal 4 4" xfId="8"/>
    <cellStyle name="Normal 4 4 2" xfId="100"/>
    <cellStyle name="Normal 4 4 2 2" xfId="343"/>
    <cellStyle name="Normal 4 4 2 2 2" xfId="1099"/>
    <cellStyle name="Normal 4 4 2 3" xfId="440"/>
    <cellStyle name="Normal 4 4 3" xfId="318"/>
    <cellStyle name="Normal 4 4 3 2" xfId="677"/>
    <cellStyle name="Normal 4 4 4" xfId="415"/>
    <cellStyle name="Normal 4 4 5" xfId="588"/>
    <cellStyle name="Normal 4 5" xfId="101"/>
    <cellStyle name="Normal 4 5 2" xfId="344"/>
    <cellStyle name="Normal 4 5 2 2" xfId="705"/>
    <cellStyle name="Normal 4 5 3" xfId="441"/>
    <cellStyle name="Normal 4 5 4" xfId="589"/>
    <cellStyle name="Normal 4 6" xfId="7"/>
    <cellStyle name="Normal 4 6 2" xfId="317"/>
    <cellStyle name="Normal 4 6 2 2" xfId="676"/>
    <cellStyle name="Normal 4 6 3" xfId="414"/>
    <cellStyle name="Normal 4 6 4" xfId="590"/>
    <cellStyle name="Normal 4 7" xfId="10"/>
    <cellStyle name="Normal 4 7 2" xfId="320"/>
    <cellStyle name="Normal 4 7 2 2" xfId="1111"/>
    <cellStyle name="Normal 4 7 3" xfId="417"/>
    <cellStyle name="Normal 4 8" xfId="102"/>
    <cellStyle name="Normal 4 8 2" xfId="9"/>
    <cellStyle name="Normal 4 8 2 2" xfId="319"/>
    <cellStyle name="Normal 4 8 2 2 2" xfId="1113"/>
    <cellStyle name="Normal 4 8 2 3" xfId="416"/>
    <cellStyle name="Normal 4 8 3" xfId="345"/>
    <cellStyle name="Normal 4 8 3 2" xfId="1098"/>
    <cellStyle name="Normal 4 8 4" xfId="442"/>
    <cellStyle name="Normal 4 9" xfId="222"/>
    <cellStyle name="Normal 4 9 2" xfId="702"/>
    <cellStyle name="Normal 4 9 3" xfId="1267"/>
    <cellStyle name="Normal 4 9 3 2" xfId="1774"/>
    <cellStyle name="Normal 4 9 4" xfId="1523"/>
    <cellStyle name="Normal 4 9 5" xfId="2036"/>
    <cellStyle name="Normal 4 9 6" xfId="2328"/>
    <cellStyle name="Normal 4_Ocotillo" xfId="103"/>
    <cellStyle name="Normal 40" xfId="1025"/>
    <cellStyle name="Normal 41" xfId="1027"/>
    <cellStyle name="Normal 42" xfId="1029"/>
    <cellStyle name="Normal 43" xfId="1031"/>
    <cellStyle name="Normal 44" xfId="1033"/>
    <cellStyle name="Normal 45" xfId="1035"/>
    <cellStyle name="Normal 46" xfId="1037"/>
    <cellStyle name="Normal 47" xfId="1039"/>
    <cellStyle name="Normal 48" xfId="1041"/>
    <cellStyle name="Normal 49" xfId="1043"/>
    <cellStyle name="Normal 5" xfId="104"/>
    <cellStyle name="Normal 5 2" xfId="105"/>
    <cellStyle name="Normal 5 2 2" xfId="279"/>
    <cellStyle name="Normal 5 2 2 2" xfId="707"/>
    <cellStyle name="Normal 5 2 3" xfId="591"/>
    <cellStyle name="Normal 5 3" xfId="274"/>
    <cellStyle name="Normal 5 4" xfId="668"/>
    <cellStyle name="Normal 5 5" xfId="706"/>
    <cellStyle name="Normal 5_Ocotillo" xfId="106"/>
    <cellStyle name="Normal 50" xfId="1045"/>
    <cellStyle name="Normal 51" xfId="1047"/>
    <cellStyle name="Normal 52" xfId="1049"/>
    <cellStyle name="Normal 53" xfId="1051"/>
    <cellStyle name="Normal 54" xfId="1053"/>
    <cellStyle name="Normal 55" xfId="1055"/>
    <cellStyle name="Normal 56" xfId="1057"/>
    <cellStyle name="Normal 57" xfId="1059"/>
    <cellStyle name="Normal 58" xfId="1061"/>
    <cellStyle name="Normal 59" xfId="1063"/>
    <cellStyle name="Normal 6" xfId="107"/>
    <cellStyle name="Normal 6 10" xfId="108"/>
    <cellStyle name="Normal 6 10 2" xfId="347"/>
    <cellStyle name="Normal 6 10 2 2" xfId="1096"/>
    <cellStyle name="Normal 6 10 3" xfId="444"/>
    <cellStyle name="Normal 6 11" xfId="109"/>
    <cellStyle name="Normal 6 11 2" xfId="348"/>
    <cellStyle name="Normal 6 11 2 2" xfId="1112"/>
    <cellStyle name="Normal 6 11 3" xfId="445"/>
    <cellStyle name="Normal 6 12" xfId="280"/>
    <cellStyle name="Normal 6 12 2" xfId="708"/>
    <cellStyle name="Normal 6 13" xfId="346"/>
    <cellStyle name="Normal 6 13 2" xfId="1097"/>
    <cellStyle name="Normal 6 14" xfId="443"/>
    <cellStyle name="Normal 6 15" xfId="592"/>
    <cellStyle name="Normal 6 2" xfId="110"/>
    <cellStyle name="Normal 6 2 2" xfId="111"/>
    <cellStyle name="Normal 6 2 2 2" xfId="112"/>
    <cellStyle name="Normal 6 2 2 2 2" xfId="351"/>
    <cellStyle name="Normal 6 2 2 2 2 2" xfId="1144"/>
    <cellStyle name="Normal 6 2 2 2 3" xfId="448"/>
    <cellStyle name="Normal 6 2 2 3" xfId="113"/>
    <cellStyle name="Normal 6 2 2 3 2" xfId="352"/>
    <cellStyle name="Normal 6 2 2 3 2 2" xfId="1109"/>
    <cellStyle name="Normal 6 2 2 3 3" xfId="449"/>
    <cellStyle name="Normal 6 2 2 4" xfId="299"/>
    <cellStyle name="Normal 6 2 2 5" xfId="350"/>
    <cellStyle name="Normal 6 2 2 5 2" xfId="1130"/>
    <cellStyle name="Normal 6 2 2 6" xfId="447"/>
    <cellStyle name="Normal 6 2 3" xfId="114"/>
    <cellStyle name="Normal 6 2 3 2" xfId="353"/>
    <cellStyle name="Normal 6 2 3 2 2" xfId="1108"/>
    <cellStyle name="Normal 6 2 3 3" xfId="450"/>
    <cellStyle name="Normal 6 2 4" xfId="115"/>
    <cellStyle name="Normal 6 2 4 2" xfId="354"/>
    <cellStyle name="Normal 6 2 4 2 2" xfId="1118"/>
    <cellStyle name="Normal 6 2 4 3" xfId="451"/>
    <cellStyle name="Normal 6 2 5" xfId="283"/>
    <cellStyle name="Normal 6 2 5 2" xfId="709"/>
    <cellStyle name="Normal 6 2 6" xfId="349"/>
    <cellStyle name="Normal 6 2 6 2" xfId="1150"/>
    <cellStyle name="Normal 6 2 7" xfId="446"/>
    <cellStyle name="Normal 6 2 8" xfId="593"/>
    <cellStyle name="Normal 6 2_Ocotillo" xfId="116"/>
    <cellStyle name="Normal 6 3" xfId="117"/>
    <cellStyle name="Normal 6 3 2" xfId="118"/>
    <cellStyle name="Normal 6 3 2 2" xfId="119"/>
    <cellStyle name="Normal 6 3 2 2 2" xfId="357"/>
    <cellStyle name="Normal 6 3 2 2 2 2" xfId="1147"/>
    <cellStyle name="Normal 6 3 2 2 3" xfId="454"/>
    <cellStyle name="Normal 6 3 2 3" xfId="120"/>
    <cellStyle name="Normal 6 3 2 3 2" xfId="358"/>
    <cellStyle name="Normal 6 3 2 3 2 2" xfId="1125"/>
    <cellStyle name="Normal 6 3 2 3 3" xfId="455"/>
    <cellStyle name="Normal 6 3 2 4" xfId="356"/>
    <cellStyle name="Normal 6 3 2 4 2" xfId="1146"/>
    <cellStyle name="Normal 6 3 2 5" xfId="453"/>
    <cellStyle name="Normal 6 3 3" xfId="121"/>
    <cellStyle name="Normal 6 3 3 2" xfId="359"/>
    <cellStyle name="Normal 6 3 3 2 2" xfId="1135"/>
    <cellStyle name="Normal 6 3 3 3" xfId="456"/>
    <cellStyle name="Normal 6 3 4" xfId="122"/>
    <cellStyle name="Normal 6 3 4 2" xfId="360"/>
    <cellStyle name="Normal 6 3 4 2 2" xfId="1132"/>
    <cellStyle name="Normal 6 3 4 3" xfId="457"/>
    <cellStyle name="Normal 6 3 5" xfId="355"/>
    <cellStyle name="Normal 6 3 5 2" xfId="710"/>
    <cellStyle name="Normal 6 3 6" xfId="452"/>
    <cellStyle name="Normal 6 3 7" xfId="594"/>
    <cellStyle name="Normal 6 3_Ocotillo" xfId="123"/>
    <cellStyle name="Normal 6 4" xfId="124"/>
    <cellStyle name="Normal 6 4 2" xfId="125"/>
    <cellStyle name="Normal 6 4 2 2" xfId="126"/>
    <cellStyle name="Normal 6 4 2 2 2" xfId="363"/>
    <cellStyle name="Normal 6 4 2 2 2 2" xfId="1124"/>
    <cellStyle name="Normal 6 4 2 2 3" xfId="460"/>
    <cellStyle name="Normal 6 4 2 3" xfId="127"/>
    <cellStyle name="Normal 6 4 2 3 2" xfId="364"/>
    <cellStyle name="Normal 6 4 2 3 2 2" xfId="1143"/>
    <cellStyle name="Normal 6 4 2 3 3" xfId="461"/>
    <cellStyle name="Normal 6 4 2 4" xfId="362"/>
    <cellStyle name="Normal 6 4 2 4 2" xfId="712"/>
    <cellStyle name="Normal 6 4 2 5" xfId="459"/>
    <cellStyle name="Normal 6 4 2 6" xfId="610"/>
    <cellStyle name="Normal 6 4 3" xfId="128"/>
    <cellStyle name="Normal 6 4 3 2" xfId="365"/>
    <cellStyle name="Normal 6 4 3 2 2" xfId="651"/>
    <cellStyle name="Normal 6 4 3 2 3" xfId="650"/>
    <cellStyle name="Normal 6 4 3 2 4" xfId="1107"/>
    <cellStyle name="Normal 6 4 3 3" xfId="462"/>
    <cellStyle name="Normal 6 4 3 4" xfId="611"/>
    <cellStyle name="Normal 6 4 4" xfId="129"/>
    <cellStyle name="Normal 6 4 4 2" xfId="366"/>
    <cellStyle name="Normal 6 4 4 2 2" xfId="1151"/>
    <cellStyle name="Normal 6 4 4 3" xfId="463"/>
    <cellStyle name="Normal 6 4 5" xfId="361"/>
    <cellStyle name="Normal 6 4 5 2" xfId="711"/>
    <cellStyle name="Normal 6 4 6" xfId="458"/>
    <cellStyle name="Normal 6 4 7" xfId="603"/>
    <cellStyle name="Normal 6 4_Ocotillo" xfId="130"/>
    <cellStyle name="Normal 6 5" xfId="131"/>
    <cellStyle name="Normal 6 5 2" xfId="132"/>
    <cellStyle name="Normal 6 5 2 2" xfId="133"/>
    <cellStyle name="Normal 6 5 2 2 2" xfId="369"/>
    <cellStyle name="Normal 6 5 2 2 2 2" xfId="1152"/>
    <cellStyle name="Normal 6 5 2 2 3" xfId="466"/>
    <cellStyle name="Normal 6 5 2 3" xfId="134"/>
    <cellStyle name="Normal 6 5 2 3 2" xfId="370"/>
    <cellStyle name="Normal 6 5 2 3 2 2" xfId="1121"/>
    <cellStyle name="Normal 6 5 2 3 3" xfId="467"/>
    <cellStyle name="Normal 6 5 2 4" xfId="368"/>
    <cellStyle name="Normal 6 5 2 4 2" xfId="1137"/>
    <cellStyle name="Normal 6 5 2 5" xfId="465"/>
    <cellStyle name="Normal 6 5 3" xfId="135"/>
    <cellStyle name="Normal 6 5 3 2" xfId="136"/>
    <cellStyle name="Normal 6 5 3 2 2" xfId="372"/>
    <cellStyle name="Normal 6 5 3 2 2 2" xfId="1134"/>
    <cellStyle name="Normal 6 5 3 2 3" xfId="469"/>
    <cellStyle name="Normal 6 5 3 3" xfId="137"/>
    <cellStyle name="Normal 6 5 3 3 2" xfId="373"/>
    <cellStyle name="Normal 6 5 3 3 2 2" xfId="1120"/>
    <cellStyle name="Normal 6 5 3 3 3" xfId="470"/>
    <cellStyle name="Normal 6 5 3 4" xfId="371"/>
    <cellStyle name="Normal 6 5 3 4 2" xfId="1133"/>
    <cellStyle name="Normal 6 5 3 5" xfId="468"/>
    <cellStyle name="Normal 6 5 4" xfId="138"/>
    <cellStyle name="Normal 6 5 4 2" xfId="374"/>
    <cellStyle name="Normal 6 5 4 2 2" xfId="1136"/>
    <cellStyle name="Normal 6 5 4 3" xfId="471"/>
    <cellStyle name="Normal 6 5 5" xfId="139"/>
    <cellStyle name="Normal 6 5 5 2" xfId="375"/>
    <cellStyle name="Normal 6 5 5 2 2" xfId="1129"/>
    <cellStyle name="Normal 6 5 5 3" xfId="472"/>
    <cellStyle name="Normal 6 5 6" xfId="367"/>
    <cellStyle name="Normal 6 5 6 2" xfId="713"/>
    <cellStyle name="Normal 6 5 7" xfId="464"/>
    <cellStyle name="Normal 6 5 8" xfId="608"/>
    <cellStyle name="Normal 6 5_Ocotillo" xfId="140"/>
    <cellStyle name="Normal 6 6" xfId="141"/>
    <cellStyle name="Normal 6 6 2" xfId="142"/>
    <cellStyle name="Normal 6 6 2 2" xfId="377"/>
    <cellStyle name="Normal 6 6 2 2 2" xfId="715"/>
    <cellStyle name="Normal 6 6 2 3" xfId="474"/>
    <cellStyle name="Normal 6 6 2 4" xfId="653"/>
    <cellStyle name="Normal 6 6 3" xfId="143"/>
    <cellStyle name="Normal 6 6 3 2" xfId="378"/>
    <cellStyle name="Normal 6 6 3 2 2" xfId="1106"/>
    <cellStyle name="Normal 6 6 3 3" xfId="475"/>
    <cellStyle name="Normal 6 6 4" xfId="376"/>
    <cellStyle name="Normal 6 6 4 2" xfId="714"/>
    <cellStyle name="Normal 6 6 5" xfId="473"/>
    <cellStyle name="Normal 6 6 6" xfId="652"/>
    <cellStyle name="Normal 6 7" xfId="144"/>
    <cellStyle name="Normal 6 7 2" xfId="145"/>
    <cellStyle name="Normal 6 7 2 2" xfId="380"/>
    <cellStyle name="Normal 6 7 2 2 2" xfId="1153"/>
    <cellStyle name="Normal 6 7 2 3" xfId="477"/>
    <cellStyle name="Normal 6 7 3" xfId="146"/>
    <cellStyle name="Normal 6 7 3 2" xfId="381"/>
    <cellStyle name="Normal 6 7 3 2 2" xfId="1116"/>
    <cellStyle name="Normal 6 7 3 3" xfId="478"/>
    <cellStyle name="Normal 6 7 4" xfId="379"/>
    <cellStyle name="Normal 6 7 4 2" xfId="1138"/>
    <cellStyle name="Normal 6 7 5" xfId="476"/>
    <cellStyle name="Normal 6 8" xfId="147"/>
    <cellStyle name="Normal 6 8 2" xfId="148"/>
    <cellStyle name="Normal 6 8 2 2" xfId="383"/>
    <cellStyle name="Normal 6 8 2 2 2" xfId="1139"/>
    <cellStyle name="Normal 6 8 2 3" xfId="480"/>
    <cellStyle name="Normal 6 8 3" xfId="149"/>
    <cellStyle name="Normal 6 8 3 2" xfId="384"/>
    <cellStyle name="Normal 6 8 3 2 2" xfId="1154"/>
    <cellStyle name="Normal 6 8 3 3" xfId="481"/>
    <cellStyle name="Normal 6 8 4" xfId="382"/>
    <cellStyle name="Normal 6 8 4 2" xfId="1149"/>
    <cellStyle name="Normal 6 8 5" xfId="479"/>
    <cellStyle name="Normal 6 9" xfId="150"/>
    <cellStyle name="Normal 6 9 2" xfId="151"/>
    <cellStyle name="Normal 6 9 2 2" xfId="386"/>
    <cellStyle name="Normal 6 9 2 2 2" xfId="1141"/>
    <cellStyle name="Normal 6 9 2 3" xfId="483"/>
    <cellStyle name="Normal 6 9 3" xfId="152"/>
    <cellStyle name="Normal 6 9 3 2" xfId="387"/>
    <cellStyle name="Normal 6 9 3 2 2" xfId="1140"/>
    <cellStyle name="Normal 6 9 3 3" xfId="484"/>
    <cellStyle name="Normal 6 9 4" xfId="153"/>
    <cellStyle name="Normal 6 9 4 2" xfId="388"/>
    <cellStyle name="Normal 6 9 4 2 2" xfId="1155"/>
    <cellStyle name="Normal 6 9 4 3" xfId="485"/>
    <cellStyle name="Normal 6 9 5" xfId="385"/>
    <cellStyle name="Normal 6 9 5 2" xfId="1128"/>
    <cellStyle name="Normal 6 9 6" xfId="482"/>
    <cellStyle name="Normal 6_Ocotillo" xfId="154"/>
    <cellStyle name="Normal 60" xfId="1066"/>
    <cellStyle name="Normal 61" xfId="1068"/>
    <cellStyle name="Normal 62" xfId="1070"/>
    <cellStyle name="Normal 63" xfId="1072"/>
    <cellStyle name="Normal 64" xfId="1074"/>
    <cellStyle name="Normal 65" xfId="1076"/>
    <cellStyle name="Normal 66" xfId="1078"/>
    <cellStyle name="Normal 67" xfId="1080"/>
    <cellStyle name="Normal 68" xfId="1082"/>
    <cellStyle name="Normal 69" xfId="1084"/>
    <cellStyle name="Normal 7" xfId="155"/>
    <cellStyle name="Normal 7 2" xfId="156"/>
    <cellStyle name="Normal 7 2 2" xfId="301"/>
    <cellStyle name="Normal 7 2 2 2" xfId="717"/>
    <cellStyle name="Normal 7 2 3" xfId="596"/>
    <cellStyle name="Normal 7 3" xfId="291"/>
    <cellStyle name="Normal 7 3 2" xfId="716"/>
    <cellStyle name="Normal 7 4" xfId="285"/>
    <cellStyle name="Normal 7 5" xfId="595"/>
    <cellStyle name="Normal 7_Ocotillo" xfId="157"/>
    <cellStyle name="Normal 70" xfId="1086"/>
    <cellStyle name="Normal 71" xfId="1088"/>
    <cellStyle name="Normal 72" xfId="1091"/>
    <cellStyle name="Normal 73" xfId="1092"/>
    <cellStyle name="Normal 74" xfId="1094"/>
    <cellStyle name="Normal 75" xfId="1213"/>
    <cellStyle name="Normal 75 2" xfId="1250"/>
    <cellStyle name="Normal 75 3" xfId="1261"/>
    <cellStyle name="Normal 75 3 2" xfId="1771"/>
    <cellStyle name="Normal 75 4" xfId="1520"/>
    <cellStyle name="Normal 75 5" xfId="2592"/>
    <cellStyle name="Normal 76" xfId="1215"/>
    <cellStyle name="Normal 76 2" xfId="1251"/>
    <cellStyle name="Normal 76 3" xfId="2594"/>
    <cellStyle name="Normal 76 4" xfId="1233"/>
    <cellStyle name="Normal 77" xfId="1210"/>
    <cellStyle name="Normal 77 2" xfId="1252"/>
    <cellStyle name="Normal 77 3" xfId="2589"/>
    <cellStyle name="Normal 77 4" xfId="1237"/>
    <cellStyle name="Normal 78" xfId="1219"/>
    <cellStyle name="Normal 78 2" xfId="1253"/>
    <cellStyle name="Normal 78 3" xfId="2598"/>
    <cellStyle name="Normal 78 4" xfId="1241"/>
    <cellStyle name="Normal 79" xfId="1242"/>
    <cellStyle name="Normal 79 2" xfId="1254"/>
    <cellStyle name="Normal 8" xfId="158"/>
    <cellStyle name="Normal 8 2" xfId="159"/>
    <cellStyle name="Normal 8 2 2" xfId="719"/>
    <cellStyle name="Normal 8 2 3" xfId="597"/>
    <cellStyle name="Normal 8 3" xfId="160"/>
    <cellStyle name="Normal 8 3 2" xfId="161"/>
    <cellStyle name="Normal 8 3 3" xfId="162"/>
    <cellStyle name="Normal 8 4" xfId="224"/>
    <cellStyle name="Normal 8 4 2" xfId="718"/>
    <cellStyle name="Normal 8_Ocotillo" xfId="163"/>
    <cellStyle name="Normal 80" xfId="1239"/>
    <cellStyle name="Normal 80 2" xfId="1255"/>
    <cellStyle name="Normal 81" xfId="1245"/>
    <cellStyle name="Normal 81 2" xfId="1256"/>
    <cellStyle name="Normal 82" xfId="1243"/>
    <cellStyle name="Normal 82 2" xfId="1281"/>
    <cellStyle name="Normal 83" xfId="1246"/>
    <cellStyle name="Normal 83 2" xfId="1510"/>
    <cellStyle name="Normal 83 2 2" xfId="2016"/>
    <cellStyle name="Normal 83 3" xfId="1763"/>
    <cellStyle name="Normal 84" xfId="1248"/>
    <cellStyle name="Normal 84 2" xfId="1512"/>
    <cellStyle name="Normal 84 2 2" xfId="2018"/>
    <cellStyle name="Normal 84 3" xfId="1765"/>
    <cellStyle name="Normal 85" xfId="1257"/>
    <cellStyle name="Normal 85 2" xfId="1514"/>
    <cellStyle name="Normal 85 2 2" xfId="2020"/>
    <cellStyle name="Normal 85 3" xfId="1767"/>
    <cellStyle name="Normal 86" xfId="1258"/>
    <cellStyle name="Normal 86 2" xfId="1515"/>
    <cellStyle name="Normal 86 2 2" xfId="2021"/>
    <cellStyle name="Normal 86 3" xfId="1768"/>
    <cellStyle name="Normal 87" xfId="2024"/>
    <cellStyle name="Normal 88" xfId="2035"/>
    <cellStyle name="Normal 89" xfId="2061"/>
    <cellStyle name="Normal 9" xfId="164"/>
    <cellStyle name="Normal 9 2" xfId="305"/>
    <cellStyle name="Normal 9 2 2" xfId="882"/>
    <cellStyle name="Normal 9 2 3" xfId="598"/>
    <cellStyle name="Normal 9 2 4" xfId="1181"/>
    <cellStyle name="Normal 9 2 5" xfId="1202"/>
    <cellStyle name="Normal 9 3" xfId="530"/>
    <cellStyle name="Normal 9 3 2" xfId="654"/>
    <cellStyle name="Normal 9 3 3" xfId="883"/>
    <cellStyle name="Normal 9 3 4" xfId="1187"/>
    <cellStyle name="Normal 9 3 5" xfId="1208"/>
    <cellStyle name="Normal 9 4" xfId="655"/>
    <cellStyle name="Normal 9 5" xfId="720"/>
    <cellStyle name="Normal 90" xfId="2047"/>
    <cellStyle name="Normal 91" xfId="2048"/>
    <cellStyle name="Normal 92" xfId="2311"/>
    <cellStyle name="Normal 93" xfId="2039"/>
    <cellStyle name="Normal 94" xfId="2028"/>
    <cellStyle name="Normal 95" xfId="2316"/>
    <cellStyle name="Normal 96" xfId="2033"/>
    <cellStyle name="Normal 97" xfId="2040"/>
    <cellStyle name="Normal 98" xfId="2060"/>
    <cellStyle name="Normal 99" xfId="2095"/>
    <cellStyle name="Normal_FPL 155724 - Dismtl3_FEB_09GI_Revised_X 2" xfId="534"/>
    <cellStyle name="Normal+border" xfId="165"/>
    <cellStyle name="Normal+border 2" xfId="166"/>
    <cellStyle name="Normal+border 2 2" xfId="167"/>
    <cellStyle name="Normal+border 3" xfId="168"/>
    <cellStyle name="Normal+border 3 2" xfId="169"/>
    <cellStyle name="Normal+shade" xfId="170"/>
    <cellStyle name="Percent" xfId="2" builtinId="5"/>
    <cellStyle name="Percent 10" xfId="1214"/>
    <cellStyle name="Percent 10 2" xfId="1263"/>
    <cellStyle name="Percent 10 2 2" xfId="1773"/>
    <cellStyle name="Percent 10 3" xfId="1522"/>
    <cellStyle name="Percent 10 4" xfId="2593"/>
    <cellStyle name="Percent 11" xfId="1236"/>
    <cellStyle name="Percent 11 2" xfId="1264"/>
    <cellStyle name="Percent 12" xfId="1259"/>
    <cellStyle name="Percent 12 2" xfId="1516"/>
    <cellStyle name="Percent 12 2 2" xfId="2022"/>
    <cellStyle name="Percent 12 3" xfId="1769"/>
    <cellStyle name="Percent 13" xfId="2026"/>
    <cellStyle name="Percent 14" xfId="2319"/>
    <cellStyle name="Percent 2" xfId="171"/>
    <cellStyle name="Percent 2 2" xfId="172"/>
    <cellStyle name="Percent 2 2 2" xfId="531"/>
    <cellStyle name="Percent 2 2 3" xfId="656"/>
    <cellStyle name="Percent 2 3" xfId="173"/>
    <cellStyle name="Percent 2 3 2" xfId="174"/>
    <cellStyle name="Percent 2 3 2 2" xfId="391"/>
    <cellStyle name="Percent 2 3 2 2 2" xfId="1103"/>
    <cellStyle name="Percent 2 3 2 3" xfId="488"/>
    <cellStyle name="Percent 2 3 3" xfId="175"/>
    <cellStyle name="Percent 2 3 3 2" xfId="392"/>
    <cellStyle name="Percent 2 3 3 2 2" xfId="1105"/>
    <cellStyle name="Percent 2 3 3 3" xfId="489"/>
    <cellStyle name="Percent 2 3 4" xfId="390"/>
    <cellStyle name="Percent 2 3 4 2" xfId="722"/>
    <cellStyle name="Percent 2 3 5" xfId="487"/>
    <cellStyle name="Percent 2 3 6" xfId="599"/>
    <cellStyle name="Percent 2 4" xfId="176"/>
    <cellStyle name="Percent 2 4 2" xfId="393"/>
    <cellStyle name="Percent 2 4 2 2" xfId="657"/>
    <cellStyle name="Percent 2 4 2 3" xfId="1102"/>
    <cellStyle name="Percent 2 4 3" xfId="490"/>
    <cellStyle name="Percent 2 4 4" xfId="600"/>
    <cellStyle name="Percent 2 5" xfId="177"/>
    <cellStyle name="Percent 2 5 2" xfId="394"/>
    <cellStyle name="Percent 2 5 2 2" xfId="723"/>
    <cellStyle name="Percent 2 5 3" xfId="491"/>
    <cellStyle name="Percent 2 5 4" xfId="658"/>
    <cellStyle name="Percent 2 6" xfId="389"/>
    <cellStyle name="Percent 2 6 2" xfId="721"/>
    <cellStyle name="Percent 2 7" xfId="486"/>
    <cellStyle name="Percent 3" xfId="178"/>
    <cellStyle name="Percent 3 10" xfId="574"/>
    <cellStyle name="Percent 3 2" xfId="179"/>
    <cellStyle name="Percent 3 2 2" xfId="180"/>
    <cellStyle name="Percent 3 2 2 2" xfId="181"/>
    <cellStyle name="Percent 3 2 2 2 2" xfId="398"/>
    <cellStyle name="Percent 3 2 2 2 2 2" xfId="727"/>
    <cellStyle name="Percent 3 2 2 2 3" xfId="495"/>
    <cellStyle name="Percent 3 2 2 2 3 2" xfId="964"/>
    <cellStyle name="Percent 3 2 2 2 3 2 2" xfId="1473"/>
    <cellStyle name="Percent 3 2 2 2 3 2 2 2" xfId="1980"/>
    <cellStyle name="Percent 3 2 2 2 3 2 3" xfId="1727"/>
    <cellStyle name="Percent 3 2 2 2 3 2 4" xfId="2259"/>
    <cellStyle name="Percent 3 2 2 2 3 2 5" xfId="2541"/>
    <cellStyle name="Percent 3 2 2 2 3 3" xfId="889"/>
    <cellStyle name="Percent 3 2 2 2 3 3 2" xfId="1398"/>
    <cellStyle name="Percent 3 2 2 2 3 3 2 2" xfId="1905"/>
    <cellStyle name="Percent 3 2 2 2 3 3 3" xfId="1652"/>
    <cellStyle name="Percent 3 2 2 2 3 3 4" xfId="2184"/>
    <cellStyle name="Percent 3 2 2 2 3 3 5" xfId="2466"/>
    <cellStyle name="Percent 3 2 2 2 3 4" xfId="735"/>
    <cellStyle name="Percent 3 2 2 2 3 4 2" xfId="1313"/>
    <cellStyle name="Percent 3 2 2 2 3 4 2 2" xfId="1818"/>
    <cellStyle name="Percent 3 2 2 2 3 4 3" xfId="1565"/>
    <cellStyle name="Percent 3 2 2 2 3 4 4" xfId="2097"/>
    <cellStyle name="Percent 3 2 2 2 3 4 5" xfId="2379"/>
    <cellStyle name="Percent 3 2 2 2 4" xfId="850"/>
    <cellStyle name="Percent 3 2 2 2 4 2" xfId="1387"/>
    <cellStyle name="Percent 3 2 2 2 4 2 2" xfId="1892"/>
    <cellStyle name="Percent 3 2 2 2 4 3" xfId="1639"/>
    <cellStyle name="Percent 3 2 2 2 4 4" xfId="2171"/>
    <cellStyle name="Percent 3 2 2 2 4 5" xfId="2453"/>
    <cellStyle name="Percent 3 2 2 2 5" xfId="961"/>
    <cellStyle name="Percent 3 2 2 2 5 2" xfId="1470"/>
    <cellStyle name="Percent 3 2 2 2 5 2 2" xfId="1977"/>
    <cellStyle name="Percent 3 2 2 2 5 3" xfId="1724"/>
    <cellStyle name="Percent 3 2 2 2 5 4" xfId="2256"/>
    <cellStyle name="Percent 3 2 2 2 5 5" xfId="2538"/>
    <cellStyle name="Percent 3 2 2 2 6" xfId="660"/>
    <cellStyle name="Percent 3 2 2 2 6 2" xfId="1310"/>
    <cellStyle name="Percent 3 2 2 2 6 2 2" xfId="1815"/>
    <cellStyle name="Percent 3 2 2 2 6 3" xfId="1562"/>
    <cellStyle name="Percent 3 2 2 2 6 4" xfId="2092"/>
    <cellStyle name="Percent 3 2 2 2 6 5" xfId="2376"/>
    <cellStyle name="Percent 3 2 2 3" xfId="182"/>
    <cellStyle name="Percent 3 2 2 3 2" xfId="399"/>
    <cellStyle name="Percent 3 2 2 3 2 2" xfId="728"/>
    <cellStyle name="Percent 3 2 2 3 3" xfId="496"/>
    <cellStyle name="Percent 3 2 2 3 3 2" xfId="994"/>
    <cellStyle name="Percent 3 2 2 3 3 2 2" xfId="1503"/>
    <cellStyle name="Percent 3 2 2 3 3 2 2 2" xfId="2010"/>
    <cellStyle name="Percent 3 2 2 3 3 2 3" xfId="1757"/>
    <cellStyle name="Percent 3 2 2 3 3 2 4" xfId="2289"/>
    <cellStyle name="Percent 3 2 2 3 3 2 5" xfId="2571"/>
    <cellStyle name="Percent 3 2 2 3 3 3" xfId="919"/>
    <cellStyle name="Percent 3 2 2 3 3 3 2" xfId="1428"/>
    <cellStyle name="Percent 3 2 2 3 3 3 2 2" xfId="1935"/>
    <cellStyle name="Percent 3 2 2 3 3 3 3" xfId="1682"/>
    <cellStyle name="Percent 3 2 2 3 3 3 4" xfId="2214"/>
    <cellStyle name="Percent 3 2 2 3 3 3 5" xfId="2496"/>
    <cellStyle name="Percent 3 2 2 3 3 4" xfId="765"/>
    <cellStyle name="Percent 3 2 2 3 3 4 2" xfId="1343"/>
    <cellStyle name="Percent 3 2 2 3 3 4 2 2" xfId="1848"/>
    <cellStyle name="Percent 3 2 2 3 3 4 3" xfId="1595"/>
    <cellStyle name="Percent 3 2 2 3 3 4 4" xfId="2127"/>
    <cellStyle name="Percent 3 2 2 3 3 4 5" xfId="2409"/>
    <cellStyle name="Percent 3 2 2 3 4" xfId="837"/>
    <cellStyle name="Percent 3 2 2 3 4 2" xfId="1375"/>
    <cellStyle name="Percent 3 2 2 3 4 2 2" xfId="1880"/>
    <cellStyle name="Percent 3 2 2 3 4 3" xfId="1627"/>
    <cellStyle name="Percent 3 2 2 3 4 4" xfId="2159"/>
    <cellStyle name="Percent 3 2 2 3 4 5" xfId="2441"/>
    <cellStyle name="Percent 3 2 2 3 5" xfId="950"/>
    <cellStyle name="Percent 3 2 2 3 5 2" xfId="1459"/>
    <cellStyle name="Percent 3 2 2 3 5 2 2" xfId="1966"/>
    <cellStyle name="Percent 3 2 2 3 5 3" xfId="1713"/>
    <cellStyle name="Percent 3 2 2 3 5 4" xfId="2245"/>
    <cellStyle name="Percent 3 2 2 3 5 5" xfId="2527"/>
    <cellStyle name="Percent 3 2 2 3 6" xfId="623"/>
    <cellStyle name="Percent 3 2 2 3 6 2" xfId="1299"/>
    <cellStyle name="Percent 3 2 2 3 6 2 2" xfId="1804"/>
    <cellStyle name="Percent 3 2 2 3 6 3" xfId="1551"/>
    <cellStyle name="Percent 3 2 2 3 6 4" xfId="2080"/>
    <cellStyle name="Percent 3 2 2 3 6 5" xfId="2364"/>
    <cellStyle name="Percent 3 2 2 4" xfId="397"/>
    <cellStyle name="Percent 3 2 2 4 2" xfId="726"/>
    <cellStyle name="Percent 3 2 2 5" xfId="494"/>
    <cellStyle name="Percent 3 2 2 5 2" xfId="980"/>
    <cellStyle name="Percent 3 2 2 5 2 2" xfId="1489"/>
    <cellStyle name="Percent 3 2 2 5 2 2 2" xfId="1996"/>
    <cellStyle name="Percent 3 2 2 5 2 3" xfId="1743"/>
    <cellStyle name="Percent 3 2 2 5 2 4" xfId="2275"/>
    <cellStyle name="Percent 3 2 2 5 2 5" xfId="2557"/>
    <cellStyle name="Percent 3 2 2 5 3" xfId="905"/>
    <cellStyle name="Percent 3 2 2 5 3 2" xfId="1414"/>
    <cellStyle name="Percent 3 2 2 5 3 2 2" xfId="1921"/>
    <cellStyle name="Percent 3 2 2 5 3 3" xfId="1668"/>
    <cellStyle name="Percent 3 2 2 5 3 4" xfId="2200"/>
    <cellStyle name="Percent 3 2 2 5 3 5" xfId="2482"/>
    <cellStyle name="Percent 3 2 2 5 4" xfId="751"/>
    <cellStyle name="Percent 3 2 2 5 4 2" xfId="1329"/>
    <cellStyle name="Percent 3 2 2 5 4 2 2" xfId="1834"/>
    <cellStyle name="Percent 3 2 2 5 4 3" xfId="1581"/>
    <cellStyle name="Percent 3 2 2 5 4 4" xfId="2113"/>
    <cellStyle name="Percent 3 2 2 5 4 5" xfId="2395"/>
    <cellStyle name="Percent 3 2 2 6" xfId="825"/>
    <cellStyle name="Percent 3 2 2 6 2" xfId="1363"/>
    <cellStyle name="Percent 3 2 2 6 2 2" xfId="1868"/>
    <cellStyle name="Percent 3 2 2 6 3" xfId="1615"/>
    <cellStyle name="Percent 3 2 2 6 4" xfId="2147"/>
    <cellStyle name="Percent 3 2 2 6 5" xfId="2429"/>
    <cellStyle name="Percent 3 2 2 7" xfId="938"/>
    <cellStyle name="Percent 3 2 2 7 2" xfId="1447"/>
    <cellStyle name="Percent 3 2 2 7 2 2" xfId="1954"/>
    <cellStyle name="Percent 3 2 2 7 3" xfId="1701"/>
    <cellStyle name="Percent 3 2 2 7 4" xfId="2233"/>
    <cellStyle name="Percent 3 2 2 7 5" xfId="2515"/>
    <cellStyle name="Percent 3 2 2 8" xfId="609"/>
    <cellStyle name="Percent 3 2 2 8 2" xfId="1287"/>
    <cellStyle name="Percent 3 2 2 8 2 2" xfId="1792"/>
    <cellStyle name="Percent 3 2 2 8 3" xfId="1539"/>
    <cellStyle name="Percent 3 2 2 8 4" xfId="2068"/>
    <cellStyle name="Percent 3 2 2 8 5" xfId="2352"/>
    <cellStyle name="Percent 3 2 3" xfId="183"/>
    <cellStyle name="Percent 3 2 3 2" xfId="400"/>
    <cellStyle name="Percent 3 2 3 2 2" xfId="729"/>
    <cellStyle name="Percent 3 2 3 3" xfId="497"/>
    <cellStyle name="Percent 3 2 3 3 2" xfId="992"/>
    <cellStyle name="Percent 3 2 3 3 2 2" xfId="1501"/>
    <cellStyle name="Percent 3 2 3 3 2 2 2" xfId="2008"/>
    <cellStyle name="Percent 3 2 3 3 2 3" xfId="1755"/>
    <cellStyle name="Percent 3 2 3 3 2 4" xfId="2287"/>
    <cellStyle name="Percent 3 2 3 3 2 5" xfId="2569"/>
    <cellStyle name="Percent 3 2 3 3 3" xfId="917"/>
    <cellStyle name="Percent 3 2 3 3 3 2" xfId="1426"/>
    <cellStyle name="Percent 3 2 3 3 3 2 2" xfId="1933"/>
    <cellStyle name="Percent 3 2 3 3 3 3" xfId="1680"/>
    <cellStyle name="Percent 3 2 3 3 3 4" xfId="2212"/>
    <cellStyle name="Percent 3 2 3 3 3 5" xfId="2494"/>
    <cellStyle name="Percent 3 2 3 3 4" xfId="763"/>
    <cellStyle name="Percent 3 2 3 3 4 2" xfId="1341"/>
    <cellStyle name="Percent 3 2 3 3 4 2 2" xfId="1846"/>
    <cellStyle name="Percent 3 2 3 3 4 3" xfId="1593"/>
    <cellStyle name="Percent 3 2 3 3 4 4" xfId="2125"/>
    <cellStyle name="Percent 3 2 3 3 4 5" xfId="2407"/>
    <cellStyle name="Percent 3 2 3 4" xfId="849"/>
    <cellStyle name="Percent 3 2 3 4 2" xfId="1386"/>
    <cellStyle name="Percent 3 2 3 4 2 2" xfId="1891"/>
    <cellStyle name="Percent 3 2 3 4 3" xfId="1638"/>
    <cellStyle name="Percent 3 2 3 4 4" xfId="2170"/>
    <cellStyle name="Percent 3 2 3 4 5" xfId="2452"/>
    <cellStyle name="Percent 3 2 3 5" xfId="960"/>
    <cellStyle name="Percent 3 2 3 5 2" xfId="1469"/>
    <cellStyle name="Percent 3 2 3 5 2 2" xfId="1976"/>
    <cellStyle name="Percent 3 2 3 5 3" xfId="1723"/>
    <cellStyle name="Percent 3 2 3 5 4" xfId="2255"/>
    <cellStyle name="Percent 3 2 3 5 5" xfId="2537"/>
    <cellStyle name="Percent 3 2 3 6" xfId="659"/>
    <cellStyle name="Percent 3 2 3 6 2" xfId="1309"/>
    <cellStyle name="Percent 3 2 3 6 2 2" xfId="1814"/>
    <cellStyle name="Percent 3 2 3 6 3" xfId="1561"/>
    <cellStyle name="Percent 3 2 3 6 4" xfId="2091"/>
    <cellStyle name="Percent 3 2 3 6 5" xfId="2375"/>
    <cellStyle name="Percent 3 2 4" xfId="184"/>
    <cellStyle name="Percent 3 2 4 2" xfId="401"/>
    <cellStyle name="Percent 3 2 4 2 2" xfId="730"/>
    <cellStyle name="Percent 3 2 4 3" xfId="498"/>
    <cellStyle name="Percent 3 2 4 3 2" xfId="987"/>
    <cellStyle name="Percent 3 2 4 3 2 2" xfId="1496"/>
    <cellStyle name="Percent 3 2 4 3 2 2 2" xfId="2003"/>
    <cellStyle name="Percent 3 2 4 3 2 3" xfId="1750"/>
    <cellStyle name="Percent 3 2 4 3 2 4" xfId="2282"/>
    <cellStyle name="Percent 3 2 4 3 2 5" xfId="2564"/>
    <cellStyle name="Percent 3 2 4 3 3" xfId="912"/>
    <cellStyle name="Percent 3 2 4 3 3 2" xfId="1421"/>
    <cellStyle name="Percent 3 2 4 3 3 2 2" xfId="1928"/>
    <cellStyle name="Percent 3 2 4 3 3 3" xfId="1675"/>
    <cellStyle name="Percent 3 2 4 3 3 4" xfId="2207"/>
    <cellStyle name="Percent 3 2 4 3 3 5" xfId="2489"/>
    <cellStyle name="Percent 3 2 4 3 4" xfId="758"/>
    <cellStyle name="Percent 3 2 4 3 4 2" xfId="1336"/>
    <cellStyle name="Percent 3 2 4 3 4 2 2" xfId="1841"/>
    <cellStyle name="Percent 3 2 4 3 4 3" xfId="1588"/>
    <cellStyle name="Percent 3 2 4 3 4 4" xfId="2120"/>
    <cellStyle name="Percent 3 2 4 3 4 5" xfId="2402"/>
    <cellStyle name="Percent 3 2 4 4" xfId="831"/>
    <cellStyle name="Percent 3 2 4 4 2" xfId="1369"/>
    <cellStyle name="Percent 3 2 4 4 2 2" xfId="1874"/>
    <cellStyle name="Percent 3 2 4 4 3" xfId="1621"/>
    <cellStyle name="Percent 3 2 4 4 4" xfId="2153"/>
    <cellStyle name="Percent 3 2 4 4 5" xfId="2435"/>
    <cellStyle name="Percent 3 2 4 5" xfId="944"/>
    <cellStyle name="Percent 3 2 4 5 2" xfId="1453"/>
    <cellStyle name="Percent 3 2 4 5 2 2" xfId="1960"/>
    <cellStyle name="Percent 3 2 4 5 3" xfId="1707"/>
    <cellStyle name="Percent 3 2 4 5 4" xfId="2239"/>
    <cellStyle name="Percent 3 2 4 5 5" xfId="2521"/>
    <cellStyle name="Percent 3 2 4 6" xfId="617"/>
    <cellStyle name="Percent 3 2 4 6 2" xfId="1293"/>
    <cellStyle name="Percent 3 2 4 6 2 2" xfId="1798"/>
    <cellStyle name="Percent 3 2 4 6 3" xfId="1545"/>
    <cellStyle name="Percent 3 2 4 6 4" xfId="2074"/>
    <cellStyle name="Percent 3 2 4 6 5" xfId="2358"/>
    <cellStyle name="Percent 3 2 5" xfId="300"/>
    <cellStyle name="Percent 3 2 5 2" xfId="725"/>
    <cellStyle name="Percent 3 2 6" xfId="396"/>
    <cellStyle name="Percent 3 2 6 2" xfId="983"/>
    <cellStyle name="Percent 3 2 6 2 2" xfId="1492"/>
    <cellStyle name="Percent 3 2 6 2 2 2" xfId="1999"/>
    <cellStyle name="Percent 3 2 6 2 3" xfId="1746"/>
    <cellStyle name="Percent 3 2 6 2 4" xfId="2278"/>
    <cellStyle name="Percent 3 2 6 2 5" xfId="2560"/>
    <cellStyle name="Percent 3 2 6 3" xfId="908"/>
    <cellStyle name="Percent 3 2 6 3 2" xfId="1417"/>
    <cellStyle name="Percent 3 2 6 3 2 2" xfId="1924"/>
    <cellStyle name="Percent 3 2 6 3 3" xfId="1671"/>
    <cellStyle name="Percent 3 2 6 3 4" xfId="2203"/>
    <cellStyle name="Percent 3 2 6 3 5" xfId="2485"/>
    <cellStyle name="Percent 3 2 6 4" xfId="754"/>
    <cellStyle name="Percent 3 2 6 4 2" xfId="1332"/>
    <cellStyle name="Percent 3 2 6 4 2 2" xfId="1837"/>
    <cellStyle name="Percent 3 2 6 4 3" xfId="1584"/>
    <cellStyle name="Percent 3 2 6 4 4" xfId="2116"/>
    <cellStyle name="Percent 3 2 6 4 5" xfId="2398"/>
    <cellStyle name="Percent 3 2 6 5" xfId="1148"/>
    <cellStyle name="Percent 3 2 7" xfId="493"/>
    <cellStyle name="Percent 3 2 7 2" xfId="818"/>
    <cellStyle name="Percent 3 2 7 2 2" xfId="1356"/>
    <cellStyle name="Percent 3 2 7 2 2 2" xfId="1861"/>
    <cellStyle name="Percent 3 2 7 2 3" xfId="1608"/>
    <cellStyle name="Percent 3 2 7 2 4" xfId="2140"/>
    <cellStyle name="Percent 3 2 7 2 5" xfId="2422"/>
    <cellStyle name="Percent 3 2 8" xfId="932"/>
    <cellStyle name="Percent 3 2 8 2" xfId="1441"/>
    <cellStyle name="Percent 3 2 8 2 2" xfId="1948"/>
    <cellStyle name="Percent 3 2 8 3" xfId="1695"/>
    <cellStyle name="Percent 3 2 8 4" xfId="2227"/>
    <cellStyle name="Percent 3 2 8 5" xfId="2509"/>
    <cellStyle name="Percent 3 2 9" xfId="601"/>
    <cellStyle name="Percent 3 2 9 2" xfId="1282"/>
    <cellStyle name="Percent 3 2 9 2 2" xfId="1787"/>
    <cellStyle name="Percent 3 2 9 3" xfId="1534"/>
    <cellStyle name="Percent 3 2 9 4" xfId="2062"/>
    <cellStyle name="Percent 3 2 9 5" xfId="2347"/>
    <cellStyle name="Percent 3 3" xfId="185"/>
    <cellStyle name="Percent 3 3 2" xfId="186"/>
    <cellStyle name="Percent 3 3 2 2" xfId="403"/>
    <cellStyle name="Percent 3 3 2 2 2" xfId="1117"/>
    <cellStyle name="Percent 3 3 2 3" xfId="500"/>
    <cellStyle name="Percent 3 3 3" xfId="187"/>
    <cellStyle name="Percent 3 3 3 2" xfId="404"/>
    <cellStyle name="Percent 3 3 3 2 2" xfId="1115"/>
    <cellStyle name="Percent 3 3 3 3" xfId="501"/>
    <cellStyle name="Percent 3 3 4" xfId="402"/>
    <cellStyle name="Percent 3 3 4 2" xfId="731"/>
    <cellStyle name="Percent 3 3 5" xfId="499"/>
    <cellStyle name="Percent 3 3 6" xfId="661"/>
    <cellStyle name="Percent 3 4" xfId="188"/>
    <cellStyle name="Percent 3 4 2" xfId="189"/>
    <cellStyle name="Percent 3 4 2 2" xfId="406"/>
    <cellStyle name="Percent 3 4 2 2 2" xfId="1142"/>
    <cellStyle name="Percent 3 4 2 3" xfId="503"/>
    <cellStyle name="Percent 3 4 3" xfId="190"/>
    <cellStyle name="Percent 3 4 3 2" xfId="407"/>
    <cellStyle name="Percent 3 4 3 2 2" xfId="1119"/>
    <cellStyle name="Percent 3 4 3 3" xfId="504"/>
    <cellStyle name="Percent 3 4 4" xfId="405"/>
    <cellStyle name="Percent 3 4 4 2" xfId="1160"/>
    <cellStyle name="Percent 3 4 5" xfId="502"/>
    <cellStyle name="Percent 3 5" xfId="191"/>
    <cellStyle name="Percent 3 5 2" xfId="408"/>
    <cellStyle name="Percent 3 5 2 2" xfId="1159"/>
    <cellStyle name="Percent 3 5 3" xfId="505"/>
    <cellStyle name="Percent 3 6" xfId="192"/>
    <cellStyle name="Percent 3 6 2" xfId="409"/>
    <cellStyle name="Percent 3 6 2 2" xfId="1166"/>
    <cellStyle name="Percent 3 6 3" xfId="506"/>
    <cellStyle name="Percent 3 7" xfId="284"/>
    <cellStyle name="Percent 3 7 2" xfId="724"/>
    <cellStyle name="Percent 3 8" xfId="395"/>
    <cellStyle name="Percent 3 8 2" xfId="1131"/>
    <cellStyle name="Percent 3 9" xfId="492"/>
    <cellStyle name="Percent 4" xfId="193"/>
    <cellStyle name="Percent 4 2" xfId="194"/>
    <cellStyle name="Percent 4 2 2" xfId="304"/>
    <cellStyle name="Percent 4 2 2 2" xfId="733"/>
    <cellStyle name="Percent 4 2 3" xfId="411"/>
    <cellStyle name="Percent 4 2 3 2" xfId="1162"/>
    <cellStyle name="Percent 4 2 4" xfId="508"/>
    <cellStyle name="Percent 4 3" xfId="292"/>
    <cellStyle name="Percent 4 3 2" xfId="732"/>
    <cellStyle name="Percent 4 4" xfId="288"/>
    <cellStyle name="Percent 4 5" xfId="410"/>
    <cellStyle name="Percent 4 5 2" xfId="1114"/>
    <cellStyle name="Percent 4 6" xfId="507"/>
    <cellStyle name="Percent 5" xfId="298"/>
    <cellStyle name="Percent 5 2" xfId="532"/>
    <cellStyle name="Percent 5 2 2" xfId="662"/>
    <cellStyle name="Percent 5 3" xfId="533"/>
    <cellStyle name="Percent 5 3 2" xfId="663"/>
    <cellStyle name="Percent 5 4" xfId="862"/>
    <cellStyle name="Percent 5 5" xfId="1180"/>
    <cellStyle name="Percent 5 6" xfId="1201"/>
    <cellStyle name="Percent 6" xfId="282"/>
    <cellStyle name="Percent 6 2" xfId="665"/>
    <cellStyle name="Percent 6 3" xfId="664"/>
    <cellStyle name="Percent 7" xfId="307"/>
    <cellStyle name="Percent 8" xfId="314"/>
    <cellStyle name="Percent 8 2" xfId="674"/>
    <cellStyle name="Percent 8 3" xfId="1271"/>
    <cellStyle name="Percent 8 3 2" xfId="1779"/>
    <cellStyle name="Percent 8 4" xfId="1526"/>
    <cellStyle name="Percent 8 5" xfId="2044"/>
    <cellStyle name="Percent 8 6" xfId="2335"/>
    <cellStyle name="Percent 9" xfId="855"/>
    <cellStyle name="Percent 9 2" xfId="1392"/>
    <cellStyle name="Percent 9 2 2" xfId="1897"/>
    <cellStyle name="Percent 9 3" xfId="1644"/>
    <cellStyle name="Percent 9 4" xfId="2176"/>
    <cellStyle name="Percent 9 5" xfId="2458"/>
    <cellStyle name="Regular" xfId="195"/>
    <cellStyle name="SAPBEXaggData" xfId="228"/>
    <cellStyle name="SAPBEXaggDataEmph" xfId="229"/>
    <cellStyle name="SAPBEXaggItem" xfId="230"/>
    <cellStyle name="SAPBEXaggItemX" xfId="231"/>
    <cellStyle name="SAPBEXchaText" xfId="232"/>
    <cellStyle name="SAPBEXexcBad7" xfId="233"/>
    <cellStyle name="SAPBEXexcBad8" xfId="234"/>
    <cellStyle name="SAPBEXexcBad9" xfId="235"/>
    <cellStyle name="SAPBEXexcCritical4" xfId="236"/>
    <cellStyle name="SAPBEXexcCritical5" xfId="237"/>
    <cellStyle name="SAPBEXexcCritical6" xfId="238"/>
    <cellStyle name="SAPBEXexcGood1" xfId="239"/>
    <cellStyle name="SAPBEXexcGood2" xfId="240"/>
    <cellStyle name="SAPBEXexcGood3" xfId="241"/>
    <cellStyle name="SAPBEXfilterDrill" xfId="242"/>
    <cellStyle name="SAPBEXfilterItem" xfId="243"/>
    <cellStyle name="SAPBEXfilterText" xfId="244"/>
    <cellStyle name="SAPBEXformats" xfId="245"/>
    <cellStyle name="SAPBEXheaderItem" xfId="246"/>
    <cellStyle name="SAPBEXheaderText" xfId="247"/>
    <cellStyle name="SAPBEXHLevel0" xfId="248"/>
    <cellStyle name="SAPBEXHLevel0X" xfId="249"/>
    <cellStyle name="SAPBEXHLevel1" xfId="250"/>
    <cellStyle name="SAPBEXHLevel1X" xfId="251"/>
    <cellStyle name="SAPBEXHLevel2" xfId="252"/>
    <cellStyle name="SAPBEXHLevel2 2" xfId="253"/>
    <cellStyle name="SAPBEXHLevel2 3" xfId="254"/>
    <cellStyle name="SAPBEXHLevel2 4" xfId="271"/>
    <cellStyle name="SAPBEXHLevel2 5" xfId="272"/>
    <cellStyle name="SAPBEXHLevel2X" xfId="255"/>
    <cellStyle name="SAPBEXHLevel3" xfId="256"/>
    <cellStyle name="SAPBEXHLevel3X" xfId="257"/>
    <cellStyle name="SAPBEXresData" xfId="258"/>
    <cellStyle name="SAPBEXresDataEmph" xfId="259"/>
    <cellStyle name="SAPBEXresItem" xfId="260"/>
    <cellStyle name="SAPBEXresItemX" xfId="261"/>
    <cellStyle name="SAPBEXstdData" xfId="262"/>
    <cellStyle name="SAPBEXstdDataEmph" xfId="263"/>
    <cellStyle name="SAPBEXstdItem" xfId="264"/>
    <cellStyle name="SAPBEXstdItemX" xfId="265"/>
    <cellStyle name="SAPBEXtitle" xfId="266"/>
    <cellStyle name="SAPBEXundefined" xfId="267"/>
    <cellStyle name="Style 1" xfId="196"/>
    <cellStyle name="Style 1 2" xfId="197"/>
    <cellStyle name="table lookup" xfId="198"/>
    <cellStyle name="table lookup 2" xfId="199"/>
    <cellStyle name="table lookup_Ocotillo" xfId="200"/>
    <cellStyle name="Test" xfId="201"/>
    <cellStyle name="Test 2" xfId="202"/>
    <cellStyle name="Test 2 2" xfId="203"/>
    <cellStyle name="Test 2 2 2" xfId="204"/>
    <cellStyle name="Test 2 2 2 2" xfId="205"/>
    <cellStyle name="Test 2 2 3" xfId="206"/>
    <cellStyle name="Test 2 3" xfId="207"/>
    <cellStyle name="Test 2 3 2" xfId="208"/>
    <cellStyle name="Test 2 3 2 2" xfId="209"/>
    <cellStyle name="Test 2 3 3" xfId="210"/>
    <cellStyle name="Test 2 4" xfId="211"/>
    <cellStyle name="Test 3" xfId="212"/>
    <cellStyle name="Test 3 2" xfId="213"/>
    <cellStyle name="Test 3 2 2" xfId="214"/>
    <cellStyle name="Test 3 3" xfId="215"/>
    <cellStyle name="Test 4" xfId="216"/>
    <cellStyle name="標準_HB_diagram-HHH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A/Dismantlement/2012%20Dismantlement%20Study/Inflation%20Rates%20+%20Monthly%20Accr/2012%20Monthly%20Accrual%20(Updated)%2010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13"/>
  <sheetViews>
    <sheetView tabSelected="1" workbookViewId="0">
      <pane xSplit="1" ySplit="10" topLeftCell="B11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2"/>
  <cols>
    <col min="1" max="1" width="24" style="4" customWidth="1"/>
    <col min="2" max="2" width="2.5546875" style="4" customWidth="1"/>
    <col min="3" max="3" width="15.6640625" style="4" bestFit="1" customWidth="1"/>
    <col min="4" max="4" width="2.5546875" style="4" customWidth="1"/>
    <col min="5" max="5" width="11.6640625" style="4" customWidth="1"/>
    <col min="6" max="6" width="11.33203125" style="4" customWidth="1"/>
    <col min="7" max="7" width="2" style="4" customWidth="1"/>
    <col min="8" max="8" width="15.109375" style="4" bestFit="1" customWidth="1"/>
    <col min="9" max="9" width="13.109375" style="4" bestFit="1" customWidth="1"/>
    <col min="10" max="10" width="15.88671875" style="4" bestFit="1" customWidth="1"/>
    <col min="11" max="11" width="1.6640625" style="4" customWidth="1"/>
    <col min="12" max="12" width="12.44140625" style="4" customWidth="1"/>
    <col min="13" max="13" width="14.33203125" style="4" customWidth="1"/>
    <col min="14" max="14" width="2.33203125" style="4" customWidth="1"/>
    <col min="15" max="16" width="11.88671875" style="4" bestFit="1" customWidth="1"/>
    <col min="17" max="17" width="11.5546875" style="4" customWidth="1"/>
    <col min="18" max="18" width="12.109375" style="4" customWidth="1"/>
    <col min="19" max="19" width="14.5546875" style="4" bestFit="1" customWidth="1"/>
    <col min="20" max="20" width="12" style="4" customWidth="1"/>
    <col min="21" max="21" width="12.33203125" style="4" customWidth="1"/>
    <col min="22" max="22" width="13.88671875" style="4" customWidth="1"/>
    <col min="23" max="23" width="18.44140625" style="4" customWidth="1"/>
    <col min="24" max="27" width="9.109375" style="4"/>
    <col min="28" max="38" width="9.6640625" style="4" bestFit="1" customWidth="1"/>
    <col min="39" max="16384" width="9.109375" style="4"/>
  </cols>
  <sheetData>
    <row r="1" spans="1:73">
      <c r="A1" s="286" t="s">
        <v>156</v>
      </c>
    </row>
    <row r="2" spans="1:73">
      <c r="A2" s="286" t="s">
        <v>157</v>
      </c>
    </row>
    <row r="8" spans="1:73">
      <c r="A8" s="44"/>
      <c r="B8" s="34"/>
      <c r="C8" s="34">
        <v>2016</v>
      </c>
      <c r="D8" s="34"/>
      <c r="E8" s="269" t="s">
        <v>5</v>
      </c>
      <c r="F8" s="270"/>
      <c r="G8" s="58"/>
      <c r="H8" s="269" t="s">
        <v>120</v>
      </c>
      <c r="I8" s="271"/>
      <c r="J8" s="270"/>
      <c r="K8" s="3"/>
      <c r="L8" s="269" t="s">
        <v>119</v>
      </c>
      <c r="M8" s="270"/>
      <c r="O8" s="272" t="s">
        <v>114</v>
      </c>
      <c r="P8" s="273"/>
      <c r="Q8" s="273"/>
      <c r="R8" s="273"/>
      <c r="S8" s="273"/>
      <c r="T8" s="274"/>
    </row>
    <row r="9" spans="1:73">
      <c r="A9" s="44"/>
      <c r="E9" s="3"/>
      <c r="F9" s="3"/>
      <c r="G9" s="3"/>
      <c r="H9" s="2"/>
      <c r="I9" s="2"/>
      <c r="J9" s="3"/>
      <c r="K9" s="3"/>
    </row>
    <row r="10" spans="1:73" s="53" customFormat="1" ht="44.25" customHeight="1">
      <c r="A10" s="66" t="s">
        <v>31</v>
      </c>
      <c r="B10" s="57"/>
      <c r="C10" s="56" t="s">
        <v>99</v>
      </c>
      <c r="D10" s="57"/>
      <c r="E10" s="51" t="s">
        <v>112</v>
      </c>
      <c r="F10" s="51" t="s">
        <v>116</v>
      </c>
      <c r="G10" s="60"/>
      <c r="H10" s="51" t="s">
        <v>117</v>
      </c>
      <c r="I10" s="51" t="s">
        <v>118</v>
      </c>
      <c r="J10" s="52" t="s">
        <v>113</v>
      </c>
      <c r="K10" s="61"/>
      <c r="L10" s="59" t="s">
        <v>86</v>
      </c>
      <c r="M10" s="51" t="s">
        <v>8</v>
      </c>
      <c r="O10" s="52">
        <v>2017</v>
      </c>
      <c r="P10" s="52">
        <v>2018</v>
      </c>
      <c r="Q10" s="52">
        <v>2019</v>
      </c>
      <c r="R10" s="52">
        <v>2020</v>
      </c>
      <c r="S10" s="51" t="s">
        <v>115</v>
      </c>
      <c r="T10" s="52" t="s">
        <v>121</v>
      </c>
      <c r="U10" s="54"/>
      <c r="V10" s="54"/>
      <c r="W10" s="54"/>
    </row>
    <row r="11" spans="1:73" s="16" customFormat="1" ht="10.199999999999999">
      <c r="A11" s="45" t="str">
        <f>'Accrual - Realloc (Final Alloc)'!A12</f>
        <v>Babcock Solar **</v>
      </c>
      <c r="B11" s="47"/>
      <c r="C11" s="70">
        <f>'Accrual - Realloc (Final Alloc)'!I12</f>
        <v>6601100.6268067798</v>
      </c>
      <c r="D11" s="47"/>
      <c r="E11" s="48">
        <f>'Accrual - Realloc (Final Alloc)'!Z12</f>
        <v>2046</v>
      </c>
      <c r="F11" s="48">
        <f>'Accrual - Realloc (Final Alloc)'!AA12</f>
        <v>29</v>
      </c>
      <c r="G11" s="46"/>
      <c r="H11" s="76">
        <f>'Accrual - Realloc (Final Alloc)'!AD12</f>
        <v>5262956.5568511561</v>
      </c>
      <c r="I11" s="77">
        <f>'Accrual - Realloc (Final Alloc)'!AE12</f>
        <v>12665742.812650926</v>
      </c>
      <c r="J11" s="78">
        <f t="shared" ref="J11:J61" si="0">SUM(H11:I11)</f>
        <v>17928699.369502082</v>
      </c>
      <c r="K11" s="35"/>
      <c r="L11" s="79">
        <f>'Accrual - Realloc (Final Alloc)'!X12</f>
        <v>0</v>
      </c>
      <c r="M11" s="80">
        <f t="shared" ref="M11:M61" si="1">J11-L11</f>
        <v>17928699.369502082</v>
      </c>
      <c r="N11" s="35"/>
      <c r="O11" s="68">
        <f>'Accrual - Realloc (Final Alloc)'!AK12</f>
        <v>360396.34686982463</v>
      </c>
      <c r="P11" s="68">
        <f>'Accrual - Realloc (Final Alloc)'!AL12</f>
        <v>373395.98038484406</v>
      </c>
      <c r="Q11" s="68">
        <f>'Accrual - Realloc (Final Alloc)'!AM12</f>
        <v>386864.51563261566</v>
      </c>
      <c r="R11" s="68">
        <f>'Accrual - Realloc (Final Alloc)'!AN12</f>
        <v>400818.86607725546</v>
      </c>
      <c r="S11" s="68">
        <f t="shared" ref="S11:S61" si="2">SUM(O11:R11)/4</f>
        <v>380368.92724113492</v>
      </c>
      <c r="T11" s="68">
        <f>S11/12</f>
        <v>31697.41060342791</v>
      </c>
      <c r="U11" s="37"/>
      <c r="V11" s="37"/>
      <c r="W11" s="37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</row>
    <row r="12" spans="1:73" s="16" customFormat="1" ht="10.199999999999999">
      <c r="A12" s="45"/>
      <c r="B12" s="47"/>
      <c r="C12" s="146"/>
      <c r="D12" s="47"/>
      <c r="E12" s="181"/>
      <c r="F12" s="181"/>
      <c r="G12" s="172"/>
      <c r="H12" s="76"/>
      <c r="I12" s="77"/>
      <c r="J12" s="78"/>
      <c r="K12" s="176"/>
      <c r="L12" s="81"/>
      <c r="M12" s="78"/>
      <c r="N12" s="176"/>
      <c r="O12" s="189"/>
      <c r="P12" s="189"/>
      <c r="Q12" s="189"/>
      <c r="R12" s="189"/>
      <c r="S12" s="189"/>
      <c r="T12" s="189"/>
      <c r="U12" s="37"/>
      <c r="V12" s="37"/>
      <c r="W12" s="37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</row>
    <row r="13" spans="1:73" s="16" customFormat="1" ht="10.199999999999999">
      <c r="A13" s="200" t="s">
        <v>89</v>
      </c>
      <c r="B13" s="47"/>
      <c r="C13" s="146"/>
      <c r="D13" s="47"/>
      <c r="E13" s="181"/>
      <c r="F13" s="181"/>
      <c r="G13" s="172"/>
      <c r="H13" s="76"/>
      <c r="I13" s="77"/>
      <c r="J13" s="78"/>
      <c r="K13" s="176"/>
      <c r="L13" s="81"/>
      <c r="M13" s="78"/>
      <c r="N13" s="176"/>
      <c r="O13" s="189"/>
      <c r="P13" s="189"/>
      <c r="Q13" s="189"/>
      <c r="R13" s="189"/>
      <c r="S13" s="189"/>
      <c r="T13" s="189"/>
      <c r="U13" s="37"/>
      <c r="V13" s="37"/>
      <c r="W13" s="37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</row>
    <row r="14" spans="1:73" s="16" customFormat="1" ht="10.199999999999999">
      <c r="A14" s="43" t="str">
        <f>'Accrual - Realloc (Final Alloc)'!A13</f>
        <v>Cape Canaveral CC Common ***</v>
      </c>
      <c r="B14" s="47"/>
      <c r="C14" s="70">
        <f>'Accrual - Realloc (Final Alloc)'!I13</f>
        <v>8745381.6041639354</v>
      </c>
      <c r="D14" s="47"/>
      <c r="E14" s="48">
        <f>'Accrual - Realloc (Final Alloc)'!Z13</f>
        <v>2053</v>
      </c>
      <c r="F14" s="48">
        <f>'Accrual - Realloc (Final Alloc)'!AA13</f>
        <v>36</v>
      </c>
      <c r="G14" s="46"/>
      <c r="H14" s="76">
        <f>'Accrual - Realloc (Final Alloc)'!AD13</f>
        <v>8471328.2622103151</v>
      </c>
      <c r="I14" s="77">
        <f>'Accrual - Realloc (Final Alloc)'!AE13</f>
        <v>20390527.825105943</v>
      </c>
      <c r="J14" s="78">
        <f t="shared" si="0"/>
        <v>28861856.08731626</v>
      </c>
      <c r="K14" s="35"/>
      <c r="L14" s="81">
        <f>'Accrual - Realloc (Final Alloc)'!X13</f>
        <v>0</v>
      </c>
      <c r="M14" s="78">
        <f t="shared" si="1"/>
        <v>28861856.08731626</v>
      </c>
      <c r="N14" s="35"/>
      <c r="O14" s="68">
        <f>'Accrual - Realloc (Final Alloc)'!AK13</f>
        <v>417774.63378578803</v>
      </c>
      <c r="P14" s="68">
        <f>'Accrual - Realloc (Final Alloc)'!AL13</f>
        <v>432124.75854884763</v>
      </c>
      <c r="Q14" s="68">
        <f>'Accrual - Realloc (Final Alloc)'!AM13</f>
        <v>446967.79519324697</v>
      </c>
      <c r="R14" s="68">
        <f>'Accrual - Realloc (Final Alloc)'!AN13</f>
        <v>462320.67473016382</v>
      </c>
      <c r="S14" s="68">
        <f t="shared" si="2"/>
        <v>439796.9655645116</v>
      </c>
      <c r="T14" s="68">
        <f t="shared" ref="T14:T96" si="3">S14/12</f>
        <v>36649.747130375967</v>
      </c>
      <c r="U14" s="37"/>
      <c r="V14" s="37"/>
      <c r="W14" s="37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</row>
    <row r="15" spans="1:73" s="16" customFormat="1" ht="10.199999999999999">
      <c r="A15" s="43" t="str">
        <f>'Accrual - Realloc (Final Alloc)'!A14</f>
        <v>Cape Canaveral CC Unit 5 ***</v>
      </c>
      <c r="B15" s="47"/>
      <c r="C15" s="70">
        <f>'Accrual - Realloc (Final Alloc)'!I14</f>
        <v>7122444.1223503184</v>
      </c>
      <c r="D15" s="47"/>
      <c r="E15" s="48">
        <f>'Accrual - Realloc (Final Alloc)'!Z14</f>
        <v>2053</v>
      </c>
      <c r="F15" s="48">
        <f>'Accrual - Realloc (Final Alloc)'!AA14</f>
        <v>36</v>
      </c>
      <c r="G15" s="46"/>
      <c r="H15" s="76">
        <f>'Accrual - Realloc (Final Alloc)'!AD14</f>
        <v>8325216.5816016514</v>
      </c>
      <c r="I15" s="77">
        <f>'Accrual - Realloc (Final Alloc)'!AE14</f>
        <v>20127138.900698096</v>
      </c>
      <c r="J15" s="78">
        <f t="shared" si="0"/>
        <v>28452355.482299745</v>
      </c>
      <c r="K15" s="35"/>
      <c r="L15" s="81">
        <f>'Accrual - Realloc (Final Alloc)'!X14</f>
        <v>0</v>
      </c>
      <c r="M15" s="78">
        <f t="shared" si="1"/>
        <v>28452355.482299745</v>
      </c>
      <c r="N15" s="35"/>
      <c r="O15" s="68">
        <f>'Accrual - Realloc (Final Alloc)'!AK14</f>
        <v>364445.59465192194</v>
      </c>
      <c r="P15" s="68">
        <f>'Accrual - Realloc (Final Alloc)'!AL14</f>
        <v>379129.76883903635</v>
      </c>
      <c r="Q15" s="68">
        <f>'Accrual - Realloc (Final Alloc)'!AM14</f>
        <v>394405.59504423442</v>
      </c>
      <c r="R15" s="68">
        <f>'Accrual - Realloc (Final Alloc)'!AN14</f>
        <v>410296.91200070211</v>
      </c>
      <c r="S15" s="68">
        <f t="shared" si="2"/>
        <v>387069.46763397369</v>
      </c>
      <c r="T15" s="68">
        <f t="shared" si="3"/>
        <v>32255.788969497808</v>
      </c>
      <c r="U15" s="37"/>
      <c r="V15" s="37"/>
      <c r="W15" s="37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</row>
    <row r="16" spans="1:73" s="16" customFormat="1" ht="10.199999999999999">
      <c r="A16" s="43"/>
      <c r="B16" s="47"/>
      <c r="C16" s="146"/>
      <c r="D16" s="47"/>
      <c r="E16" s="181"/>
      <c r="F16" s="181"/>
      <c r="G16" s="172"/>
      <c r="H16" s="76"/>
      <c r="I16" s="77"/>
      <c r="J16" s="78"/>
      <c r="K16" s="176"/>
      <c r="L16" s="81"/>
      <c r="M16" s="78"/>
      <c r="N16" s="176"/>
      <c r="O16" s="189"/>
      <c r="P16" s="189"/>
      <c r="Q16" s="189"/>
      <c r="R16" s="189"/>
      <c r="S16" s="189"/>
      <c r="T16" s="189"/>
      <c r="U16" s="37"/>
      <c r="V16" s="37"/>
      <c r="W16" s="37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</row>
    <row r="17" spans="1:73" s="25" customFormat="1">
      <c r="A17" s="193" t="s">
        <v>107</v>
      </c>
      <c r="C17" s="199">
        <v>4520250</v>
      </c>
      <c r="E17" s="181">
        <v>2016</v>
      </c>
      <c r="F17" s="181">
        <v>0</v>
      </c>
      <c r="H17" s="198" t="s">
        <v>122</v>
      </c>
      <c r="I17" s="197" t="s">
        <v>122</v>
      </c>
      <c r="J17" s="196">
        <v>4520250</v>
      </c>
      <c r="K17" s="88"/>
      <c r="L17" s="195">
        <v>0</v>
      </c>
      <c r="M17" s="78">
        <f>J17-L17</f>
        <v>4520250</v>
      </c>
      <c r="N17" s="88"/>
      <c r="O17" s="194">
        <f>'Accrual - Realloc (Final Alloc)'!AK68</f>
        <v>4520250</v>
      </c>
      <c r="P17" s="194">
        <f>'Accrual - Realloc (Final Alloc)'!AL68</f>
        <v>0</v>
      </c>
      <c r="Q17" s="194">
        <f>'Accrual - Realloc (Final Alloc)'!AM68</f>
        <v>0</v>
      </c>
      <c r="R17" s="194">
        <f>'Accrual - Realloc (Final Alloc)'!AN68</f>
        <v>0</v>
      </c>
      <c r="S17" s="194">
        <f>'Accrual - Realloc (Final Alloc)'!AO68</f>
        <v>1130062.5</v>
      </c>
      <c r="T17" s="189">
        <f t="shared" ref="T17" si="4">S17/12</f>
        <v>94171.875</v>
      </c>
      <c r="U17" s="64"/>
    </row>
    <row r="18" spans="1:73" s="16" customFormat="1">
      <c r="A18" s="24"/>
      <c r="C18" s="199"/>
      <c r="E18" s="181"/>
      <c r="F18" s="181"/>
      <c r="H18" s="198"/>
      <c r="I18" s="197"/>
      <c r="J18" s="196"/>
      <c r="K18" s="73"/>
      <c r="L18" s="195"/>
      <c r="M18" s="78"/>
      <c r="N18" s="73"/>
      <c r="O18" s="194"/>
      <c r="P18" s="194"/>
      <c r="Q18" s="194"/>
      <c r="R18" s="194"/>
      <c r="S18" s="194"/>
      <c r="T18" s="189"/>
      <c r="U18" s="4"/>
    </row>
    <row r="19" spans="1:73" s="16" customFormat="1" ht="10.199999999999999">
      <c r="A19" s="45" t="str">
        <f>'Accrual - Realloc (Final Alloc)'!A15</f>
        <v>DeSoto (Citrus Solar) **</v>
      </c>
      <c r="B19" s="47"/>
      <c r="C19" s="70">
        <f>'Accrual - Realloc (Final Alloc)'!I15</f>
        <v>6601100.6268067798</v>
      </c>
      <c r="D19" s="47"/>
      <c r="E19" s="48">
        <f>'Accrual - Realloc (Final Alloc)'!Z15</f>
        <v>2046</v>
      </c>
      <c r="F19" s="48">
        <f>'Accrual - Realloc (Final Alloc)'!AA15</f>
        <v>29</v>
      </c>
      <c r="G19" s="46"/>
      <c r="H19" s="76">
        <f>'Accrual - Realloc (Final Alloc)'!AD15</f>
        <v>5262956.5568511561</v>
      </c>
      <c r="I19" s="77">
        <f>'Accrual - Realloc (Final Alloc)'!AE15</f>
        <v>12665742.812650926</v>
      </c>
      <c r="J19" s="78">
        <f t="shared" si="0"/>
        <v>17928699.369502082</v>
      </c>
      <c r="K19" s="35"/>
      <c r="L19" s="81">
        <f>'Accrual - Realloc (Final Alloc)'!X15</f>
        <v>0</v>
      </c>
      <c r="M19" s="78">
        <f t="shared" si="1"/>
        <v>17928699.369502082</v>
      </c>
      <c r="N19" s="35"/>
      <c r="O19" s="68">
        <f>'Accrual - Realloc (Final Alloc)'!AK15</f>
        <v>360396.34686982463</v>
      </c>
      <c r="P19" s="68">
        <f>'Accrual - Realloc (Final Alloc)'!AL15</f>
        <v>373395.98038484406</v>
      </c>
      <c r="Q19" s="68">
        <f>'Accrual - Realloc (Final Alloc)'!AM15</f>
        <v>386864.51563261566</v>
      </c>
      <c r="R19" s="68">
        <f>'Accrual - Realloc (Final Alloc)'!AN15</f>
        <v>400818.86607725546</v>
      </c>
      <c r="S19" s="68">
        <f t="shared" si="2"/>
        <v>380368.92724113492</v>
      </c>
      <c r="T19" s="68">
        <f t="shared" si="3"/>
        <v>31697.41060342791</v>
      </c>
      <c r="U19" s="37"/>
      <c r="V19" s="37"/>
      <c r="W19" s="37"/>
      <c r="X19" s="36"/>
      <c r="Y19" s="36"/>
      <c r="Z19" s="36"/>
      <c r="AA19" s="36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</row>
    <row r="20" spans="1:73" s="16" customFormat="1" ht="10.199999999999999">
      <c r="A20" s="45"/>
      <c r="B20" s="47"/>
      <c r="C20" s="146"/>
      <c r="D20" s="47"/>
      <c r="E20" s="181"/>
      <c r="F20" s="181"/>
      <c r="G20" s="172"/>
      <c r="H20" s="76"/>
      <c r="I20" s="77"/>
      <c r="J20" s="78"/>
      <c r="K20" s="176"/>
      <c r="L20" s="81"/>
      <c r="M20" s="78"/>
      <c r="N20" s="176"/>
      <c r="O20" s="189"/>
      <c r="P20" s="189"/>
      <c r="Q20" s="189"/>
      <c r="R20" s="189"/>
      <c r="S20" s="189"/>
      <c r="T20" s="189"/>
      <c r="U20" s="37"/>
      <c r="V20" s="37"/>
      <c r="W20" s="37"/>
      <c r="X20" s="36"/>
      <c r="Y20" s="36"/>
      <c r="Z20" s="36"/>
      <c r="AA20" s="36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</row>
    <row r="21" spans="1:73" s="16" customFormat="1" ht="10.199999999999999">
      <c r="A21" s="32" t="str">
        <f>'Accrual - Realloc (Final Alloc)'!A16</f>
        <v>DeSoto Solar Energy Ctr</v>
      </c>
      <c r="B21" s="47"/>
      <c r="C21" s="70">
        <f>'Accrual - Realloc (Final Alloc)'!I16</f>
        <v>2338489.6637040032</v>
      </c>
      <c r="D21" s="47"/>
      <c r="E21" s="48">
        <f>'Accrual - Realloc (Final Alloc)'!Z16</f>
        <v>2039</v>
      </c>
      <c r="F21" s="48">
        <f>'Accrual - Realloc (Final Alloc)'!AA16</f>
        <v>22</v>
      </c>
      <c r="G21" s="46"/>
      <c r="H21" s="76">
        <f>'Accrual - Realloc (Final Alloc)'!AD16</f>
        <v>1500706.9356934917</v>
      </c>
      <c r="I21" s="77">
        <f>'Accrual - Realloc (Final Alloc)'!AE16</f>
        <v>3607469.2762831966</v>
      </c>
      <c r="J21" s="78">
        <f t="shared" si="0"/>
        <v>5108176.2119766884</v>
      </c>
      <c r="K21" s="35"/>
      <c r="L21" s="81">
        <f>'Accrual - Realloc (Final Alloc)'!X16</f>
        <v>508956</v>
      </c>
      <c r="M21" s="78">
        <f t="shared" si="1"/>
        <v>4599220.2119766884</v>
      </c>
      <c r="N21" s="35"/>
      <c r="O21" s="68">
        <f>'Accrual - Realloc (Final Alloc)'!AK16</f>
        <v>138272.46113434315</v>
      </c>
      <c r="P21" s="68">
        <f>'Accrual - Realloc (Final Alloc)'!AL16</f>
        <v>143454.07999983043</v>
      </c>
      <c r="Q21" s="68">
        <f>'Accrual - Realloc (Final Alloc)'!AM16</f>
        <v>148829.87472540519</v>
      </c>
      <c r="R21" s="68">
        <f>'Accrual - Realloc (Final Alloc)'!AN16</f>
        <v>154407.12185255368</v>
      </c>
      <c r="S21" s="68">
        <f t="shared" si="2"/>
        <v>146240.88442803311</v>
      </c>
      <c r="T21" s="68">
        <f t="shared" si="3"/>
        <v>12186.740369002759</v>
      </c>
      <c r="U21" s="37"/>
      <c r="V21" s="37"/>
      <c r="W21" s="37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</row>
    <row r="22" spans="1:73" s="16" customFormat="1" ht="10.199999999999999">
      <c r="A22" s="32"/>
      <c r="B22" s="47"/>
      <c r="C22" s="146"/>
      <c r="D22" s="47"/>
      <c r="E22" s="181"/>
      <c r="F22" s="181"/>
      <c r="G22" s="172"/>
      <c r="H22" s="76"/>
      <c r="I22" s="77"/>
      <c r="J22" s="78"/>
      <c r="K22" s="176"/>
      <c r="L22" s="81"/>
      <c r="M22" s="78"/>
      <c r="N22" s="176"/>
      <c r="O22" s="189"/>
      <c r="P22" s="189"/>
      <c r="Q22" s="189"/>
      <c r="R22" s="189"/>
      <c r="S22" s="189"/>
      <c r="T22" s="189"/>
      <c r="U22" s="37"/>
      <c r="V22" s="37"/>
      <c r="W22" s="37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</row>
    <row r="23" spans="1:73" s="16" customFormat="1" ht="10.199999999999999">
      <c r="A23" s="201" t="s">
        <v>143</v>
      </c>
      <c r="B23" s="47"/>
      <c r="C23" s="146"/>
      <c r="D23" s="47"/>
      <c r="E23" s="181"/>
      <c r="F23" s="181"/>
      <c r="G23" s="172"/>
      <c r="H23" s="76"/>
      <c r="I23" s="77"/>
      <c r="J23" s="78"/>
      <c r="K23" s="176"/>
      <c r="L23" s="81"/>
      <c r="M23" s="78"/>
      <c r="N23" s="176"/>
      <c r="O23" s="189"/>
      <c r="P23" s="189"/>
      <c r="Q23" s="189"/>
      <c r="R23" s="189"/>
      <c r="S23" s="189"/>
      <c r="T23" s="189"/>
      <c r="U23" s="37"/>
      <c r="V23" s="37"/>
      <c r="W23" s="37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</row>
    <row r="24" spans="1:73" s="16" customFormat="1" ht="10.199999999999999">
      <c r="A24" s="45" t="str">
        <f>'Accrual - Realloc (Final Alloc)'!A22</f>
        <v>Ft. Myers Common</v>
      </c>
      <c r="B24" s="47"/>
      <c r="C24" s="70">
        <f>'Accrual - Realloc (Final Alloc)'!I22</f>
        <v>19702678.675403088</v>
      </c>
      <c r="D24" s="47"/>
      <c r="E24" s="48">
        <f>'Accrual - Realloc (Final Alloc)'!Z22</f>
        <v>2043</v>
      </c>
      <c r="F24" s="48">
        <f>'Accrual - Realloc (Final Alloc)'!AA22</f>
        <v>26</v>
      </c>
      <c r="G24" s="46"/>
      <c r="H24" s="76">
        <f>'Accrual - Realloc (Final Alloc)'!AD22</f>
        <v>14212629.185834153</v>
      </c>
      <c r="I24" s="77">
        <f>'Accrual - Realloc (Final Alloc)'!AE22</f>
        <v>34168012.70056881</v>
      </c>
      <c r="J24" s="78">
        <f>SUM(H24:I24)</f>
        <v>48380641.886402965</v>
      </c>
      <c r="K24" s="35"/>
      <c r="L24" s="81">
        <f>'Accrual - Realloc (Final Alloc)'!X22</f>
        <v>12436940.140000001</v>
      </c>
      <c r="M24" s="78">
        <f>J24-L24</f>
        <v>35943701.746402964</v>
      </c>
      <c r="N24" s="35"/>
      <c r="O24" s="68">
        <f>'Accrual - Realloc (Final Alloc)'!AK22</f>
        <v>857611.82767199399</v>
      </c>
      <c r="P24" s="68">
        <f>'Accrual - Realloc (Final Alloc)'!AL22</f>
        <v>888512.69888438424</v>
      </c>
      <c r="Q24" s="68">
        <f>'Accrual - Realloc (Final Alloc)'!AM22</f>
        <v>920526.96873573295</v>
      </c>
      <c r="R24" s="68">
        <f>'Accrual - Realloc (Final Alloc)'!AN22</f>
        <v>953694.7544292321</v>
      </c>
      <c r="S24" s="68">
        <f>SUM(O24:R24)/4</f>
        <v>905086.56243033591</v>
      </c>
      <c r="T24" s="68">
        <f>S24/12</f>
        <v>75423.880202527987</v>
      </c>
      <c r="U24" s="37"/>
      <c r="V24" s="37"/>
      <c r="W24" s="37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</row>
    <row r="25" spans="1:73" s="16" customFormat="1" ht="10.199999999999999">
      <c r="A25" s="45" t="str">
        <f>'Accrual - Realloc (Final Alloc)'!A24</f>
        <v>Ft. Myers Unit 2</v>
      </c>
      <c r="B25" s="47"/>
      <c r="C25" s="70">
        <f>'Accrual - Realloc (Final Alloc)'!I24</f>
        <v>9039545.6438384205</v>
      </c>
      <c r="D25" s="47"/>
      <c r="E25" s="48">
        <f>'Accrual - Realloc (Final Alloc)'!Z24</f>
        <v>2043</v>
      </c>
      <c r="F25" s="48">
        <f>'Accrual - Realloc (Final Alloc)'!AA24</f>
        <v>26</v>
      </c>
      <c r="G25" s="46"/>
      <c r="H25" s="76">
        <f>'Accrual - Realloc (Final Alloc)'!AD24</f>
        <v>7709606.0916411951</v>
      </c>
      <c r="I25" s="77">
        <f>'Accrual - Realloc (Final Alloc)'!AE24</f>
        <v>18637144.591361009</v>
      </c>
      <c r="J25" s="78">
        <f>SUM(H25:I25)</f>
        <v>26346750.683002204</v>
      </c>
      <c r="K25" s="35"/>
      <c r="L25" s="81">
        <f>'Accrual - Realloc (Final Alloc)'!X24</f>
        <v>9455820.2699999996</v>
      </c>
      <c r="M25" s="78">
        <f>J25-L25</f>
        <v>16890930.413002204</v>
      </c>
      <c r="N25" s="35"/>
      <c r="O25" s="68">
        <f>'Accrual - Realloc (Final Alloc)'!AK24</f>
        <v>361853.88064675522</v>
      </c>
      <c r="P25" s="68">
        <f>'Accrual - Realloc (Final Alloc)'!AL24</f>
        <v>377657.01859301206</v>
      </c>
      <c r="Q25" s="68">
        <f>'Accrual - Realloc (Final Alloc)'!AM24</f>
        <v>394150.32232801779</v>
      </c>
      <c r="R25" s="68">
        <f>'Accrual - Realloc (Final Alloc)'!AN24</f>
        <v>411363.93325897772</v>
      </c>
      <c r="S25" s="68">
        <f>SUM(O25:R25)/4</f>
        <v>386256.28870669071</v>
      </c>
      <c r="T25" s="68">
        <f>S25/12</f>
        <v>32188.024058890893</v>
      </c>
      <c r="U25" s="37"/>
      <c r="V25" s="37"/>
      <c r="W25" s="37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</row>
    <row r="26" spans="1:73" s="18" customFormat="1" ht="10.199999999999999">
      <c r="A26" s="45" t="str">
        <f>'Accrual - Realloc (Final Alloc)'!A25</f>
        <v>Ft. Myers Unit 3</v>
      </c>
      <c r="B26" s="47"/>
      <c r="C26" s="70">
        <f>'Accrual - Realloc (Final Alloc)'!I25</f>
        <v>1568707.4460540633</v>
      </c>
      <c r="D26" s="47"/>
      <c r="E26" s="48">
        <f>'Accrual - Realloc (Final Alloc)'!Z25</f>
        <v>2043</v>
      </c>
      <c r="F26" s="48">
        <f>'Accrual - Realloc (Final Alloc)'!AA25</f>
        <v>26</v>
      </c>
      <c r="G26" s="46"/>
      <c r="H26" s="76">
        <f>'Accrual - Realloc (Final Alloc)'!AD25</f>
        <v>1316721.4724113406</v>
      </c>
      <c r="I26" s="77">
        <f>'Accrual - Realloc (Final Alloc)'!AE25</f>
        <v>3181505.0508594988</v>
      </c>
      <c r="J26" s="78">
        <f>SUM(H26:I26)</f>
        <v>4498226.5232708398</v>
      </c>
      <c r="K26" s="35"/>
      <c r="L26" s="81">
        <f>'Accrual - Realloc (Final Alloc)'!X25</f>
        <v>1574379.28314479</v>
      </c>
      <c r="M26" s="78">
        <f>J26-L26</f>
        <v>2923847.2401260501</v>
      </c>
      <c r="N26" s="35"/>
      <c r="O26" s="68">
        <f>'Accrual - Realloc (Final Alloc)'!AK25</f>
        <v>63289.81407145963</v>
      </c>
      <c r="P26" s="68">
        <f>'Accrual - Realloc (Final Alloc)'!AL25</f>
        <v>66007.745766263324</v>
      </c>
      <c r="Q26" s="68">
        <f>'Accrual - Realloc (Final Alloc)'!AM25</f>
        <v>68842.396917522958</v>
      </c>
      <c r="R26" s="68">
        <f>'Accrual - Realloc (Final Alloc)'!AN25</f>
        <v>71798.779951246674</v>
      </c>
      <c r="S26" s="68">
        <f>SUM(O26:R26)/4</f>
        <v>67484.684176623152</v>
      </c>
      <c r="T26" s="68">
        <f>S26/12</f>
        <v>5623.7236813852624</v>
      </c>
      <c r="U26" s="37"/>
      <c r="V26" s="37"/>
      <c r="W26" s="37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</row>
    <row r="27" spans="1:73" s="18" customFormat="1" ht="10.199999999999999">
      <c r="A27" s="45" t="str">
        <f>'Accrual - Realloc (Final Alloc)'!A26</f>
        <v>Ft. Myers Unit 4 **</v>
      </c>
      <c r="B27" s="47"/>
      <c r="C27" s="70">
        <f>'Accrual - Realloc (Final Alloc)'!I26</f>
        <v>1727318.3781717222</v>
      </c>
      <c r="D27" s="47"/>
      <c r="E27" s="48">
        <f>'Accrual - Realloc (Final Alloc)'!Z26</f>
        <v>2056</v>
      </c>
      <c r="F27" s="48">
        <f>'Accrual - Realloc (Final Alloc)'!AA26</f>
        <v>39</v>
      </c>
      <c r="G27" s="46"/>
      <c r="H27" s="76">
        <f>'Accrual - Realloc (Final Alloc)'!AD26</f>
        <v>2250160.3743443396</v>
      </c>
      <c r="I27" s="77">
        <f>'Accrual - Realloc (Final Alloc)'!AE26</f>
        <v>5441700.2387316832</v>
      </c>
      <c r="J27" s="78">
        <f>SUM(H27:I27)</f>
        <v>7691860.6130760228</v>
      </c>
      <c r="K27" s="35"/>
      <c r="L27" s="81">
        <f>'Accrual - Realloc (Final Alloc)'!X26</f>
        <v>0</v>
      </c>
      <c r="M27" s="78">
        <f>J27-L27</f>
        <v>7691860.6130760228</v>
      </c>
      <c r="N27" s="35"/>
      <c r="O27" s="68">
        <f>'Accrual - Realloc (Final Alloc)'!AK26</f>
        <v>84991.258976573445</v>
      </c>
      <c r="P27" s="68">
        <f>'Accrual - Realloc (Final Alloc)'!AL26</f>
        <v>88394.714924109416</v>
      </c>
      <c r="Q27" s="68">
        <f>'Accrual - Realloc (Final Alloc)'!AM26</f>
        <v>91934.461503485669</v>
      </c>
      <c r="R27" s="68">
        <f>'Accrual - Realloc (Final Alloc)'!AN26</f>
        <v>95615.956442556984</v>
      </c>
      <c r="S27" s="68">
        <f>SUM(O27:R27)/4</f>
        <v>90234.097961681386</v>
      </c>
      <c r="T27" s="68">
        <f>S27/12</f>
        <v>7519.5081634734488</v>
      </c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</row>
    <row r="28" spans="1:73" s="16" customFormat="1" ht="10.199999999999999">
      <c r="A28" s="45" t="str">
        <f>'Accrual - Realloc (Final Alloc)'!A23</f>
        <v>Ft. Myers Gas Turbines</v>
      </c>
      <c r="B28" s="47"/>
      <c r="C28" s="70">
        <f>'Accrual - Realloc (Final Alloc)'!I23</f>
        <v>297386.09295297385</v>
      </c>
      <c r="D28" s="47"/>
      <c r="E28" s="48">
        <f>'Accrual - Realloc (Final Alloc)'!Z23</f>
        <v>2056</v>
      </c>
      <c r="F28" s="48">
        <f>'Accrual - Realloc (Final Alloc)'!AA23</f>
        <v>39</v>
      </c>
      <c r="G28" s="46"/>
      <c r="H28" s="76">
        <f>'Accrual - Realloc (Final Alloc)'!AD23</f>
        <v>444570.86214502098</v>
      </c>
      <c r="I28" s="77">
        <f>'Accrual - Realloc (Final Alloc)'!AE23</f>
        <v>1077834.1509827976</v>
      </c>
      <c r="J28" s="78">
        <f>SUM(H28:I28)</f>
        <v>1522405.0131278187</v>
      </c>
      <c r="K28" s="35"/>
      <c r="L28" s="81">
        <f>'Accrual - Realloc (Final Alloc)'!X23</f>
        <v>0</v>
      </c>
      <c r="M28" s="78">
        <f>J28-L28</f>
        <v>1522405.0131278187</v>
      </c>
      <c r="N28" s="35"/>
      <c r="O28" s="68">
        <f>'Accrual - Realloc (Final Alloc)'!AK23</f>
        <v>39036.025977636375</v>
      </c>
      <c r="P28" s="68">
        <f>'Accrual - Realloc (Final Alloc)'!AL23</f>
        <v>39036.025977636375</v>
      </c>
      <c r="Q28" s="68">
        <f>'Accrual - Realloc (Final Alloc)'!AM23</f>
        <v>39036.025977636375</v>
      </c>
      <c r="R28" s="68">
        <f>'Accrual - Realloc (Final Alloc)'!AN23</f>
        <v>39036.025977636375</v>
      </c>
      <c r="S28" s="68">
        <f>SUM(O28:R28)/4</f>
        <v>39036.025977636375</v>
      </c>
      <c r="T28" s="68">
        <f>S28/12</f>
        <v>3253.0021648030311</v>
      </c>
      <c r="U28" s="37"/>
      <c r="V28" s="37"/>
      <c r="W28" s="37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</row>
    <row r="29" spans="1:73" s="16" customFormat="1" ht="10.199999999999999">
      <c r="A29" s="45"/>
      <c r="B29" s="47"/>
      <c r="C29" s="146"/>
      <c r="D29" s="47"/>
      <c r="E29" s="181"/>
      <c r="F29" s="181"/>
      <c r="G29" s="172"/>
      <c r="H29" s="76"/>
      <c r="I29" s="77"/>
      <c r="J29" s="78"/>
      <c r="K29" s="176"/>
      <c r="L29" s="81"/>
      <c r="M29" s="78"/>
      <c r="N29" s="176"/>
      <c r="O29" s="189"/>
      <c r="P29" s="189"/>
      <c r="Q29" s="189"/>
      <c r="R29" s="189"/>
      <c r="S29" s="189"/>
      <c r="T29" s="189"/>
      <c r="U29" s="37"/>
      <c r="V29" s="37"/>
      <c r="W29" s="37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</row>
    <row r="30" spans="1:73" s="16" customFormat="1" ht="10.199999999999999">
      <c r="A30" s="201" t="s">
        <v>144</v>
      </c>
      <c r="B30" s="47"/>
      <c r="C30" s="146"/>
      <c r="D30" s="47"/>
      <c r="E30" s="181"/>
      <c r="F30" s="181"/>
      <c r="G30" s="172"/>
      <c r="H30" s="76"/>
      <c r="I30" s="77"/>
      <c r="J30" s="78"/>
      <c r="K30" s="176"/>
      <c r="L30" s="81"/>
      <c r="M30" s="78"/>
      <c r="N30" s="176"/>
      <c r="O30" s="189"/>
      <c r="P30" s="189"/>
      <c r="Q30" s="189"/>
      <c r="R30" s="189"/>
      <c r="S30" s="189"/>
      <c r="T30" s="189"/>
      <c r="U30" s="37"/>
      <c r="V30" s="37"/>
      <c r="W30" s="37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</row>
    <row r="31" spans="1:73" s="16" customFormat="1" ht="10.199999999999999">
      <c r="A31" s="45" t="str">
        <f>'Accrual - Realloc (Final Alloc)'!A17</f>
        <v>Ft. Lauderdale Common</v>
      </c>
      <c r="B31" s="47"/>
      <c r="C31" s="70">
        <f>'Accrual - Realloc (Final Alloc)'!I17</f>
        <v>19099026.632596582</v>
      </c>
      <c r="D31" s="47"/>
      <c r="E31" s="48">
        <f>'Accrual - Realloc (Final Alloc)'!Z17</f>
        <v>2033</v>
      </c>
      <c r="F31" s="48">
        <f>'Accrual - Realloc (Final Alloc)'!AA17</f>
        <v>16</v>
      </c>
      <c r="G31" s="46"/>
      <c r="H31" s="76">
        <f>'Accrual - Realloc (Final Alloc)'!AD17</f>
        <v>10077651.904566951</v>
      </c>
      <c r="I31" s="77">
        <f>'Accrual - Realloc (Final Alloc)'!AE17</f>
        <v>24160899.66079732</v>
      </c>
      <c r="J31" s="78">
        <f t="shared" si="0"/>
        <v>34238551.565364271</v>
      </c>
      <c r="K31" s="35"/>
      <c r="L31" s="81">
        <f>'Accrual - Realloc (Final Alloc)'!X17</f>
        <v>0</v>
      </c>
      <c r="M31" s="78">
        <f t="shared" si="1"/>
        <v>34238551.565364271</v>
      </c>
      <c r="N31" s="35"/>
      <c r="O31" s="68">
        <f>'Accrual - Realloc (Final Alloc)'!AK17</f>
        <v>1587535.4304285129</v>
      </c>
      <c r="P31" s="68">
        <f>'Accrual - Realloc (Final Alloc)'!AL17</f>
        <v>1648682.0393012853</v>
      </c>
      <c r="Q31" s="68">
        <f>'Accrual - Realloc (Final Alloc)'!AM17</f>
        <v>1712183.8131076873</v>
      </c>
      <c r="R31" s="68">
        <f>'Accrual - Realloc (Final Alloc)'!AN17</f>
        <v>1778131.4650036381</v>
      </c>
      <c r="S31" s="68">
        <f t="shared" si="2"/>
        <v>1681633.1869602809</v>
      </c>
      <c r="T31" s="68">
        <f t="shared" si="3"/>
        <v>140136.09891335675</v>
      </c>
      <c r="U31" s="37"/>
      <c r="V31" s="37"/>
      <c r="W31" s="37"/>
      <c r="X31" s="36"/>
      <c r="Y31" s="36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</row>
    <row r="32" spans="1:73" s="16" customFormat="1" ht="10.199999999999999">
      <c r="A32" s="45" t="str">
        <f>'Accrual - Realloc (Final Alloc)'!A19</f>
        <v>Ft. Lauderdale Unit 4</v>
      </c>
      <c r="B32" s="47"/>
      <c r="C32" s="70">
        <f>'Accrual - Realloc (Final Alloc)'!I19</f>
        <v>4346177.753229592</v>
      </c>
      <c r="D32" s="47"/>
      <c r="E32" s="48">
        <f>'Accrual - Realloc (Final Alloc)'!Z19</f>
        <v>2033</v>
      </c>
      <c r="F32" s="48">
        <f>'Accrual - Realloc (Final Alloc)'!AA19</f>
        <v>16</v>
      </c>
      <c r="G32" s="46"/>
      <c r="H32" s="76">
        <f>'Accrual - Realloc (Final Alloc)'!AD19</f>
        <v>2517540.0955303246</v>
      </c>
      <c r="I32" s="77">
        <f>'Accrual - Realloc (Final Alloc)'!AE19</f>
        <v>6060811.1357874162</v>
      </c>
      <c r="J32" s="78">
        <f t="shared" si="0"/>
        <v>8578351.2313177399</v>
      </c>
      <c r="K32" s="35"/>
      <c r="L32" s="81">
        <f>'Accrual - Realloc (Final Alloc)'!X19</f>
        <v>5147010.7387905996</v>
      </c>
      <c r="M32" s="78">
        <f t="shared" si="1"/>
        <v>3431340.4925271403</v>
      </c>
      <c r="N32" s="35"/>
      <c r="O32" s="68">
        <f>'Accrual - Realloc (Final Alloc)'!AK19</f>
        <v>150290.42630520571</v>
      </c>
      <c r="P32" s="68">
        <f>'Accrual - Realloc (Final Alloc)'!AL19</f>
        <v>157145.14798117251</v>
      </c>
      <c r="Q32" s="68">
        <f>'Accrual - Realloc (Final Alloc)'!AM19</f>
        <v>164312.51238768524</v>
      </c>
      <c r="R32" s="68">
        <f>'Accrual - Realloc (Final Alloc)'!AN19</f>
        <v>171806.7791083687</v>
      </c>
      <c r="S32" s="68">
        <f t="shared" si="2"/>
        <v>160888.71644560804</v>
      </c>
      <c r="T32" s="68">
        <f t="shared" si="3"/>
        <v>13407.393037134003</v>
      </c>
      <c r="U32" s="37"/>
      <c r="V32" s="37"/>
      <c r="W32" s="37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</row>
    <row r="33" spans="1:73" s="16" customFormat="1" ht="10.199999999999999">
      <c r="A33" s="45" t="str">
        <f>'Accrual - Realloc (Final Alloc)'!A20</f>
        <v>Ft. Lauderdale Unit 5</v>
      </c>
      <c r="B33" s="47"/>
      <c r="C33" s="70">
        <f>'Accrual - Realloc (Final Alloc)'!I20</f>
        <v>4340749.7506353883</v>
      </c>
      <c r="D33" s="47"/>
      <c r="E33" s="48">
        <f>'Accrual - Realloc (Final Alloc)'!Z20</f>
        <v>2033</v>
      </c>
      <c r="F33" s="48">
        <f>'Accrual - Realloc (Final Alloc)'!AA20</f>
        <v>16</v>
      </c>
      <c r="G33" s="46"/>
      <c r="H33" s="76">
        <f>'Accrual - Realloc (Final Alloc)'!AD20</f>
        <v>2514895.2964644963</v>
      </c>
      <c r="I33" s="77">
        <f>'Accrual - Realloc (Final Alloc)'!AE20</f>
        <v>6054496.1565716732</v>
      </c>
      <c r="J33" s="78">
        <f t="shared" si="0"/>
        <v>8569391.4530361705</v>
      </c>
      <c r="K33" s="35"/>
      <c r="L33" s="81">
        <f>'Accrual - Realloc (Final Alloc)'!X20</f>
        <v>5141634.8718216997</v>
      </c>
      <c r="M33" s="78">
        <f t="shared" si="1"/>
        <v>3427756.5812144708</v>
      </c>
      <c r="N33" s="35"/>
      <c r="O33" s="68">
        <f>'Accrual - Realloc (Final Alloc)'!AK20</f>
        <v>150113.71524599631</v>
      </c>
      <c r="P33" s="68">
        <f>'Accrual - Realloc (Final Alloc)'!AL20</f>
        <v>156962.82234188294</v>
      </c>
      <c r="Q33" s="68">
        <f>'Accrual - Realloc (Final Alloc)'!AM20</f>
        <v>164124.42765243337</v>
      </c>
      <c r="R33" s="68">
        <f>'Accrual - Realloc (Final Alloc)'!AN20</f>
        <v>171612.78926016856</v>
      </c>
      <c r="S33" s="68">
        <f t="shared" si="2"/>
        <v>160703.4386251203</v>
      </c>
      <c r="T33" s="68">
        <f t="shared" si="3"/>
        <v>13391.953218760025</v>
      </c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</row>
    <row r="34" spans="1:73" s="16" customFormat="1" ht="10.199999999999999">
      <c r="A34" s="45" t="str">
        <f>'Accrual - Realloc (Final Alloc)'!A21</f>
        <v>Ft. Lauderdale Unit 6 **</v>
      </c>
      <c r="B34" s="47"/>
      <c r="C34" s="70">
        <f>'Accrual - Realloc (Final Alloc)'!I21</f>
        <v>4226111.5044410788</v>
      </c>
      <c r="D34" s="47"/>
      <c r="E34" s="48">
        <f>'Accrual - Realloc (Final Alloc)'!Z21</f>
        <v>2056</v>
      </c>
      <c r="F34" s="48">
        <f>'Accrual - Realloc (Final Alloc)'!AA21</f>
        <v>39</v>
      </c>
      <c r="G34" s="46"/>
      <c r="H34" s="76">
        <f>'Accrual - Realloc (Final Alloc)'!AD21</f>
        <v>5527120.3085886072</v>
      </c>
      <c r="I34" s="77">
        <f>'Accrual - Realloc (Final Alloc)'!AE21</f>
        <v>13367644.598231064</v>
      </c>
      <c r="J34" s="78">
        <f t="shared" si="0"/>
        <v>18894764.906819671</v>
      </c>
      <c r="K34" s="35"/>
      <c r="L34" s="81">
        <f>'Accrual - Realloc (Final Alloc)'!X21</f>
        <v>0</v>
      </c>
      <c r="M34" s="78">
        <f t="shared" si="1"/>
        <v>18894764.906819671</v>
      </c>
      <c r="N34" s="35"/>
      <c r="O34" s="68">
        <f>'Accrual - Realloc (Final Alloc)'!AK21</f>
        <v>208240.18764911938</v>
      </c>
      <c r="P34" s="68">
        <f>'Accrual - Realloc (Final Alloc)'!AL21</f>
        <v>216602.5889971343</v>
      </c>
      <c r="Q34" s="68">
        <f>'Accrual - Realloc (Final Alloc)'!AM21</f>
        <v>225300.803317154</v>
      </c>
      <c r="R34" s="68">
        <f>'Accrual - Realloc (Final Alloc)'!AN21</f>
        <v>234348.31601217142</v>
      </c>
      <c r="S34" s="68">
        <f t="shared" si="2"/>
        <v>221122.97399389479</v>
      </c>
      <c r="T34" s="68">
        <f t="shared" si="3"/>
        <v>18426.914499491231</v>
      </c>
      <c r="U34" s="37"/>
      <c r="V34" s="37"/>
      <c r="W34" s="37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</row>
    <row r="35" spans="1:73" s="18" customFormat="1" ht="10.199999999999999">
      <c r="A35" s="45" t="str">
        <f>'Accrual - Realloc (Final Alloc)'!A18</f>
        <v>Ft. Lauderdale GT Units 1 &amp; 2</v>
      </c>
      <c r="B35" s="47"/>
      <c r="C35" s="70">
        <f>'Accrual - Realloc (Final Alloc)'!I18</f>
        <v>281334.80215322704</v>
      </c>
      <c r="D35" s="47"/>
      <c r="E35" s="48">
        <f>'Accrual - Realloc (Final Alloc)'!Z18</f>
        <v>2056</v>
      </c>
      <c r="F35" s="48">
        <f>'Accrual - Realloc (Final Alloc)'!AA18</f>
        <v>39</v>
      </c>
      <c r="G35" s="46"/>
      <c r="H35" s="76">
        <f>'Accrual - Realloc (Final Alloc)'!AD18</f>
        <v>425974.82104859874</v>
      </c>
      <c r="I35" s="77">
        <f>'Accrual - Realloc (Final Alloc)'!AE18</f>
        <v>1032975.4763249673</v>
      </c>
      <c r="J35" s="78">
        <f>SUM(H35:I35)</f>
        <v>1458950.2973735661</v>
      </c>
      <c r="K35" s="35"/>
      <c r="L35" s="81">
        <f>'Accrual - Realloc (Final Alloc)'!X18</f>
        <v>0</v>
      </c>
      <c r="M35" s="78">
        <f>J35-L35</f>
        <v>1458950.2973735661</v>
      </c>
      <c r="N35" s="35"/>
      <c r="O35" s="68">
        <f>'Accrual - Realloc (Final Alloc)'!AK18</f>
        <v>37408.981983937592</v>
      </c>
      <c r="P35" s="68">
        <f>'Accrual - Realloc (Final Alloc)'!AL18</f>
        <v>37408.981983937592</v>
      </c>
      <c r="Q35" s="68">
        <f>'Accrual - Realloc (Final Alloc)'!AM18</f>
        <v>37408.981983937592</v>
      </c>
      <c r="R35" s="68">
        <f>'Accrual - Realloc (Final Alloc)'!AN18</f>
        <v>37408.981983937592</v>
      </c>
      <c r="S35" s="68">
        <f>SUM(O35:R35)/4</f>
        <v>37408.981983937592</v>
      </c>
      <c r="T35" s="68">
        <f>S35/12</f>
        <v>3117.4151653281328</v>
      </c>
      <c r="U35" s="37"/>
      <c r="V35" s="37"/>
      <c r="W35" s="37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</row>
    <row r="36" spans="1:73" s="18" customFormat="1" ht="10.199999999999999">
      <c r="A36" s="45"/>
      <c r="B36" s="47"/>
      <c r="C36" s="146"/>
      <c r="D36" s="47"/>
      <c r="E36" s="181"/>
      <c r="F36" s="181"/>
      <c r="G36" s="172"/>
      <c r="H36" s="76"/>
      <c r="I36" s="77"/>
      <c r="J36" s="78"/>
      <c r="K36" s="176"/>
      <c r="L36" s="81"/>
      <c r="M36" s="78"/>
      <c r="N36" s="176"/>
      <c r="O36" s="189"/>
      <c r="P36" s="189"/>
      <c r="Q36" s="189"/>
      <c r="R36" s="189"/>
      <c r="S36" s="189"/>
      <c r="T36" s="189"/>
      <c r="U36" s="37"/>
      <c r="V36" s="37"/>
      <c r="W36" s="37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</row>
    <row r="37" spans="1:73" s="18" customFormat="1" ht="10.199999999999999">
      <c r="A37" s="201" t="s">
        <v>145</v>
      </c>
      <c r="B37" s="47"/>
      <c r="C37" s="146"/>
      <c r="D37" s="47"/>
      <c r="E37" s="181"/>
      <c r="F37" s="181"/>
      <c r="G37" s="172"/>
      <c r="H37" s="76"/>
      <c r="I37" s="77"/>
      <c r="J37" s="78"/>
      <c r="K37" s="176"/>
      <c r="L37" s="81"/>
      <c r="M37" s="78"/>
      <c r="N37" s="176"/>
      <c r="O37" s="189"/>
      <c r="P37" s="189"/>
      <c r="Q37" s="189"/>
      <c r="R37" s="189"/>
      <c r="S37" s="189"/>
      <c r="T37" s="189"/>
      <c r="U37" s="37"/>
      <c r="V37" s="37"/>
      <c r="W37" s="37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</row>
    <row r="38" spans="1:73" s="16" customFormat="1" ht="10.199999999999999">
      <c r="A38" s="45" t="str">
        <f>'Accrual - Realloc (Final Alloc)'!A27</f>
        <v>Manatee Common</v>
      </c>
      <c r="B38" s="47"/>
      <c r="C38" s="70">
        <f>'Accrual - Realloc (Final Alloc)'!I27</f>
        <v>31234151.473281819</v>
      </c>
      <c r="D38" s="47"/>
      <c r="E38" s="48">
        <f>'Accrual - Realloc (Final Alloc)'!Z27</f>
        <v>2028</v>
      </c>
      <c r="F38" s="48">
        <f>'Accrual - Realloc (Final Alloc)'!AA27</f>
        <v>11</v>
      </c>
      <c r="G38" s="46"/>
      <c r="H38" s="76">
        <f>'Accrual - Realloc (Final Alloc)'!AD27</f>
        <v>14981184.263642834</v>
      </c>
      <c r="I38" s="77">
        <f>'Accrual - Realloc (Final Alloc)'!AE27</f>
        <v>35949955.99670276</v>
      </c>
      <c r="J38" s="78">
        <f t="shared" si="0"/>
        <v>50931140.260345593</v>
      </c>
      <c r="K38" s="35"/>
      <c r="L38" s="81">
        <f>'Accrual - Realloc (Final Alloc)'!X27</f>
        <v>23226651.920000002</v>
      </c>
      <c r="M38" s="78">
        <f t="shared" si="1"/>
        <v>27704488.340345591</v>
      </c>
      <c r="N38" s="35"/>
      <c r="O38" s="68">
        <f>'Accrual - Realloc (Final Alloc)'!AK27</f>
        <v>1974543.2429247971</v>
      </c>
      <c r="P38" s="68">
        <f>'Accrual - Realloc (Final Alloc)'!AL27</f>
        <v>2068555.9085533442</v>
      </c>
      <c r="Q38" s="68">
        <f>'Accrual - Realloc (Final Alloc)'!AM27</f>
        <v>2167044.7391533372</v>
      </c>
      <c r="R38" s="68">
        <f>'Accrual - Realloc (Final Alloc)'!AN27</f>
        <v>2270222.8555071475</v>
      </c>
      <c r="S38" s="68">
        <f t="shared" si="2"/>
        <v>2120091.6865346562</v>
      </c>
      <c r="T38" s="68">
        <f t="shared" si="3"/>
        <v>176674.30721122134</v>
      </c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</row>
    <row r="39" spans="1:73" s="16" customFormat="1" ht="10.199999999999999">
      <c r="A39" s="45" t="str">
        <f>'Accrual - Realloc (Final Alloc)'!A29</f>
        <v>Manatee Unit 1</v>
      </c>
      <c r="B39" s="47"/>
      <c r="C39" s="70">
        <f>'Accrual - Realloc (Final Alloc)'!I29</f>
        <v>10574636.760127444</v>
      </c>
      <c r="D39" s="47"/>
      <c r="E39" s="48">
        <f>'Accrual - Realloc (Final Alloc)'!Z29</f>
        <v>2028</v>
      </c>
      <c r="F39" s="48">
        <f>'Accrual - Realloc (Final Alloc)'!AA29</f>
        <v>11</v>
      </c>
      <c r="G39" s="46"/>
      <c r="H39" s="76">
        <f>'Accrual - Realloc (Final Alloc)'!AD29</f>
        <v>5300607.1393908747</v>
      </c>
      <c r="I39" s="77">
        <f>'Accrual - Realloc (Final Alloc)'!AE29</f>
        <v>12739399.712604117</v>
      </c>
      <c r="J39" s="78">
        <f t="shared" si="0"/>
        <v>18040006.851994991</v>
      </c>
      <c r="K39" s="35"/>
      <c r="L39" s="81">
        <f>'Accrual - Realloc (Final Alloc)'!X29</f>
        <v>14223851.556380671</v>
      </c>
      <c r="M39" s="78">
        <f t="shared" si="1"/>
        <v>3816155.2956143208</v>
      </c>
      <c r="N39" s="35"/>
      <c r="O39" s="68">
        <f>'Accrual - Realloc (Final Alloc)'!AK29</f>
        <v>264345.17665619432</v>
      </c>
      <c r="P39" s="68">
        <f>'Accrual - Realloc (Final Alloc)'!AL29</f>
        <v>278372.25219637196</v>
      </c>
      <c r="Q39" s="68">
        <f>'Accrual - Realloc (Final Alloc)'!AM29</f>
        <v>293143.65320788493</v>
      </c>
      <c r="R39" s="68">
        <f>'Accrual - Realloc (Final Alloc)'!AN29</f>
        <v>308698.87619203114</v>
      </c>
      <c r="S39" s="68">
        <f t="shared" si="2"/>
        <v>286139.98956312059</v>
      </c>
      <c r="T39" s="68">
        <f t="shared" si="3"/>
        <v>23844.99913026005</v>
      </c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</row>
    <row r="40" spans="1:73" s="16" customFormat="1" ht="10.199999999999999">
      <c r="A40" s="45" t="str">
        <f>'Accrual - Realloc (Final Alloc)'!A30</f>
        <v>Manatee Unit 2</v>
      </c>
      <c r="B40" s="47"/>
      <c r="C40" s="70">
        <f>'Accrual - Realloc (Final Alloc)'!I30</f>
        <v>10574636.760127444</v>
      </c>
      <c r="D40" s="47"/>
      <c r="E40" s="48">
        <f>'Accrual - Realloc (Final Alloc)'!Z30</f>
        <v>2028</v>
      </c>
      <c r="F40" s="48">
        <f>'Accrual - Realloc (Final Alloc)'!AA30</f>
        <v>11</v>
      </c>
      <c r="G40" s="46"/>
      <c r="H40" s="76">
        <f>'Accrual - Realloc (Final Alloc)'!AD30</f>
        <v>5300607.1393908747</v>
      </c>
      <c r="I40" s="77">
        <f>'Accrual - Realloc (Final Alloc)'!AE30</f>
        <v>12739399.712604117</v>
      </c>
      <c r="J40" s="78">
        <f t="shared" si="0"/>
        <v>18040006.851994991</v>
      </c>
      <c r="K40" s="35"/>
      <c r="L40" s="81">
        <f>'Accrual - Realloc (Final Alloc)'!X30</f>
        <v>14149024.98195686</v>
      </c>
      <c r="M40" s="78">
        <f t="shared" si="1"/>
        <v>3890981.8700381313</v>
      </c>
      <c r="N40" s="35"/>
      <c r="O40" s="68">
        <f>'Accrual - Realloc (Final Alloc)'!AK30</f>
        <v>269528.41541415895</v>
      </c>
      <c r="P40" s="68">
        <f>'Accrual - Realloc (Final Alloc)'!AL30</f>
        <v>283830.53165120282</v>
      </c>
      <c r="Q40" s="68">
        <f>'Accrual - Realloc (Final Alloc)'!AM30</f>
        <v>298891.56797666702</v>
      </c>
      <c r="R40" s="68">
        <f>'Accrual - Realloc (Final Alloc)'!AN30</f>
        <v>314751.79533305141</v>
      </c>
      <c r="S40" s="68">
        <f t="shared" si="2"/>
        <v>291750.57759377005</v>
      </c>
      <c r="T40" s="68">
        <f t="shared" si="3"/>
        <v>24312.548132814172</v>
      </c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</row>
    <row r="41" spans="1:73" s="16" customFormat="1" ht="10.199999999999999">
      <c r="A41" s="45" t="str">
        <f>'Accrual - Realloc (Final Alloc)'!A31</f>
        <v>Manatee Unit 3</v>
      </c>
      <c r="B41" s="47"/>
      <c r="C41" s="70">
        <f>'Accrual - Realloc (Final Alloc)'!I31</f>
        <v>6732122.3945522783</v>
      </c>
      <c r="D41" s="47"/>
      <c r="E41" s="48">
        <f>'Accrual - Realloc (Final Alloc)'!Z31</f>
        <v>2045</v>
      </c>
      <c r="F41" s="48">
        <f>'Accrual - Realloc (Final Alloc)'!AA31</f>
        <v>28</v>
      </c>
      <c r="G41" s="46"/>
      <c r="H41" s="76">
        <f>'Accrual - Realloc (Final Alloc)'!AD31</f>
        <v>6136191.1437377688</v>
      </c>
      <c r="I41" s="77">
        <f>'Accrual - Realloc (Final Alloc)'!AE31</f>
        <v>14834995.2546403</v>
      </c>
      <c r="J41" s="78">
        <f t="shared" si="0"/>
        <v>20971186.398378067</v>
      </c>
      <c r="K41" s="35"/>
      <c r="L41" s="81">
        <f>'Accrual - Realloc (Final Alloc)'!X31</f>
        <v>0</v>
      </c>
      <c r="M41" s="78">
        <f t="shared" si="1"/>
        <v>20971186.398378067</v>
      </c>
      <c r="N41" s="35"/>
      <c r="O41" s="68">
        <f>'Accrual - Realloc (Final Alloc)'!AK31</f>
        <v>401089.16382500407</v>
      </c>
      <c r="P41" s="68">
        <f>'Accrual - Realloc (Final Alloc)'!AL31</f>
        <v>418309.59495300468</v>
      </c>
      <c r="Q41" s="68">
        <f>'Accrual - Realloc (Final Alloc)'!AM31</f>
        <v>436269.37103215337</v>
      </c>
      <c r="R41" s="68">
        <f>'Accrual - Realloc (Final Alloc)'!AN31</f>
        <v>455000.23522571503</v>
      </c>
      <c r="S41" s="68">
        <f t="shared" si="2"/>
        <v>427667.09125896927</v>
      </c>
      <c r="T41" s="68">
        <f t="shared" si="3"/>
        <v>35638.92427158077</v>
      </c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</row>
    <row r="42" spans="1:73" s="16" customFormat="1" ht="10.199999999999999">
      <c r="A42" s="45"/>
      <c r="B42" s="47"/>
      <c r="C42" s="146"/>
      <c r="D42" s="47"/>
      <c r="E42" s="181"/>
      <c r="F42" s="181"/>
      <c r="G42" s="172"/>
      <c r="H42" s="76"/>
      <c r="I42" s="77"/>
      <c r="J42" s="78"/>
      <c r="K42" s="176"/>
      <c r="L42" s="81"/>
      <c r="M42" s="78"/>
      <c r="N42" s="176"/>
      <c r="O42" s="189"/>
      <c r="P42" s="189"/>
      <c r="Q42" s="189"/>
      <c r="R42" s="189"/>
      <c r="S42" s="189"/>
      <c r="T42" s="189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</row>
    <row r="43" spans="1:73" s="16" customFormat="1" ht="10.199999999999999">
      <c r="A43" s="45" t="str">
        <f>'Accrual - Realloc (Final Alloc)'!A28</f>
        <v>Manatee Solar **</v>
      </c>
      <c r="B43" s="47"/>
      <c r="C43" s="70">
        <f>'Accrual - Realloc (Final Alloc)'!I28</f>
        <v>6601100.6268067798</v>
      </c>
      <c r="D43" s="47"/>
      <c r="E43" s="48">
        <f>'Accrual - Realloc (Final Alloc)'!Z28</f>
        <v>2046</v>
      </c>
      <c r="F43" s="48">
        <f>'Accrual - Realloc (Final Alloc)'!AA28</f>
        <v>29</v>
      </c>
      <c r="G43" s="46"/>
      <c r="H43" s="76">
        <f>'Accrual - Realloc (Final Alloc)'!AD28</f>
        <v>5262956.5568511561</v>
      </c>
      <c r="I43" s="77">
        <f>'Accrual - Realloc (Final Alloc)'!AE28</f>
        <v>12665742.812650926</v>
      </c>
      <c r="J43" s="78">
        <f>SUM(H43:I43)</f>
        <v>17928699.369502082</v>
      </c>
      <c r="K43" s="35"/>
      <c r="L43" s="81">
        <f>'Accrual - Realloc (Final Alloc)'!X28</f>
        <v>0</v>
      </c>
      <c r="M43" s="78">
        <f>J43-L43</f>
        <v>17928699.369502082</v>
      </c>
      <c r="N43" s="35"/>
      <c r="O43" s="68">
        <f>'Accrual - Realloc (Final Alloc)'!AK28</f>
        <v>360396.34686982463</v>
      </c>
      <c r="P43" s="68">
        <f>'Accrual - Realloc (Final Alloc)'!AL28</f>
        <v>373395.98038484406</v>
      </c>
      <c r="Q43" s="68">
        <f>'Accrual - Realloc (Final Alloc)'!AM28</f>
        <v>386864.51563261566</v>
      </c>
      <c r="R43" s="68">
        <f>'Accrual - Realloc (Final Alloc)'!AN28</f>
        <v>400818.86607725546</v>
      </c>
      <c r="S43" s="68">
        <f>SUM(O43:R43)/4</f>
        <v>380368.92724113492</v>
      </c>
      <c r="T43" s="68">
        <f>S43/12</f>
        <v>31697.41060342791</v>
      </c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</row>
    <row r="44" spans="1:73" s="16" customFormat="1" ht="10.199999999999999">
      <c r="A44" s="45"/>
      <c r="B44" s="47"/>
      <c r="C44" s="146"/>
      <c r="D44" s="47"/>
      <c r="E44" s="181"/>
      <c r="F44" s="181"/>
      <c r="G44" s="172"/>
      <c r="H44" s="76"/>
      <c r="I44" s="77"/>
      <c r="J44" s="78"/>
      <c r="K44" s="176"/>
      <c r="L44" s="81"/>
      <c r="M44" s="78"/>
      <c r="N44" s="176"/>
      <c r="O44" s="189"/>
      <c r="P44" s="189"/>
      <c r="Q44" s="189"/>
      <c r="R44" s="189"/>
      <c r="S44" s="189"/>
      <c r="T44" s="189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</row>
    <row r="45" spans="1:73" s="16" customFormat="1" ht="10.199999999999999">
      <c r="A45" s="201" t="s">
        <v>146</v>
      </c>
      <c r="B45" s="47"/>
      <c r="C45" s="146"/>
      <c r="D45" s="47"/>
      <c r="E45" s="181"/>
      <c r="F45" s="181"/>
      <c r="G45" s="172"/>
      <c r="H45" s="76"/>
      <c r="I45" s="77"/>
      <c r="J45" s="78"/>
      <c r="K45" s="176"/>
      <c r="L45" s="81"/>
      <c r="M45" s="78"/>
      <c r="N45" s="176"/>
      <c r="O45" s="189"/>
      <c r="P45" s="189"/>
      <c r="Q45" s="189"/>
      <c r="R45" s="189"/>
      <c r="S45" s="189"/>
      <c r="T45" s="189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</row>
    <row r="46" spans="1:73" s="16" customFormat="1" ht="10.199999999999999">
      <c r="A46" s="45" t="str">
        <f>'Accrual - Realloc (Final Alloc)'!A32</f>
        <v>Martin Common</v>
      </c>
      <c r="B46" s="47"/>
      <c r="C46" s="70">
        <f>'Accrual - Realloc (Final Alloc)'!I32</f>
        <v>46459059.085663773</v>
      </c>
      <c r="D46" s="47"/>
      <c r="E46" s="48">
        <f>'Accrual - Realloc (Final Alloc)'!Z32</f>
        <v>2031</v>
      </c>
      <c r="F46" s="48">
        <f>'Accrual - Realloc (Final Alloc)'!AA32</f>
        <v>14</v>
      </c>
      <c r="G46" s="46"/>
      <c r="H46" s="76">
        <f>'Accrual - Realloc (Final Alloc)'!AD32</f>
        <v>23576572.547376882</v>
      </c>
      <c r="I46" s="77">
        <f>'Accrual - Realloc (Final Alloc)'!AE32</f>
        <v>56519729.046685778</v>
      </c>
      <c r="J46" s="78">
        <f t="shared" si="0"/>
        <v>80096301.594062656</v>
      </c>
      <c r="K46" s="35"/>
      <c r="L46" s="81">
        <f>'Accrual - Realloc (Final Alloc)'!X32</f>
        <v>38788132.740000002</v>
      </c>
      <c r="M46" s="78">
        <f t="shared" si="1"/>
        <v>41308168.854062654</v>
      </c>
      <c r="N46" s="35"/>
      <c r="O46" s="68">
        <f>'Accrual - Realloc (Final Alloc)'!AK32</f>
        <v>2238724.8658179515</v>
      </c>
      <c r="P46" s="68">
        <f>'Accrual - Realloc (Final Alloc)'!AL32</f>
        <v>2331109.3476116275</v>
      </c>
      <c r="Q46" s="68">
        <f>'Accrual - Realloc (Final Alloc)'!AM32</f>
        <v>2427306.21948798</v>
      </c>
      <c r="R46" s="68">
        <f>'Accrual - Realloc (Final Alloc)'!AN32</f>
        <v>2527472.8056843737</v>
      </c>
      <c r="S46" s="68">
        <f t="shared" si="2"/>
        <v>2381153.3096504835</v>
      </c>
      <c r="T46" s="68">
        <f t="shared" si="3"/>
        <v>198429.44247087362</v>
      </c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</row>
    <row r="47" spans="1:73" s="16" customFormat="1" ht="10.199999999999999">
      <c r="A47" s="45" t="str">
        <f>'Accrual - Realloc (Final Alloc)'!A34</f>
        <v>Martin Unit 1</v>
      </c>
      <c r="B47" s="47"/>
      <c r="C47" s="70">
        <f>'Accrual - Realloc (Final Alloc)'!I34</f>
        <v>10112773.683620989</v>
      </c>
      <c r="D47" s="47"/>
      <c r="E47" s="48">
        <f>'Accrual - Realloc (Final Alloc)'!Z34</f>
        <v>2031</v>
      </c>
      <c r="F47" s="48">
        <f>'Accrual - Realloc (Final Alloc)'!AA34</f>
        <v>14</v>
      </c>
      <c r="G47" s="46"/>
      <c r="H47" s="76">
        <f>'Accrual - Realloc (Final Alloc)'!AD34</f>
        <v>5638034.9193946775</v>
      </c>
      <c r="I47" s="77">
        <f>'Accrual - Realloc (Final Alloc)'!AE34</f>
        <v>13572452.413613547</v>
      </c>
      <c r="J47" s="78">
        <f t="shared" si="0"/>
        <v>19210487.333008222</v>
      </c>
      <c r="K47" s="35"/>
      <c r="L47" s="81">
        <f>'Accrual - Realloc (Final Alloc)'!X34</f>
        <v>13937020.221986357</v>
      </c>
      <c r="M47" s="78">
        <f t="shared" si="1"/>
        <v>5273467.1110218652</v>
      </c>
      <c r="N47" s="35"/>
      <c r="O47" s="68">
        <f>'Accrual - Realloc (Final Alloc)'!AK34</f>
        <v>269540.67722561152</v>
      </c>
      <c r="P47" s="68">
        <f>'Accrual - Realloc (Final Alloc)'!AL34</f>
        <v>282950.28421495814</v>
      </c>
      <c r="Q47" s="68">
        <f>'Accrual - Realloc (Final Alloc)'!AM34</f>
        <v>297027.01707732544</v>
      </c>
      <c r="R47" s="68">
        <f>'Accrual - Realloc (Final Alloc)'!AN34</f>
        <v>311804.06522168027</v>
      </c>
      <c r="S47" s="68">
        <f t="shared" si="2"/>
        <v>290330.51093489386</v>
      </c>
      <c r="T47" s="68">
        <f t="shared" si="3"/>
        <v>24194.209244574489</v>
      </c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</row>
    <row r="48" spans="1:73" s="16" customFormat="1" ht="10.199999999999999">
      <c r="A48" s="45" t="str">
        <f>'Accrual - Realloc (Final Alloc)'!A35</f>
        <v>Martin Unit 2</v>
      </c>
      <c r="B48" s="47"/>
      <c r="C48" s="70">
        <f>'Accrual - Realloc (Final Alloc)'!I35</f>
        <v>10112773.683620989</v>
      </c>
      <c r="D48" s="47"/>
      <c r="E48" s="48">
        <f>'Accrual - Realloc (Final Alloc)'!Z35</f>
        <v>2031</v>
      </c>
      <c r="F48" s="48">
        <f>'Accrual - Realloc (Final Alloc)'!AA35</f>
        <v>14</v>
      </c>
      <c r="G48" s="46"/>
      <c r="H48" s="76">
        <f>'Accrual - Realloc (Final Alloc)'!AD35</f>
        <v>5638034.9193946775</v>
      </c>
      <c r="I48" s="77">
        <f>'Accrual - Realloc (Final Alloc)'!AE35</f>
        <v>13572452.413613547</v>
      </c>
      <c r="J48" s="78">
        <f t="shared" si="0"/>
        <v>19210487.333008222</v>
      </c>
      <c r="K48" s="35"/>
      <c r="L48" s="81">
        <f>'Accrual - Realloc (Final Alloc)'!X35</f>
        <v>13831550.87976592</v>
      </c>
      <c r="M48" s="78">
        <f t="shared" si="1"/>
        <v>5378936.4532423019</v>
      </c>
      <c r="N48" s="35"/>
      <c r="O48" s="68">
        <f>'Accrual - Realloc (Final Alloc)'!AK35</f>
        <v>274931.49077012372</v>
      </c>
      <c r="P48" s="68">
        <f>'Accrual - Realloc (Final Alloc)'!AL35</f>
        <v>288609.28989925724</v>
      </c>
      <c r="Q48" s="68">
        <f>'Accrual - Realloc (Final Alloc)'!AM35</f>
        <v>302967.5574188719</v>
      </c>
      <c r="R48" s="68">
        <f>'Accrual - Realloc (Final Alloc)'!AN35</f>
        <v>318040.14652611385</v>
      </c>
      <c r="S48" s="68">
        <f t="shared" si="2"/>
        <v>296137.12115359167</v>
      </c>
      <c r="T48" s="68">
        <f t="shared" si="3"/>
        <v>24678.093429465971</v>
      </c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</row>
    <row r="49" spans="1:73" s="16" customFormat="1" ht="10.199999999999999">
      <c r="A49" s="45" t="str">
        <f>'Accrual - Realloc (Final Alloc)'!A36</f>
        <v>Martin Unit 3</v>
      </c>
      <c r="B49" s="47"/>
      <c r="C49" s="70">
        <f>'Accrual - Realloc (Final Alloc)'!I36</f>
        <v>2857402.2123054862</v>
      </c>
      <c r="D49" s="47"/>
      <c r="E49" s="48">
        <f>'Accrual - Realloc (Final Alloc)'!Z36</f>
        <v>2034</v>
      </c>
      <c r="F49" s="48">
        <f>'Accrual - Realloc (Final Alloc)'!AA36</f>
        <v>17</v>
      </c>
      <c r="G49" s="46"/>
      <c r="H49" s="76">
        <f>'Accrual - Realloc (Final Alloc)'!AD36</f>
        <v>1821139.4141795877</v>
      </c>
      <c r="I49" s="77">
        <f>'Accrual - Realloc (Final Alloc)'!AE36</f>
        <v>4396871.517584132</v>
      </c>
      <c r="J49" s="78">
        <f t="shared" si="0"/>
        <v>6218010.9317637198</v>
      </c>
      <c r="K49" s="35"/>
      <c r="L49" s="81">
        <f>'Accrual - Realloc (Final Alloc)'!X36</f>
        <v>3575356.2857641401</v>
      </c>
      <c r="M49" s="78">
        <f t="shared" si="1"/>
        <v>2642654.6459995797</v>
      </c>
      <c r="N49" s="35"/>
      <c r="O49" s="68">
        <f>'Accrual - Realloc (Final Alloc)'!AK36</f>
        <v>102655.96540722404</v>
      </c>
      <c r="P49" s="68">
        <f>'Accrual - Realloc (Final Alloc)'!AL36</f>
        <v>107744.23586583845</v>
      </c>
      <c r="Q49" s="68">
        <f>'Accrual - Realloc (Final Alloc)'!AM36</f>
        <v>113084.71277107585</v>
      </c>
      <c r="R49" s="68">
        <f>'Accrual - Realloc (Final Alloc)'!AN36</f>
        <v>118689.89704878826</v>
      </c>
      <c r="S49" s="68">
        <f t="shared" si="2"/>
        <v>110543.70277323165</v>
      </c>
      <c r="T49" s="68">
        <f t="shared" si="3"/>
        <v>9211.9752311026368</v>
      </c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</row>
    <row r="50" spans="1:73" s="16" customFormat="1" ht="10.199999999999999">
      <c r="A50" s="45" t="str">
        <f>'Accrual - Realloc (Final Alloc)'!A37</f>
        <v>Martin Unit 4</v>
      </c>
      <c r="B50" s="47"/>
      <c r="C50" s="70">
        <f>'Accrual - Realloc (Final Alloc)'!I37</f>
        <v>2864092.1866850727</v>
      </c>
      <c r="D50" s="47"/>
      <c r="E50" s="48">
        <f>'Accrual - Realloc (Final Alloc)'!Z37</f>
        <v>2034</v>
      </c>
      <c r="F50" s="48">
        <f>'Accrual - Realloc (Final Alloc)'!AA37</f>
        <v>17</v>
      </c>
      <c r="G50" s="46"/>
      <c r="H50" s="76">
        <f>'Accrual - Realloc (Final Alloc)'!AD37</f>
        <v>1816341.4332706744</v>
      </c>
      <c r="I50" s="77">
        <f>'Accrual - Realloc (Final Alloc)'!AE37</f>
        <v>4384418.3074307367</v>
      </c>
      <c r="J50" s="78">
        <f t="shared" si="0"/>
        <v>6200759.7407014109</v>
      </c>
      <c r="K50" s="35"/>
      <c r="L50" s="81">
        <f>'Accrual - Realloc (Final Alloc)'!X37</f>
        <v>3565436.8509033108</v>
      </c>
      <c r="M50" s="78">
        <f t="shared" si="1"/>
        <v>2635322.8897981001</v>
      </c>
      <c r="N50" s="35"/>
      <c r="O50" s="68">
        <f>'Accrual - Realloc (Final Alloc)'!AK37</f>
        <v>102705.2667678173</v>
      </c>
      <c r="P50" s="68">
        <f>'Accrual - Realloc (Final Alloc)'!AL37</f>
        <v>107757.57548551339</v>
      </c>
      <c r="Q50" s="68">
        <f>'Accrual - Realloc (Final Alloc)'!AM37</f>
        <v>113058.41891016479</v>
      </c>
      <c r="R50" s="68">
        <f>'Accrual - Realloc (Final Alloc)'!AN37</f>
        <v>118620.02303666076</v>
      </c>
      <c r="S50" s="68">
        <f t="shared" si="2"/>
        <v>110535.32105003906</v>
      </c>
      <c r="T50" s="68">
        <f t="shared" si="3"/>
        <v>9211.2767541699213</v>
      </c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</row>
    <row r="51" spans="1:73" s="16" customFormat="1" ht="10.199999999999999">
      <c r="A51" s="45" t="str">
        <f>'Accrual - Realloc (Final Alloc)'!A38</f>
        <v>Martin Unit 8</v>
      </c>
      <c r="B51" s="47"/>
      <c r="C51" s="70">
        <f>'Accrual - Realloc (Final Alloc)'!I38</f>
        <v>6668320.8305801451</v>
      </c>
      <c r="D51" s="47"/>
      <c r="E51" s="48">
        <f>'Accrual - Realloc (Final Alloc)'!Z38</f>
        <v>2045</v>
      </c>
      <c r="F51" s="48">
        <f>'Accrual - Realloc (Final Alloc)'!AA38</f>
        <v>28</v>
      </c>
      <c r="G51" s="46"/>
      <c r="H51" s="76">
        <f>'Accrual - Realloc (Final Alloc)'!AD38</f>
        <v>6142075.4865111411</v>
      </c>
      <c r="I51" s="77">
        <f>'Accrual - Realloc (Final Alloc)'!AE38</f>
        <v>14853649.887492266</v>
      </c>
      <c r="J51" s="78">
        <f t="shared" si="0"/>
        <v>20995725.374003407</v>
      </c>
      <c r="K51" s="35"/>
      <c r="L51" s="81">
        <f>'Accrual - Realloc (Final Alloc)'!X38</f>
        <v>0</v>
      </c>
      <c r="M51" s="78">
        <f t="shared" si="1"/>
        <v>20995725.374003407</v>
      </c>
      <c r="N51" s="35"/>
      <c r="O51" s="68">
        <f>'Accrual - Realloc (Final Alloc)'!AK38</f>
        <v>398738.37261918659</v>
      </c>
      <c r="P51" s="68">
        <f>'Accrual - Realloc (Final Alloc)'!AL38</f>
        <v>416038.88776229369</v>
      </c>
      <c r="Q51" s="68">
        <f>'Accrual - Realloc (Final Alloc)'!AM38</f>
        <v>434090.04002680653</v>
      </c>
      <c r="R51" s="68">
        <f>'Accrual - Realloc (Final Alloc)'!AN38</f>
        <v>452924.39815899491</v>
      </c>
      <c r="S51" s="68">
        <f t="shared" si="2"/>
        <v>425447.92464182043</v>
      </c>
      <c r="T51" s="68">
        <f t="shared" si="3"/>
        <v>35453.993720151702</v>
      </c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</row>
    <row r="52" spans="1:73" s="16" customFormat="1" ht="10.199999999999999">
      <c r="A52" s="45"/>
      <c r="B52" s="47"/>
      <c r="C52" s="146"/>
      <c r="D52" s="47"/>
      <c r="E52" s="181"/>
      <c r="F52" s="181"/>
      <c r="G52" s="172"/>
      <c r="H52" s="76"/>
      <c r="I52" s="77"/>
      <c r="J52" s="78"/>
      <c r="K52" s="176"/>
      <c r="L52" s="81"/>
      <c r="M52" s="78"/>
      <c r="N52" s="176"/>
      <c r="O52" s="189"/>
      <c r="P52" s="189"/>
      <c r="Q52" s="189"/>
      <c r="R52" s="189"/>
      <c r="S52" s="189"/>
      <c r="T52" s="189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</row>
    <row r="53" spans="1:73" s="16" customFormat="1" ht="10.199999999999999">
      <c r="A53" s="45" t="str">
        <f>'Accrual - Realloc (Final Alloc)'!A33</f>
        <v>Martin Solar</v>
      </c>
      <c r="B53" s="47"/>
      <c r="C53" s="70">
        <f>'Accrual - Realloc (Final Alloc)'!I33</f>
        <v>10856697.028779307</v>
      </c>
      <c r="D53" s="47"/>
      <c r="E53" s="48">
        <f>'Accrual - Realloc (Final Alloc)'!Z33</f>
        <v>2045</v>
      </c>
      <c r="F53" s="48">
        <f>'Accrual - Realloc (Final Alloc)'!AA33</f>
        <v>28</v>
      </c>
      <c r="G53" s="46"/>
      <c r="H53" s="76">
        <f>'Accrual - Realloc (Final Alloc)'!AD33</f>
        <v>8418601.0449941121</v>
      </c>
      <c r="I53" s="77">
        <f>'Accrual - Realloc (Final Alloc)'!AE33</f>
        <v>20254287.8609953</v>
      </c>
      <c r="J53" s="78">
        <f>SUM(H53:I53)</f>
        <v>28672888.905989412</v>
      </c>
      <c r="K53" s="35"/>
      <c r="L53" s="81">
        <f>'Accrual - Realloc (Final Alloc)'!X33</f>
        <v>2105831</v>
      </c>
      <c r="M53" s="78">
        <f>J53-L53</f>
        <v>26567057.905989412</v>
      </c>
      <c r="N53" s="35"/>
      <c r="O53" s="68">
        <f>'Accrual - Realloc (Final Alloc)'!AK33</f>
        <v>563305.05647875054</v>
      </c>
      <c r="P53" s="68">
        <f>'Accrual - Realloc (Final Alloc)'!AL33</f>
        <v>583712.22936823091</v>
      </c>
      <c r="Q53" s="68">
        <f>'Accrual - Realloc (Final Alloc)'!AM33</f>
        <v>604858.70452484232</v>
      </c>
      <c r="R53" s="68">
        <f>'Accrual - Realloc (Final Alloc)'!AN33</f>
        <v>626771.26507259451</v>
      </c>
      <c r="S53" s="68">
        <f>SUM(O53:R53)/4</f>
        <v>594661.81386110454</v>
      </c>
      <c r="T53" s="68">
        <f>S53/12</f>
        <v>49555.151155092048</v>
      </c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</row>
    <row r="54" spans="1:73" s="16" customFormat="1" ht="10.199999999999999">
      <c r="A54" s="45"/>
      <c r="B54" s="47"/>
      <c r="C54" s="146"/>
      <c r="D54" s="47"/>
      <c r="E54" s="181"/>
      <c r="F54" s="181"/>
      <c r="G54" s="172"/>
      <c r="H54" s="76"/>
      <c r="I54" s="77"/>
      <c r="J54" s="78"/>
      <c r="K54" s="176"/>
      <c r="L54" s="81"/>
      <c r="M54" s="78"/>
      <c r="N54" s="176"/>
      <c r="O54" s="189"/>
      <c r="P54" s="189"/>
      <c r="Q54" s="189"/>
      <c r="R54" s="189"/>
      <c r="S54" s="189"/>
      <c r="T54" s="189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</row>
    <row r="55" spans="1:73" s="16" customFormat="1" ht="10.199999999999999">
      <c r="A55" s="201" t="s">
        <v>147</v>
      </c>
      <c r="B55" s="47"/>
      <c r="C55" s="146"/>
      <c r="D55" s="47"/>
      <c r="E55" s="181"/>
      <c r="F55" s="181"/>
      <c r="G55" s="172"/>
      <c r="H55" s="76"/>
      <c r="I55" s="77"/>
      <c r="J55" s="78"/>
      <c r="K55" s="176"/>
      <c r="L55" s="81"/>
      <c r="M55" s="78"/>
      <c r="N55" s="176"/>
      <c r="O55" s="189"/>
      <c r="P55" s="189"/>
      <c r="Q55" s="189"/>
      <c r="R55" s="189"/>
      <c r="S55" s="189"/>
      <c r="T55" s="189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</row>
    <row r="56" spans="1:73" s="18" customFormat="1" ht="10.199999999999999">
      <c r="A56" s="45" t="str">
        <f>'Accrual - Realloc (Final Alloc)'!A39</f>
        <v>Okeechobee Clean Energy Common **</v>
      </c>
      <c r="B56" s="47"/>
      <c r="C56" s="70">
        <f>'Accrual - Realloc (Final Alloc)'!I39</f>
        <v>5726112.5071814246</v>
      </c>
      <c r="D56" s="47"/>
      <c r="E56" s="48">
        <f>'Accrual - Realloc (Final Alloc)'!Z39</f>
        <v>2059</v>
      </c>
      <c r="F56" s="48">
        <f>'Accrual - Realloc (Final Alloc)'!AA39</f>
        <v>40</v>
      </c>
      <c r="G56" s="46"/>
      <c r="H56" s="76">
        <f>'Accrual - Realloc (Final Alloc)'!AD39</f>
        <v>7350625.6137982234</v>
      </c>
      <c r="I56" s="77">
        <f>'Accrual - Realloc (Final Alloc)'!AE39</f>
        <v>17733615.96253198</v>
      </c>
      <c r="J56" s="78">
        <f t="shared" si="0"/>
        <v>25084241.576330204</v>
      </c>
      <c r="K56" s="35"/>
      <c r="L56" s="81">
        <f>'Accrual - Realloc (Final Alloc)'!X39</f>
        <v>0</v>
      </c>
      <c r="M56" s="78">
        <f t="shared" si="1"/>
        <v>25084241.576330204</v>
      </c>
      <c r="N56" s="35"/>
      <c r="O56" s="68">
        <f>'Accrual - Realloc (Final Alloc)'!AK39</f>
        <v>0</v>
      </c>
      <c r="P56" s="68">
        <f>'Accrual - Realloc (Final Alloc)'!AL39</f>
        <v>0</v>
      </c>
      <c r="Q56" s="68">
        <f>'Accrual - Realloc (Final Alloc)'!AM39</f>
        <v>275078.00271137676</v>
      </c>
      <c r="R56" s="68">
        <f>'Accrual - Realloc (Final Alloc)'!AN39</f>
        <v>285598.87760099472</v>
      </c>
      <c r="S56" s="68">
        <f t="shared" si="2"/>
        <v>140169.22007809288</v>
      </c>
      <c r="T56" s="68">
        <f t="shared" si="3"/>
        <v>11680.768339841074</v>
      </c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</row>
    <row r="57" spans="1:73" s="18" customFormat="1" ht="10.199999999999999">
      <c r="A57" s="45" t="str">
        <f>'Accrual - Realloc (Final Alloc)'!A40</f>
        <v>Okeechobee Clean Energy Unit 1 **</v>
      </c>
      <c r="B57" s="47"/>
      <c r="C57" s="70">
        <f>'Accrual - Realloc (Final Alloc)'!I40</f>
        <v>6641891.0019860631</v>
      </c>
      <c r="D57" s="47"/>
      <c r="E57" s="48">
        <f>'Accrual - Realloc (Final Alloc)'!Z40</f>
        <v>2059</v>
      </c>
      <c r="F57" s="48">
        <f>'Accrual - Realloc (Final Alloc)'!AA40</f>
        <v>40</v>
      </c>
      <c r="G57" s="46"/>
      <c r="H57" s="76">
        <f>'Accrual - Realloc (Final Alloc)'!AD40</f>
        <v>10191598.153258845</v>
      </c>
      <c r="I57" s="77">
        <f>'Accrual - Realloc (Final Alloc)'!AE40</f>
        <v>24677413.96660278</v>
      </c>
      <c r="J57" s="78">
        <f t="shared" si="0"/>
        <v>34869012.119861625</v>
      </c>
      <c r="K57" s="35"/>
      <c r="L57" s="81">
        <f>'Accrual - Realloc (Final Alloc)'!X40</f>
        <v>0</v>
      </c>
      <c r="M57" s="78">
        <f t="shared" si="1"/>
        <v>34869012.119861625</v>
      </c>
      <c r="N57" s="35"/>
      <c r="O57" s="68">
        <f>'Accrual - Realloc (Final Alloc)'!AK40</f>
        <v>0</v>
      </c>
      <c r="P57" s="68">
        <f>'Accrual - Realloc (Final Alloc)'!AL40</f>
        <v>0</v>
      </c>
      <c r="Q57" s="68">
        <f>'Accrual - Realloc (Final Alloc)'!AM40</f>
        <v>338236.01509308489</v>
      </c>
      <c r="R57" s="68">
        <f>'Accrual - Realloc (Final Alloc)'!AN40</f>
        <v>352926.73839912523</v>
      </c>
      <c r="S57" s="68">
        <f t="shared" si="2"/>
        <v>172790.68837305252</v>
      </c>
      <c r="T57" s="68">
        <f t="shared" si="3"/>
        <v>14399.22403108771</v>
      </c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</row>
    <row r="58" spans="1:73" s="18" customFormat="1" ht="10.199999999999999">
      <c r="A58" s="45"/>
      <c r="B58" s="47"/>
      <c r="C58" s="146"/>
      <c r="D58" s="47"/>
      <c r="E58" s="181"/>
      <c r="F58" s="181"/>
      <c r="G58" s="172"/>
      <c r="H58" s="76"/>
      <c r="I58" s="77"/>
      <c r="J58" s="78"/>
      <c r="K58" s="176"/>
      <c r="L58" s="81"/>
      <c r="M58" s="78"/>
      <c r="N58" s="176"/>
      <c r="O58" s="189"/>
      <c r="P58" s="189"/>
      <c r="Q58" s="189"/>
      <c r="R58" s="189"/>
      <c r="S58" s="189"/>
      <c r="T58" s="189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</row>
    <row r="59" spans="1:73" s="18" customFormat="1" ht="10.199999999999999">
      <c r="A59" s="201" t="s">
        <v>148</v>
      </c>
      <c r="B59" s="47"/>
      <c r="C59" s="146"/>
      <c r="D59" s="47"/>
      <c r="E59" s="181"/>
      <c r="F59" s="181"/>
      <c r="G59" s="172"/>
      <c r="H59" s="76"/>
      <c r="I59" s="77"/>
      <c r="J59" s="78"/>
      <c r="K59" s="176"/>
      <c r="L59" s="81"/>
      <c r="M59" s="78"/>
      <c r="N59" s="176"/>
      <c r="O59" s="189"/>
      <c r="P59" s="189"/>
      <c r="Q59" s="189"/>
      <c r="R59" s="189"/>
      <c r="S59" s="189"/>
      <c r="T59" s="189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</row>
    <row r="60" spans="1:73" s="16" customFormat="1" ht="10.199999999999999">
      <c r="A60" s="45" t="str">
        <f>'Accrual - Realloc (Final Alloc)'!A41</f>
        <v>Port Everglades Common ***</v>
      </c>
      <c r="B60" s="47"/>
      <c r="C60" s="70">
        <f>'Accrual - Realloc (Final Alloc)'!I41</f>
        <v>6426571.5554728862</v>
      </c>
      <c r="D60" s="47"/>
      <c r="E60" s="48">
        <f>'Accrual - Realloc (Final Alloc)'!Z41</f>
        <v>2056</v>
      </c>
      <c r="F60" s="48">
        <f>'Accrual - Realloc (Final Alloc)'!AA41</f>
        <v>39</v>
      </c>
      <c r="G60" s="46"/>
      <c r="H60" s="76">
        <f>'Accrual - Realloc (Final Alloc)'!AD41</f>
        <v>7357447.6406149287</v>
      </c>
      <c r="I60" s="77">
        <f>'Accrual - Realloc (Final Alloc)'!AE41</f>
        <v>17740257.105134588</v>
      </c>
      <c r="J60" s="78">
        <f t="shared" si="0"/>
        <v>25097704.745749518</v>
      </c>
      <c r="K60" s="35"/>
      <c r="L60" s="81">
        <f>'Accrual - Realloc (Final Alloc)'!X41</f>
        <v>0</v>
      </c>
      <c r="M60" s="78">
        <f t="shared" si="1"/>
        <v>25097704.745749518</v>
      </c>
      <c r="N60" s="35"/>
      <c r="O60" s="68">
        <f>'Accrual - Realloc (Final Alloc)'!AK41</f>
        <v>302732.14394479542</v>
      </c>
      <c r="P60" s="68">
        <f>'Accrual - Realloc (Final Alloc)'!AL41</f>
        <v>313686.19096898008</v>
      </c>
      <c r="Q60" s="68">
        <f>'Accrual - Realloc (Final Alloc)'!AM41</f>
        <v>325036.59876491659</v>
      </c>
      <c r="R60" s="68">
        <f>'Accrual - Realloc (Final Alloc)'!AN41</f>
        <v>336797.7092339166</v>
      </c>
      <c r="S60" s="68">
        <f t="shared" si="2"/>
        <v>319563.1607281522</v>
      </c>
      <c r="T60" s="68">
        <f t="shared" si="3"/>
        <v>26630.263394012683</v>
      </c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</row>
    <row r="61" spans="1:73" s="16" customFormat="1" ht="10.199999999999999">
      <c r="A61" s="45" t="str">
        <f>'Accrual - Realloc (Final Alloc)'!A43</f>
        <v>Port Everglades Unit 5 ***</v>
      </c>
      <c r="B61" s="47"/>
      <c r="C61" s="70">
        <f>'Accrual - Realloc (Final Alloc)'!I43</f>
        <v>6079218.7363787638</v>
      </c>
      <c r="D61" s="47"/>
      <c r="E61" s="48">
        <f>'Accrual - Realloc (Final Alloc)'!Z43</f>
        <v>2056</v>
      </c>
      <c r="F61" s="48">
        <f>'Accrual - Realloc (Final Alloc)'!AA43</f>
        <v>39</v>
      </c>
      <c r="G61" s="46"/>
      <c r="H61" s="76">
        <f>'Accrual - Realloc (Final Alloc)'!AD43</f>
        <v>8436247.8197114766</v>
      </c>
      <c r="I61" s="77">
        <f>'Accrual - Realloc (Final Alloc)'!AE43</f>
        <v>20426563.27381938</v>
      </c>
      <c r="J61" s="78">
        <f t="shared" si="0"/>
        <v>28862811.093530856</v>
      </c>
      <c r="K61" s="35"/>
      <c r="L61" s="81">
        <f>'Accrual - Realloc (Final Alloc)'!X43</f>
        <v>0</v>
      </c>
      <c r="M61" s="78">
        <f t="shared" si="1"/>
        <v>28862811.093530856</v>
      </c>
      <c r="N61" s="35"/>
      <c r="O61" s="68">
        <f>'Accrual - Realloc (Final Alloc)'!AK43</f>
        <v>305594.28331557801</v>
      </c>
      <c r="P61" s="68">
        <f>'Accrual - Realloc (Final Alloc)'!AL43</f>
        <v>318400.07971969497</v>
      </c>
      <c r="Q61" s="68">
        <f>'Accrual - Realloc (Final Alloc)'!AM43</f>
        <v>331742.4974891218</v>
      </c>
      <c r="R61" s="68">
        <f>'Accrual - Realloc (Final Alloc)'!AN43</f>
        <v>345644.02351031365</v>
      </c>
      <c r="S61" s="68">
        <f t="shared" si="2"/>
        <v>325345.22100867709</v>
      </c>
      <c r="T61" s="68">
        <f t="shared" si="3"/>
        <v>27112.10175072309</v>
      </c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</row>
    <row r="62" spans="1:73" s="16" customFormat="1" ht="10.199999999999999">
      <c r="A62" s="45" t="str">
        <f>'Accrual - Realloc (Final Alloc)'!A42</f>
        <v>Port Everglades GTs</v>
      </c>
      <c r="B62" s="47"/>
      <c r="C62" s="70">
        <f>'Accrual - Realloc (Final Alloc)'!I42</f>
        <v>1935975.2574382338</v>
      </c>
      <c r="D62" s="47"/>
      <c r="E62" s="48">
        <f>'Accrual - Realloc (Final Alloc)'!Z42</f>
        <v>2016</v>
      </c>
      <c r="F62" s="48">
        <f>'Accrual - Realloc (Final Alloc)'!AA42</f>
        <v>0</v>
      </c>
      <c r="G62" s="46"/>
      <c r="H62" s="76">
        <f>'Accrual - Realloc (Final Alloc)'!AD42</f>
        <v>606286.8197233777</v>
      </c>
      <c r="I62" s="77">
        <f>'Accrual - Realloc (Final Alloc)'!AE42</f>
        <v>1463206.4935472182</v>
      </c>
      <c r="J62" s="78">
        <f>SUM(H62:I62)</f>
        <v>2069493.3132705959</v>
      </c>
      <c r="K62" s="35"/>
      <c r="L62" s="81">
        <f>'Accrual - Realloc (Final Alloc)'!X42</f>
        <v>414572</v>
      </c>
      <c r="M62" s="78">
        <f>J62-L62</f>
        <v>1654921.3132705959</v>
      </c>
      <c r="N62" s="35"/>
      <c r="O62" s="68">
        <f>'Accrual - Realloc (Final Alloc)'!AK42</f>
        <v>1654921.3132705959</v>
      </c>
      <c r="P62" s="68">
        <f>'Accrual - Realloc (Final Alloc)'!AL42</f>
        <v>0</v>
      </c>
      <c r="Q62" s="68">
        <f>'Accrual - Realloc (Final Alloc)'!AM42</f>
        <v>0</v>
      </c>
      <c r="R62" s="68">
        <f>'Accrual - Realloc (Final Alloc)'!AN42</f>
        <v>0</v>
      </c>
      <c r="S62" s="68">
        <f>SUM(O62:R62)/4</f>
        <v>413730.32831764896</v>
      </c>
      <c r="T62" s="68">
        <f>S62/12</f>
        <v>34477.52735980408</v>
      </c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</row>
    <row r="63" spans="1:73" s="16" customFormat="1" ht="10.199999999999999">
      <c r="A63" s="45"/>
      <c r="B63" s="47"/>
      <c r="C63" s="146"/>
      <c r="D63" s="47"/>
      <c r="E63" s="181"/>
      <c r="F63" s="181"/>
      <c r="G63" s="172"/>
      <c r="H63" s="76"/>
      <c r="I63" s="77"/>
      <c r="J63" s="78"/>
      <c r="K63" s="176"/>
      <c r="L63" s="81"/>
      <c r="M63" s="78"/>
      <c r="N63" s="176"/>
      <c r="O63" s="189"/>
      <c r="P63" s="189"/>
      <c r="Q63" s="189"/>
      <c r="R63" s="189"/>
      <c r="S63" s="189"/>
      <c r="T63" s="189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</row>
    <row r="64" spans="1:73" s="16" customFormat="1" ht="10.199999999999999">
      <c r="A64" s="201" t="s">
        <v>149</v>
      </c>
      <c r="B64" s="47"/>
      <c r="C64" s="146"/>
      <c r="D64" s="47"/>
      <c r="E64" s="181"/>
      <c r="F64" s="181"/>
      <c r="G64" s="172"/>
      <c r="H64" s="76"/>
      <c r="I64" s="77"/>
      <c r="J64" s="78"/>
      <c r="K64" s="176"/>
      <c r="L64" s="81"/>
      <c r="M64" s="78"/>
      <c r="N64" s="176"/>
      <c r="O64" s="189"/>
      <c r="P64" s="189"/>
      <c r="Q64" s="189"/>
      <c r="R64" s="189"/>
      <c r="S64" s="189"/>
      <c r="T64" s="189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</row>
    <row r="65" spans="1:73" s="16" customFormat="1" ht="10.199999999999999">
      <c r="A65" s="45" t="str">
        <f>'Accrual - Realloc (Final Alloc)'!A44</f>
        <v>Riviera Beach Common ***</v>
      </c>
      <c r="B65" s="47"/>
      <c r="C65" s="70">
        <f>'Accrual - Realloc (Final Alloc)'!I44</f>
        <v>6452456.611864916</v>
      </c>
      <c r="D65" s="47"/>
      <c r="E65" s="48">
        <f>'Accrual - Realloc (Final Alloc)'!Z44</f>
        <v>2054</v>
      </c>
      <c r="F65" s="48">
        <f>'Accrual - Realloc (Final Alloc)'!AA44</f>
        <v>37</v>
      </c>
      <c r="G65" s="46"/>
      <c r="H65" s="76">
        <f>'Accrual - Realloc (Final Alloc)'!AD44</f>
        <v>6387524.3400826007</v>
      </c>
      <c r="I65" s="77">
        <f>'Accrual - Realloc (Final Alloc)'!AE44</f>
        <v>15374394.934222028</v>
      </c>
      <c r="J65" s="78">
        <f t="shared" ref="J65:J96" si="5">SUM(H65:I65)</f>
        <v>21761919.274304628</v>
      </c>
      <c r="K65" s="35"/>
      <c r="L65" s="81">
        <f>'Accrual - Realloc (Final Alloc)'!X44</f>
        <v>0</v>
      </c>
      <c r="M65" s="78">
        <f t="shared" ref="M65:M96" si="6">J65-L65</f>
        <v>21761919.274304628</v>
      </c>
      <c r="N65" s="35"/>
      <c r="O65" s="68">
        <f>'Accrual - Realloc (Final Alloc)'!AK44</f>
        <v>302482.49200377153</v>
      </c>
      <c r="P65" s="68">
        <f>'Accrual - Realloc (Final Alloc)'!AL44</f>
        <v>312770.12592988752</v>
      </c>
      <c r="Q65" s="68">
        <f>'Accrual - Realloc (Final Alloc)'!AM44</f>
        <v>323407.64923669683</v>
      </c>
      <c r="R65" s="68">
        <f>'Accrual - Realloc (Final Alloc)'!AN44</f>
        <v>334406.9618984405</v>
      </c>
      <c r="S65" s="68">
        <f t="shared" ref="S65:S96" si="7">SUM(O65:R65)/4</f>
        <v>318266.8072671991</v>
      </c>
      <c r="T65" s="68">
        <f t="shared" si="3"/>
        <v>26522.233938933259</v>
      </c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</row>
    <row r="66" spans="1:73" s="16" customFormat="1" ht="10.199999999999999">
      <c r="A66" s="45" t="str">
        <f>'Accrual - Realloc (Final Alloc)'!A45</f>
        <v>Riviera Beach Unit 5 ***</v>
      </c>
      <c r="B66" s="47"/>
      <c r="C66" s="70">
        <f>'Accrual - Realloc (Final Alloc)'!I45</f>
        <v>7051684.2675072933</v>
      </c>
      <c r="D66" s="47"/>
      <c r="E66" s="48">
        <f>'Accrual - Realloc (Final Alloc)'!Z45</f>
        <v>2054</v>
      </c>
      <c r="F66" s="48">
        <f>'Accrual - Realloc (Final Alloc)'!AA45</f>
        <v>37</v>
      </c>
      <c r="G66" s="46"/>
      <c r="H66" s="76">
        <f>'Accrual - Realloc (Final Alloc)'!AD45</f>
        <v>8490213.6570936069</v>
      </c>
      <c r="I66" s="77">
        <f>'Accrual - Realloc (Final Alloc)'!AE45</f>
        <v>20525523.121691298</v>
      </c>
      <c r="J66" s="78">
        <f t="shared" si="5"/>
        <v>29015736.778784905</v>
      </c>
      <c r="K66" s="35"/>
      <c r="L66" s="81">
        <f>'Accrual - Realloc (Final Alloc)'!X45</f>
        <v>0</v>
      </c>
      <c r="M66" s="78">
        <f t="shared" si="6"/>
        <v>29015736.778784905</v>
      </c>
      <c r="N66" s="35"/>
      <c r="O66" s="68">
        <f>'Accrual - Realloc (Final Alloc)'!AK45</f>
        <v>355164.31577453588</v>
      </c>
      <c r="P66" s="68">
        <f>'Accrual - Realloc (Final Alloc)'!AL45</f>
        <v>369369.75601370062</v>
      </c>
      <c r="Q66" s="68">
        <f>'Accrual - Realloc (Final Alloc)'!AM45</f>
        <v>384143.36857036978</v>
      </c>
      <c r="R66" s="68">
        <f>'Accrual - Realloc (Final Alloc)'!AN45</f>
        <v>399507.87852570543</v>
      </c>
      <c r="S66" s="68">
        <f t="shared" si="7"/>
        <v>377046.32972107793</v>
      </c>
      <c r="T66" s="68">
        <f t="shared" si="3"/>
        <v>31420.527476756495</v>
      </c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</row>
    <row r="67" spans="1:73" s="16" customFormat="1" ht="10.199999999999999">
      <c r="A67" s="45"/>
      <c r="B67" s="47"/>
      <c r="C67" s="146"/>
      <c r="D67" s="47"/>
      <c r="E67" s="181"/>
      <c r="F67" s="181"/>
      <c r="G67" s="172"/>
      <c r="H67" s="76"/>
      <c r="I67" s="77"/>
      <c r="J67" s="78"/>
      <c r="K67" s="176"/>
      <c r="L67" s="81"/>
      <c r="M67" s="78"/>
      <c r="N67" s="176"/>
      <c r="O67" s="189"/>
      <c r="P67" s="189"/>
      <c r="Q67" s="189"/>
      <c r="R67" s="189"/>
      <c r="S67" s="189"/>
      <c r="T67" s="189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</row>
    <row r="68" spans="1:73" s="16" customFormat="1" ht="10.199999999999999">
      <c r="A68" s="201" t="s">
        <v>150</v>
      </c>
      <c r="B68" s="47"/>
      <c r="C68" s="146"/>
      <c r="D68" s="47"/>
      <c r="E68" s="181"/>
      <c r="F68" s="181"/>
      <c r="G68" s="172"/>
      <c r="H68" s="76"/>
      <c r="I68" s="77"/>
      <c r="J68" s="78"/>
      <c r="K68" s="176"/>
      <c r="L68" s="81"/>
      <c r="M68" s="78"/>
      <c r="N68" s="176"/>
      <c r="O68" s="189"/>
      <c r="P68" s="189"/>
      <c r="Q68" s="189"/>
      <c r="R68" s="189"/>
      <c r="S68" s="189"/>
      <c r="T68" s="189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</row>
    <row r="69" spans="1:73" s="16" customFormat="1" ht="10.199999999999999">
      <c r="A69" s="45" t="str">
        <f>'Accrual - Realloc (Final Alloc)'!A46</f>
        <v>Sanford Common</v>
      </c>
      <c r="B69" s="47"/>
      <c r="C69" s="70">
        <f>'Accrual - Realloc (Final Alloc)'!I46</f>
        <v>10290606.250953928</v>
      </c>
      <c r="D69" s="47"/>
      <c r="E69" s="48">
        <f>'Accrual - Realloc (Final Alloc)'!Z46</f>
        <v>2043</v>
      </c>
      <c r="F69" s="48">
        <f>'Accrual - Realloc (Final Alloc)'!AA46</f>
        <v>26</v>
      </c>
      <c r="G69" s="46"/>
      <c r="H69" s="76">
        <f>'Accrual - Realloc (Final Alloc)'!AD46</f>
        <v>7335246.4191388395</v>
      </c>
      <c r="I69" s="77">
        <f>'Accrual - Realloc (Final Alloc)'!AE46</f>
        <v>17628695.801452413</v>
      </c>
      <c r="J69" s="78">
        <f t="shared" si="5"/>
        <v>24963942.220591255</v>
      </c>
      <c r="K69" s="35"/>
      <c r="L69" s="81">
        <f>'Accrual - Realloc (Final Alloc)'!X46</f>
        <v>8737379.7772069406</v>
      </c>
      <c r="M69" s="78">
        <f t="shared" si="6"/>
        <v>16226562.443384314</v>
      </c>
      <c r="N69" s="35"/>
      <c r="O69" s="68">
        <f>'Accrual - Realloc (Final Alloc)'!AK46</f>
        <v>389794.7286383154</v>
      </c>
      <c r="P69" s="68">
        <f>'Accrual - Realloc (Final Alloc)'!AL46</f>
        <v>403650.30852642562</v>
      </c>
      <c r="Q69" s="68">
        <f>'Accrual - Realloc (Final Alloc)'!AM46</f>
        <v>417998.39659879589</v>
      </c>
      <c r="R69" s="68">
        <f>'Accrual - Realloc (Final Alloc)'!AN46</f>
        <v>432856.4994710657</v>
      </c>
      <c r="S69" s="68">
        <f t="shared" si="7"/>
        <v>411074.98330865067</v>
      </c>
      <c r="T69" s="68">
        <f t="shared" si="3"/>
        <v>34256.248609054222</v>
      </c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</row>
    <row r="70" spans="1:73" s="16" customFormat="1" ht="10.199999999999999">
      <c r="A70" s="45" t="str">
        <f>'Accrual - Realloc (Final Alloc)'!A47</f>
        <v>Sanford Unit 4</v>
      </c>
      <c r="B70" s="47"/>
      <c r="C70" s="70">
        <f>'Accrual - Realloc (Final Alloc)'!I47</f>
        <v>6424193.6633167034</v>
      </c>
      <c r="D70" s="47"/>
      <c r="E70" s="48">
        <f>'Accrual - Realloc (Final Alloc)'!Z47</f>
        <v>2043</v>
      </c>
      <c r="F70" s="48">
        <f>'Accrual - Realloc (Final Alloc)'!AA47</f>
        <v>26</v>
      </c>
      <c r="G70" s="46"/>
      <c r="H70" s="76">
        <f>'Accrual - Realloc (Final Alloc)'!AD47</f>
        <v>5377799.9269690067</v>
      </c>
      <c r="I70" s="77">
        <f>'Accrual - Realloc (Final Alloc)'!AE47</f>
        <v>12992682.877905104</v>
      </c>
      <c r="J70" s="78">
        <f t="shared" si="5"/>
        <v>18370482.804874111</v>
      </c>
      <c r="K70" s="35"/>
      <c r="L70" s="81">
        <f>'Accrual - Realloc (Final Alloc)'!X47</f>
        <v>3746638.2876443304</v>
      </c>
      <c r="M70" s="78">
        <f t="shared" si="6"/>
        <v>14623844.517229781</v>
      </c>
      <c r="N70" s="35"/>
      <c r="O70" s="68">
        <f>'Accrual - Realloc (Final Alloc)'!AK47</f>
        <v>317201.83358986053</v>
      </c>
      <c r="P70" s="68">
        <f>'Accrual - Realloc (Final Alloc)'!AL47</f>
        <v>330777.80602549284</v>
      </c>
      <c r="Q70" s="68">
        <f>'Accrual - Realloc (Final Alloc)'!AM47</f>
        <v>344934.81869499513</v>
      </c>
      <c r="R70" s="68">
        <f>'Accrual - Realloc (Final Alloc)'!AN47</f>
        <v>359697.73963304976</v>
      </c>
      <c r="S70" s="68">
        <f t="shared" si="7"/>
        <v>338153.04948584957</v>
      </c>
      <c r="T70" s="68">
        <f t="shared" si="3"/>
        <v>28179.420790487464</v>
      </c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</row>
    <row r="71" spans="1:73" s="16" customFormat="1" ht="10.199999999999999">
      <c r="A71" s="45" t="str">
        <f>'Accrual - Realloc (Final Alloc)'!A48</f>
        <v>Sanford Unit 5</v>
      </c>
      <c r="B71" s="47"/>
      <c r="C71" s="70">
        <f>'Accrual - Realloc (Final Alloc)'!I48</f>
        <v>6397181.6497125598</v>
      </c>
      <c r="D71" s="47"/>
      <c r="E71" s="48">
        <f>'Accrual - Realloc (Final Alloc)'!Z48</f>
        <v>2042</v>
      </c>
      <c r="F71" s="48">
        <f>'Accrual - Realloc (Final Alloc)'!AA48</f>
        <v>25</v>
      </c>
      <c r="G71" s="46"/>
      <c r="H71" s="76">
        <f>'Accrual - Realloc (Final Alloc)'!AD48</f>
        <v>5173324.5496434653</v>
      </c>
      <c r="I71" s="77">
        <f>'Accrual - Realloc (Final Alloc)'!AE48</f>
        <v>12497150.728943381</v>
      </c>
      <c r="J71" s="78">
        <f t="shared" si="5"/>
        <v>17670475.278586846</v>
      </c>
      <c r="K71" s="35"/>
      <c r="L71" s="81">
        <f>'Accrual - Realloc (Final Alloc)'!X48</f>
        <v>6626428.2294700705</v>
      </c>
      <c r="M71" s="78">
        <f t="shared" si="6"/>
        <v>11044047.049116775</v>
      </c>
      <c r="N71" s="35"/>
      <c r="O71" s="68">
        <f>'Accrual - Realloc (Final Alloc)'!AK48</f>
        <v>254293.13400544418</v>
      </c>
      <c r="P71" s="68">
        <f>'Accrual - Realloc (Final Alloc)'!AL48</f>
        <v>265254.02959045087</v>
      </c>
      <c r="Q71" s="68">
        <f>'Accrual - Realloc (Final Alloc)'!AM48</f>
        <v>276687.37690914393</v>
      </c>
      <c r="R71" s="68">
        <f>'Accrual - Realloc (Final Alloc)'!AN48</f>
        <v>288613.54023184534</v>
      </c>
      <c r="S71" s="68">
        <f t="shared" si="7"/>
        <v>271212.0201842211</v>
      </c>
      <c r="T71" s="68">
        <f t="shared" si="3"/>
        <v>22601.001682018425</v>
      </c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</row>
    <row r="72" spans="1:73" s="16" customFormat="1" ht="10.199999999999999">
      <c r="A72" s="45"/>
      <c r="B72" s="47"/>
      <c r="C72" s="146"/>
      <c r="D72" s="47"/>
      <c r="E72" s="181"/>
      <c r="F72" s="181"/>
      <c r="G72" s="172"/>
      <c r="H72" s="76"/>
      <c r="I72" s="77"/>
      <c r="J72" s="78"/>
      <c r="K72" s="176"/>
      <c r="L72" s="81"/>
      <c r="M72" s="78"/>
      <c r="N72" s="176"/>
      <c r="O72" s="189"/>
      <c r="P72" s="189"/>
      <c r="Q72" s="189"/>
      <c r="R72" s="189"/>
      <c r="S72" s="189"/>
      <c r="T72" s="189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</row>
    <row r="73" spans="1:73" s="16" customFormat="1" ht="10.199999999999999">
      <c r="A73" s="201" t="s">
        <v>151</v>
      </c>
      <c r="B73" s="47"/>
      <c r="C73" s="146"/>
      <c r="D73" s="47"/>
      <c r="E73" s="181"/>
      <c r="F73" s="181"/>
      <c r="G73" s="172"/>
      <c r="H73" s="76"/>
      <c r="I73" s="77"/>
      <c r="J73" s="78"/>
      <c r="K73" s="176"/>
      <c r="L73" s="81"/>
      <c r="M73" s="78"/>
      <c r="N73" s="176"/>
      <c r="O73" s="189"/>
      <c r="P73" s="189"/>
      <c r="Q73" s="189"/>
      <c r="R73" s="189"/>
      <c r="S73" s="189"/>
      <c r="T73" s="189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</row>
    <row r="74" spans="1:73" s="16" customFormat="1">
      <c r="A74" s="45" t="s">
        <v>132</v>
      </c>
      <c r="B74" s="47"/>
      <c r="C74" s="70">
        <f>'Accrual - Realloc (Final Alloc)'!I49</f>
        <v>33972827.658544183</v>
      </c>
      <c r="D74" s="47"/>
      <c r="E74" s="48">
        <f>'Accrual - Realloc (Final Alloc)'!Z49</f>
        <v>2039</v>
      </c>
      <c r="F74" s="48">
        <f>'Accrual - Realloc (Final Alloc)'!AA49</f>
        <v>22</v>
      </c>
      <c r="G74" s="46"/>
      <c r="H74" s="76">
        <f>'Accrual - Realloc (Final Alloc)'!AD49</f>
        <v>23527857.859195795</v>
      </c>
      <c r="I74" s="77">
        <f>'Accrual - Realloc (Final Alloc)'!AE49</f>
        <v>56669814.37173298</v>
      </c>
      <c r="J74" s="78">
        <f t="shared" si="5"/>
        <v>80197672.230928779</v>
      </c>
      <c r="K74" s="35"/>
      <c r="L74" s="81">
        <f>'Accrual - Realloc (Final Alloc)'!X49</f>
        <v>21556476.52</v>
      </c>
      <c r="M74" s="78">
        <f t="shared" si="6"/>
        <v>58641195.710928783</v>
      </c>
      <c r="N74" s="35"/>
      <c r="O74" s="68">
        <f>'Accrual - Realloc (Final Alloc)'!AK49</f>
        <v>1693361.5868860742</v>
      </c>
      <c r="P74" s="68">
        <f>'Accrual - Realloc (Final Alloc)'!AL49</f>
        <v>1762714.5992257616</v>
      </c>
      <c r="Q74" s="68">
        <f>'Accrual - Realloc (Final Alloc)'!AM49</f>
        <v>1834908.0210549745</v>
      </c>
      <c r="R74" s="68">
        <f>'Accrual - Realloc (Final Alloc)'!AN49</f>
        <v>1910058.1836734789</v>
      </c>
      <c r="S74" s="68">
        <f t="shared" si="7"/>
        <v>1800260.5977100723</v>
      </c>
      <c r="T74" s="68">
        <f t="shared" si="3"/>
        <v>150021.71647583935</v>
      </c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</row>
    <row r="75" spans="1:73" s="16" customFormat="1">
      <c r="A75" s="45" t="s">
        <v>134</v>
      </c>
      <c r="B75" s="47"/>
      <c r="C75" s="70">
        <f>'Accrual - Realloc (Final Alloc)'!I51</f>
        <v>15403423.931913238</v>
      </c>
      <c r="D75" s="47"/>
      <c r="E75" s="48">
        <f>'Accrual - Realloc (Final Alloc)'!Z51</f>
        <v>2039</v>
      </c>
      <c r="F75" s="48">
        <f>'Accrual - Realloc (Final Alloc)'!AA51</f>
        <v>22</v>
      </c>
      <c r="G75" s="46"/>
      <c r="H75" s="76">
        <f>'Accrual - Realloc (Final Alloc)'!AD51</f>
        <v>10147892.625171825</v>
      </c>
      <c r="I75" s="77">
        <f>'Accrual - Realloc (Final Alloc)'!AE51</f>
        <v>24416490.931004014</v>
      </c>
      <c r="J75" s="78">
        <f t="shared" si="5"/>
        <v>34564383.556175843</v>
      </c>
      <c r="K75" s="35"/>
      <c r="L75" s="81">
        <f>'Accrual - Realloc (Final Alloc)'!X51</f>
        <v>19090983.52</v>
      </c>
      <c r="M75" s="78">
        <f t="shared" si="6"/>
        <v>15473400.036175843</v>
      </c>
      <c r="N75" s="35"/>
      <c r="O75" s="68">
        <f>'Accrual - Realloc (Final Alloc)'!AK51</f>
        <v>458138.16073158802</v>
      </c>
      <c r="P75" s="68">
        <f>'Accrual - Realloc (Final Alloc)'!AL51</f>
        <v>475912.98686885013</v>
      </c>
      <c r="Q75" s="68">
        <f>'Accrual - Realloc (Final Alloc)'!AM51</f>
        <v>494377.4400035782</v>
      </c>
      <c r="R75" s="68">
        <f>'Accrual - Realloc (Final Alloc)'!AN51</f>
        <v>513558.27625658945</v>
      </c>
      <c r="S75" s="68">
        <f t="shared" si="7"/>
        <v>485496.7159651515</v>
      </c>
      <c r="T75" s="68">
        <f t="shared" si="3"/>
        <v>40458.059663762622</v>
      </c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</row>
    <row r="76" spans="1:73" s="16" customFormat="1">
      <c r="A76" s="45" t="s">
        <v>133</v>
      </c>
      <c r="B76" s="47"/>
      <c r="C76" s="70">
        <f>'Accrual - Realloc (Final Alloc)'!I50</f>
        <v>1028361.6926170178</v>
      </c>
      <c r="D76" s="47"/>
      <c r="E76" s="48">
        <f>'Accrual - Realloc (Final Alloc)'!Z50</f>
        <v>2039</v>
      </c>
      <c r="F76" s="48">
        <f>'Accrual - Realloc (Final Alloc)'!AA50</f>
        <v>22</v>
      </c>
      <c r="G76" s="46"/>
      <c r="H76" s="76">
        <f>'Accrual - Realloc (Final Alloc)'!AD50</f>
        <v>674769.16123413935</v>
      </c>
      <c r="I76" s="77">
        <f>'Accrual - Realloc (Final Alloc)'!AE50</f>
        <v>1623250.7014394973</v>
      </c>
      <c r="J76" s="78">
        <f>SUM(H76:I76)</f>
        <v>2298019.8626736365</v>
      </c>
      <c r="K76" s="35"/>
      <c r="L76" s="81">
        <f>'Accrual - Realloc (Final Alloc)'!X50</f>
        <v>1286891.12309724</v>
      </c>
      <c r="M76" s="78">
        <f>J76-L76</f>
        <v>1011128.7395763965</v>
      </c>
      <c r="N76" s="35"/>
      <c r="O76" s="68">
        <f>'Accrual - Realloc (Final Alloc)'!AK50</f>
        <v>30017.242494598209</v>
      </c>
      <c r="P76" s="68">
        <f>'Accrual - Realloc (Final Alloc)'!AL50</f>
        <v>31174.954451675778</v>
      </c>
      <c r="Q76" s="68">
        <f>'Accrual - Realloc (Final Alloc)'!AM50</f>
        <v>32377.317311507042</v>
      </c>
      <c r="R76" s="68">
        <f>'Accrual - Realloc (Final Alloc)'!AN50</f>
        <v>33626.053180445422</v>
      </c>
      <c r="S76" s="68">
        <f>SUM(O76:R76)/4</f>
        <v>31798.891859556614</v>
      </c>
      <c r="T76" s="68">
        <f>S76/12</f>
        <v>2649.9076549630513</v>
      </c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</row>
    <row r="77" spans="1:73" s="16" customFormat="1" ht="10.199999999999999">
      <c r="A77" s="45"/>
      <c r="B77" s="47"/>
      <c r="C77" s="146"/>
      <c r="D77" s="47"/>
      <c r="E77" s="181"/>
      <c r="F77" s="181"/>
      <c r="G77" s="172"/>
      <c r="H77" s="76"/>
      <c r="I77" s="77"/>
      <c r="J77" s="78"/>
      <c r="K77" s="176"/>
      <c r="L77" s="81"/>
      <c r="M77" s="78"/>
      <c r="N77" s="176"/>
      <c r="O77" s="189"/>
      <c r="P77" s="189"/>
      <c r="Q77" s="189"/>
      <c r="R77" s="189"/>
      <c r="S77" s="189"/>
      <c r="T77" s="189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</row>
    <row r="78" spans="1:73" s="16" customFormat="1" ht="10.199999999999999">
      <c r="A78" s="45" t="str">
        <f>'Accrual - Realloc (Final Alloc)'!A56</f>
        <v>Space Coast Common</v>
      </c>
      <c r="B78" s="47"/>
      <c r="C78" s="70">
        <f>'Accrual - Realloc (Final Alloc)'!I56</f>
        <v>886053.77541030594</v>
      </c>
      <c r="D78" s="47"/>
      <c r="E78" s="48">
        <f>'Accrual - Realloc (Final Alloc)'!Z56</f>
        <v>2040</v>
      </c>
      <c r="F78" s="48">
        <f>'Accrual - Realloc (Final Alloc)'!AA56</f>
        <v>23</v>
      </c>
      <c r="G78" s="46"/>
      <c r="H78" s="76">
        <f>'Accrual - Realloc (Final Alloc)'!AD56</f>
        <v>588530.43503307982</v>
      </c>
      <c r="I78" s="77">
        <f>'Accrual - Realloc (Final Alloc)'!AE56</f>
        <v>1415181.0815314893</v>
      </c>
      <c r="J78" s="78">
        <f>SUM(H78:I78)</f>
        <v>2003711.516564569</v>
      </c>
      <c r="K78" s="35"/>
      <c r="L78" s="81">
        <f>'Accrual - Realloc (Final Alloc)'!X56</f>
        <v>235872</v>
      </c>
      <c r="M78" s="78">
        <f>J78-L78</f>
        <v>1767839.516564569</v>
      </c>
      <c r="N78" s="35"/>
      <c r="O78" s="68">
        <f>'Accrual - Realloc (Final Alloc)'!AK56</f>
        <v>49833.198284846178</v>
      </c>
      <c r="P78" s="68">
        <f>'Accrual - Realloc (Final Alloc)'!AL56</f>
        <v>51696.792054504258</v>
      </c>
      <c r="Q78" s="68">
        <f>'Accrual - Realloc (Final Alloc)'!AM56</f>
        <v>53630.077954265187</v>
      </c>
      <c r="R78" s="68">
        <f>'Accrual - Realloc (Final Alloc)'!AN56</f>
        <v>55635.662235060547</v>
      </c>
      <c r="S78" s="68">
        <f>SUM(O78:R78)/4</f>
        <v>52698.932632169046</v>
      </c>
      <c r="T78" s="68">
        <f>S78/12</f>
        <v>4391.5777193474205</v>
      </c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</row>
    <row r="79" spans="1:73" s="16" customFormat="1" ht="10.199999999999999">
      <c r="A79" s="45"/>
      <c r="B79" s="47"/>
      <c r="C79" s="146"/>
      <c r="D79" s="47"/>
      <c r="E79" s="181"/>
      <c r="F79" s="181"/>
      <c r="G79" s="172"/>
      <c r="H79" s="76"/>
      <c r="I79" s="77"/>
      <c r="J79" s="78"/>
      <c r="K79" s="176"/>
      <c r="L79" s="81"/>
      <c r="M79" s="78"/>
      <c r="N79" s="176"/>
      <c r="O79" s="189"/>
      <c r="P79" s="189"/>
      <c r="Q79" s="189"/>
      <c r="R79" s="189"/>
      <c r="S79" s="189"/>
      <c r="T79" s="189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</row>
    <row r="80" spans="1:73" s="16" customFormat="1" ht="10.199999999999999">
      <c r="A80" s="201" t="s">
        <v>152</v>
      </c>
      <c r="B80" s="47"/>
      <c r="C80" s="146"/>
      <c r="D80" s="47"/>
      <c r="E80" s="181"/>
      <c r="F80" s="181"/>
      <c r="G80" s="172"/>
      <c r="H80" s="76"/>
      <c r="I80" s="77"/>
      <c r="J80" s="78"/>
      <c r="K80" s="176"/>
      <c r="L80" s="81"/>
      <c r="M80" s="78"/>
      <c r="N80" s="176"/>
      <c r="O80" s="189"/>
      <c r="P80" s="189"/>
      <c r="Q80" s="189"/>
      <c r="R80" s="189"/>
      <c r="S80" s="189"/>
      <c r="T80" s="189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</row>
    <row r="81" spans="1:73" s="16" customFormat="1">
      <c r="A81" s="45" t="s">
        <v>135</v>
      </c>
      <c r="B81" s="47"/>
      <c r="C81" s="70">
        <f>'Accrual - Realloc (Final Alloc)'!I52</f>
        <v>14532336.383671604</v>
      </c>
      <c r="D81" s="47"/>
      <c r="E81" s="48">
        <f>'Accrual - Realloc (Final Alloc)'!Z52</f>
        <v>2038</v>
      </c>
      <c r="F81" s="48">
        <f>'Accrual - Realloc (Final Alloc)'!AA52</f>
        <v>21</v>
      </c>
      <c r="G81" s="46"/>
      <c r="H81" s="76">
        <f>'Accrual - Realloc (Final Alloc)'!AD52</f>
        <v>9726003.8033136539</v>
      </c>
      <c r="I81" s="77">
        <f>'Accrual - Realloc (Final Alloc)'!AE52</f>
        <v>23422867.426090177</v>
      </c>
      <c r="J81" s="78">
        <f t="shared" si="5"/>
        <v>33148871.229403831</v>
      </c>
      <c r="K81" s="35"/>
      <c r="L81" s="81">
        <f>'Accrual - Realloc (Final Alloc)'!X52</f>
        <v>11109095.48</v>
      </c>
      <c r="M81" s="78">
        <f t="shared" si="6"/>
        <v>22039775.749403831</v>
      </c>
      <c r="N81" s="35"/>
      <c r="O81" s="68">
        <f>'Accrual - Realloc (Final Alloc)'!AK52</f>
        <v>680070.86325857567</v>
      </c>
      <c r="P81" s="68">
        <f>'Accrual - Realloc (Final Alloc)'!AL52</f>
        <v>708116.88974241354</v>
      </c>
      <c r="Q81" s="68">
        <f>'Accrual - Realloc (Final Alloc)'!AM52</f>
        <v>737319.53040284349</v>
      </c>
      <c r="R81" s="68">
        <f>'Accrual - Realloc (Final Alloc)'!AN52</f>
        <v>767726.4838453799</v>
      </c>
      <c r="S81" s="68">
        <f t="shared" si="7"/>
        <v>723308.44181230315</v>
      </c>
      <c r="T81" s="68">
        <f t="shared" si="3"/>
        <v>60275.703484358593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</row>
    <row r="82" spans="1:73" s="16" customFormat="1">
      <c r="A82" s="45" t="s">
        <v>137</v>
      </c>
      <c r="B82" s="47"/>
      <c r="C82" s="70">
        <f>'Accrual - Realloc (Final Alloc)'!I54</f>
        <v>3258794.7893625195</v>
      </c>
      <c r="D82" s="47"/>
      <c r="E82" s="48">
        <f>'Accrual - Realloc (Final Alloc)'!Z54</f>
        <v>2038</v>
      </c>
      <c r="F82" s="48">
        <f>'Accrual - Realloc (Final Alloc)'!AA54</f>
        <v>21</v>
      </c>
      <c r="G82" s="46"/>
      <c r="H82" s="76">
        <f>'Accrual - Realloc (Final Alloc)'!AD54</f>
        <v>2158168.5519782868</v>
      </c>
      <c r="I82" s="77">
        <f>'Accrual - Realloc (Final Alloc)'!AE54</f>
        <v>5197933.3838194264</v>
      </c>
      <c r="J82" s="78">
        <f t="shared" si="5"/>
        <v>7356101.9357977137</v>
      </c>
      <c r="K82" s="35"/>
      <c r="L82" s="81">
        <f>'Accrual - Realloc (Final Alloc)'!X54</f>
        <v>4327118.7857633606</v>
      </c>
      <c r="M82" s="78">
        <f t="shared" si="6"/>
        <v>3028983.1500343531</v>
      </c>
      <c r="N82" s="35"/>
      <c r="O82" s="68">
        <f>'Accrual - Realloc (Final Alloc)'!AK54</f>
        <v>93690.24207175069</v>
      </c>
      <c r="P82" s="68">
        <f>'Accrual - Realloc (Final Alloc)'!AL54</f>
        <v>97533.426662615879</v>
      </c>
      <c r="Q82" s="68">
        <f>'Accrual - Realloc (Final Alloc)'!AM54</f>
        <v>101534.2591309212</v>
      </c>
      <c r="R82" s="68">
        <f>'Accrual - Realloc (Final Alloc)'!AN54</f>
        <v>105699.20621087465</v>
      </c>
      <c r="S82" s="68">
        <f t="shared" si="7"/>
        <v>99614.283519040604</v>
      </c>
      <c r="T82" s="68">
        <f t="shared" si="3"/>
        <v>8301.1902932533831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</row>
    <row r="83" spans="1:73" s="16" customFormat="1">
      <c r="A83" s="45" t="s">
        <v>138</v>
      </c>
      <c r="B83" s="47"/>
      <c r="C83" s="70">
        <f>'Accrual - Realloc (Final Alloc)'!I55</f>
        <v>3258794.7893625195</v>
      </c>
      <c r="D83" s="47"/>
      <c r="E83" s="48">
        <f>'Accrual - Realloc (Final Alloc)'!Z55</f>
        <v>2038</v>
      </c>
      <c r="F83" s="48">
        <f>'Accrual - Realloc (Final Alloc)'!AA55</f>
        <v>21</v>
      </c>
      <c r="G83" s="46"/>
      <c r="H83" s="76">
        <f>'Accrual - Realloc (Final Alloc)'!AD55</f>
        <v>2158168.5519782868</v>
      </c>
      <c r="I83" s="77">
        <f>'Accrual - Realloc (Final Alloc)'!AE55</f>
        <v>5197933.3838194264</v>
      </c>
      <c r="J83" s="78">
        <f t="shared" si="5"/>
        <v>7356101.9357977137</v>
      </c>
      <c r="K83" s="35"/>
      <c r="L83" s="81">
        <f>'Accrual - Realloc (Final Alloc)'!X55</f>
        <v>4266539.1227626698</v>
      </c>
      <c r="M83" s="78">
        <f t="shared" si="6"/>
        <v>3089562.8130350439</v>
      </c>
      <c r="N83" s="35"/>
      <c r="O83" s="68">
        <f>'Accrual - Realloc (Final Alloc)'!AK55</f>
        <v>95564.046913185826</v>
      </c>
      <c r="P83" s="68">
        <f>'Accrual - Realloc (Final Alloc)'!AL55</f>
        <v>99484.095195868314</v>
      </c>
      <c r="Q83" s="68">
        <f>'Accrual - Realloc (Final Alloc)'!AM55</f>
        <v>103564.94431353975</v>
      </c>
      <c r="R83" s="68">
        <f>'Accrual - Realloc (Final Alloc)'!AN55</f>
        <v>107813.19033509227</v>
      </c>
      <c r="S83" s="68">
        <f t="shared" si="7"/>
        <v>101606.56918942154</v>
      </c>
      <c r="T83" s="68">
        <f t="shared" si="3"/>
        <v>8467.2140991184624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</row>
    <row r="84" spans="1:73" s="16" customFormat="1">
      <c r="A84" s="45" t="s">
        <v>136</v>
      </c>
      <c r="B84" s="47"/>
      <c r="C84" s="70">
        <f>'Accrual - Realloc (Final Alloc)'!I53</f>
        <v>1137429.4817538406</v>
      </c>
      <c r="D84" s="47"/>
      <c r="E84" s="48">
        <f>'Accrual - Realloc (Final Alloc)'!Z53</f>
        <v>2038</v>
      </c>
      <c r="F84" s="48">
        <f>'Accrual - Realloc (Final Alloc)'!AA53</f>
        <v>21</v>
      </c>
      <c r="G84" s="46"/>
      <c r="H84" s="76">
        <f>'Accrual - Realloc (Final Alloc)'!AD53</f>
        <v>707433.48201927275</v>
      </c>
      <c r="I84" s="77">
        <f>'Accrual - Realloc (Final Alloc)'!AE53</f>
        <v>1699427.679258347</v>
      </c>
      <c r="J84" s="78">
        <f>SUM(H84:I84)</f>
        <v>2406861.1612776197</v>
      </c>
      <c r="K84" s="35"/>
      <c r="L84" s="81">
        <f>'Accrual - Realloc (Final Alloc)'!X53</f>
        <v>1395979.47354102</v>
      </c>
      <c r="M84" s="78">
        <f>J84-L84</f>
        <v>1010881.6877365997</v>
      </c>
      <c r="N84" s="35"/>
      <c r="O84" s="68">
        <f>'Accrual - Realloc (Final Alloc)'!AK53</f>
        <v>32536.942546875089</v>
      </c>
      <c r="P84" s="68">
        <f>'Accrual - Realloc (Final Alloc)'!AL53</f>
        <v>33753.552348966623</v>
      </c>
      <c r="Q84" s="68">
        <f>'Accrual - Realloc (Final Alloc)'!AM53</f>
        <v>35015.653192769059</v>
      </c>
      <c r="R84" s="68">
        <f>'Accrual - Realloc (Final Alloc)'!AN53</f>
        <v>36324.946063160533</v>
      </c>
      <c r="S84" s="68">
        <f>SUM(O84:R84)/4</f>
        <v>34407.77353794282</v>
      </c>
      <c r="T84" s="68">
        <f>S84/12</f>
        <v>2867.3144614952348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</row>
    <row r="85" spans="1:73" s="16" customFormat="1" ht="10.199999999999999">
      <c r="A85" s="45"/>
      <c r="B85" s="47"/>
      <c r="C85" s="146"/>
      <c r="D85" s="47"/>
      <c r="E85" s="181"/>
      <c r="F85" s="181"/>
      <c r="G85" s="172"/>
      <c r="H85" s="76"/>
      <c r="I85" s="77"/>
      <c r="J85" s="78"/>
      <c r="K85" s="176"/>
      <c r="L85" s="81"/>
      <c r="M85" s="78"/>
      <c r="N85" s="176"/>
      <c r="O85" s="189"/>
      <c r="P85" s="189"/>
      <c r="Q85" s="189"/>
      <c r="R85" s="189"/>
      <c r="S85" s="189"/>
      <c r="T85" s="189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</row>
    <row r="86" spans="1:73" s="16" customFormat="1" ht="10.199999999999999">
      <c r="A86" s="201" t="s">
        <v>153</v>
      </c>
      <c r="B86" s="47"/>
      <c r="C86" s="146"/>
      <c r="D86" s="47"/>
      <c r="E86" s="181"/>
      <c r="F86" s="181"/>
      <c r="G86" s="172"/>
      <c r="H86" s="76"/>
      <c r="I86" s="77"/>
      <c r="J86" s="78"/>
      <c r="K86" s="176"/>
      <c r="L86" s="81"/>
      <c r="M86" s="78"/>
      <c r="N86" s="176"/>
      <c r="O86" s="189"/>
      <c r="P86" s="189"/>
      <c r="Q86" s="189"/>
      <c r="R86" s="189"/>
      <c r="S86" s="189"/>
      <c r="T86" s="189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</row>
    <row r="87" spans="1:73" s="16" customFormat="1" ht="10.199999999999999">
      <c r="A87" s="45" t="str">
        <f>'Accrual - Realloc (Final Alloc)'!A57</f>
        <v>Turkey Point Common</v>
      </c>
      <c r="B87" s="47"/>
      <c r="C87" s="70">
        <f>'Accrual - Realloc (Final Alloc)'!I57</f>
        <v>14068273.720599046</v>
      </c>
      <c r="D87" s="47"/>
      <c r="E87" s="48">
        <f>'Accrual - Realloc (Final Alloc)'!Z57</f>
        <v>2047</v>
      </c>
      <c r="F87" s="48">
        <f>'Accrual - Realloc (Final Alloc)'!AA57</f>
        <v>30</v>
      </c>
      <c r="G87" s="46"/>
      <c r="H87" s="76">
        <f>'Accrual - Realloc (Final Alloc)'!AD57</f>
        <v>11281646.862777682</v>
      </c>
      <c r="I87" s="77">
        <f>'Accrual - Realloc (Final Alloc)'!AE57</f>
        <v>27127770.874500159</v>
      </c>
      <c r="J87" s="78">
        <f t="shared" si="5"/>
        <v>38409417.737277843</v>
      </c>
      <c r="K87" s="35"/>
      <c r="L87" s="81">
        <f>'Accrual - Realloc (Final Alloc)'!X57</f>
        <v>0</v>
      </c>
      <c r="M87" s="78">
        <f t="shared" si="6"/>
        <v>38409417.737277843</v>
      </c>
      <c r="N87" s="35"/>
      <c r="O87" s="68">
        <f>'Accrual - Realloc (Final Alloc)'!AK57</f>
        <v>746604.21857041609</v>
      </c>
      <c r="P87" s="68">
        <f>'Accrual - Realloc (Final Alloc)'!AL57</f>
        <v>772579.32647285191</v>
      </c>
      <c r="Q87" s="68">
        <f>'Accrual - Realloc (Final Alloc)'!AM57</f>
        <v>799458.13437290513</v>
      </c>
      <c r="R87" s="68">
        <f>'Accrual - Realloc (Final Alloc)'!AN57</f>
        <v>827272.08289783925</v>
      </c>
      <c r="S87" s="68">
        <f t="shared" si="7"/>
        <v>786478.44057850307</v>
      </c>
      <c r="T87" s="68">
        <f t="shared" si="3"/>
        <v>65539.870048208584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</row>
    <row r="88" spans="1:73" s="16" customFormat="1" ht="10.199999999999999">
      <c r="A88" s="45" t="str">
        <f>'Accrual - Realloc (Final Alloc)'!A58</f>
        <v>Turkey Point Unit 1 *</v>
      </c>
      <c r="B88" s="47"/>
      <c r="C88" s="70">
        <f>'Accrual - Realloc (Final Alloc)'!I58</f>
        <v>13564981.250655329</v>
      </c>
      <c r="D88" s="47"/>
      <c r="E88" s="48">
        <f>'Accrual - Realloc (Final Alloc)'!Z58</f>
        <v>2047</v>
      </c>
      <c r="F88" s="48">
        <f>'Accrual - Realloc (Final Alloc)'!AA58</f>
        <v>30</v>
      </c>
      <c r="G88" s="46"/>
      <c r="H88" s="76">
        <f>'Accrual - Realloc (Final Alloc)'!AD58</f>
        <v>12249224.545073245</v>
      </c>
      <c r="I88" s="77">
        <f>'Accrual - Realloc (Final Alloc)'!AE58</f>
        <v>29549294.32781728</v>
      </c>
      <c r="J88" s="78">
        <f t="shared" si="5"/>
        <v>41798518.872890525</v>
      </c>
      <c r="K88" s="35"/>
      <c r="L88" s="81">
        <f>'Accrual - Realloc (Final Alloc)'!X58</f>
        <v>0</v>
      </c>
      <c r="M88" s="78">
        <f t="shared" si="6"/>
        <v>41798518.872890525</v>
      </c>
      <c r="N88" s="35"/>
      <c r="O88" s="68">
        <f>'Accrual - Realloc (Final Alloc)'!AK58</f>
        <v>770814.13712594577</v>
      </c>
      <c r="P88" s="68">
        <f>'Accrual - Realloc (Final Alloc)'!AL58</f>
        <v>800087.09278289368</v>
      </c>
      <c r="Q88" s="68">
        <f>'Accrual - Realloc (Final Alloc)'!AM58</f>
        <v>830471.73787523352</v>
      </c>
      <c r="R88" s="68">
        <f>'Accrual - Realloc (Final Alloc)'!AN58</f>
        <v>862010.29066801665</v>
      </c>
      <c r="S88" s="68">
        <f t="shared" si="7"/>
        <v>815845.81461302238</v>
      </c>
      <c r="T88" s="68">
        <f t="shared" si="3"/>
        <v>67987.15121775186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</row>
    <row r="89" spans="1:73" s="16" customFormat="1" ht="10.199999999999999">
      <c r="A89" s="45" t="str">
        <f>'Accrual - Realloc (Final Alloc)'!A59</f>
        <v>Turkey Point Unit 2 *</v>
      </c>
      <c r="B89" s="47"/>
      <c r="C89" s="70">
        <f>'Accrual - Realloc (Final Alloc)'!I59</f>
        <v>7384544.6277962551</v>
      </c>
      <c r="D89" s="47"/>
      <c r="E89" s="48">
        <f>'Accrual - Realloc (Final Alloc)'!Z59</f>
        <v>2047</v>
      </c>
      <c r="F89" s="48">
        <f>'Accrual - Realloc (Final Alloc)'!AA59</f>
        <v>30</v>
      </c>
      <c r="G89" s="46"/>
      <c r="H89" s="76">
        <f>'Accrual - Realloc (Final Alloc)'!AD59</f>
        <v>7075226.2222276339</v>
      </c>
      <c r="I89" s="77">
        <f>'Accrual - Realloc (Final Alloc)'!AE59</f>
        <v>17095182.521118011</v>
      </c>
      <c r="J89" s="78">
        <f t="shared" si="5"/>
        <v>24170408.743345644</v>
      </c>
      <c r="K89" s="35"/>
      <c r="L89" s="81">
        <f>'Accrual - Realloc (Final Alloc)'!X59</f>
        <v>-15923728.169999998</v>
      </c>
      <c r="M89" s="78">
        <f t="shared" si="6"/>
        <v>40094136.913345642</v>
      </c>
      <c r="N89" s="35"/>
      <c r="O89" s="68">
        <f>'Accrual - Realloc (Final Alloc)'!AK59</f>
        <v>1000799.0181117454</v>
      </c>
      <c r="P89" s="68">
        <f>'Accrual - Realloc (Final Alloc)'!AL59</f>
        <v>1020011.8888034925</v>
      </c>
      <c r="Q89" s="68">
        <f>'Accrual - Realloc (Final Alloc)'!AM59</f>
        <v>1039593.5991858644</v>
      </c>
      <c r="R89" s="68">
        <f>'Accrual - Realloc (Final Alloc)'!AN59</f>
        <v>1059551.2300704462</v>
      </c>
      <c r="S89" s="68">
        <f t="shared" si="7"/>
        <v>1029988.9340428872</v>
      </c>
      <c r="T89" s="68">
        <f t="shared" si="3"/>
        <v>85832.411170240593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</row>
    <row r="90" spans="1:73" s="16" customFormat="1" ht="10.199999999999999">
      <c r="A90" s="45" t="str">
        <f>'Accrual - Realloc (Final Alloc)'!A60</f>
        <v>Turkey Point Unit 5</v>
      </c>
      <c r="B90" s="47"/>
      <c r="C90" s="70">
        <f>'Accrual - Realloc (Final Alloc)'!I60</f>
        <v>10235882.496396489</v>
      </c>
      <c r="D90" s="47"/>
      <c r="E90" s="48">
        <f>'Accrual - Realloc (Final Alloc)'!Z60</f>
        <v>2047</v>
      </c>
      <c r="F90" s="48">
        <f>'Accrual - Realloc (Final Alloc)'!AA60</f>
        <v>30</v>
      </c>
      <c r="G90" s="46"/>
      <c r="H90" s="76">
        <f>'Accrual - Realloc (Final Alloc)'!AD60</f>
        <v>10081384.012555942</v>
      </c>
      <c r="I90" s="77">
        <f>'Accrual - Realloc (Final Alloc)'!AE60</f>
        <v>24376939.190379661</v>
      </c>
      <c r="J90" s="78">
        <f t="shared" si="5"/>
        <v>34458323.202935606</v>
      </c>
      <c r="K90" s="35"/>
      <c r="L90" s="81">
        <f>'Accrual - Realloc (Final Alloc)'!X60</f>
        <v>0</v>
      </c>
      <c r="M90" s="78">
        <f t="shared" si="6"/>
        <v>34458323.202935606</v>
      </c>
      <c r="N90" s="35"/>
      <c r="O90" s="68">
        <f>'Accrual - Realloc (Final Alloc)'!AK60</f>
        <v>587905.77801732777</v>
      </c>
      <c r="P90" s="68">
        <f>'Accrual - Realloc (Final Alloc)'!AL60</f>
        <v>612967.22854065418</v>
      </c>
      <c r="Q90" s="68">
        <f>'Accrual - Realloc (Final Alloc)'!AM60</f>
        <v>639097.00723121047</v>
      </c>
      <c r="R90" s="68">
        <f>'Accrual - Realloc (Final Alloc)'!AN60</f>
        <v>666340.65515102877</v>
      </c>
      <c r="S90" s="68">
        <f t="shared" si="7"/>
        <v>626577.66723505524</v>
      </c>
      <c r="T90" s="68">
        <f t="shared" si="3"/>
        <v>52214.805602921268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</row>
    <row r="91" spans="1:73" s="16" customFormat="1" ht="10.199999999999999">
      <c r="A91" s="45"/>
      <c r="B91" s="47"/>
      <c r="C91" s="146"/>
      <c r="D91" s="47"/>
      <c r="E91" s="181"/>
      <c r="F91" s="181"/>
      <c r="G91" s="172"/>
      <c r="H91" s="76"/>
      <c r="I91" s="77"/>
      <c r="J91" s="78"/>
      <c r="K91" s="176"/>
      <c r="L91" s="81"/>
      <c r="M91" s="78"/>
      <c r="N91" s="176"/>
      <c r="O91" s="189"/>
      <c r="P91" s="189"/>
      <c r="Q91" s="189"/>
      <c r="R91" s="189"/>
      <c r="S91" s="189"/>
      <c r="T91" s="189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</row>
    <row r="92" spans="1:73" s="16" customFormat="1" ht="10.199999999999999">
      <c r="A92" s="201" t="s">
        <v>154</v>
      </c>
      <c r="B92" s="47"/>
      <c r="C92" s="146"/>
      <c r="D92" s="47"/>
      <c r="E92" s="181"/>
      <c r="F92" s="181"/>
      <c r="G92" s="172"/>
      <c r="H92" s="76"/>
      <c r="I92" s="77"/>
      <c r="J92" s="78"/>
      <c r="K92" s="176"/>
      <c r="L92" s="81"/>
      <c r="M92" s="78"/>
      <c r="N92" s="176"/>
      <c r="O92" s="189"/>
      <c r="P92" s="189"/>
      <c r="Q92" s="189"/>
      <c r="R92" s="189"/>
      <c r="S92" s="189"/>
      <c r="T92" s="189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</row>
    <row r="93" spans="1:73" s="16" customFormat="1" ht="10.199999999999999">
      <c r="A93" s="45" t="str">
        <f>'Accrual - Realloc (Final Alloc)'!A61</f>
        <v>West County Common</v>
      </c>
      <c r="B93" s="47"/>
      <c r="C93" s="70">
        <f>'Accrual - Realloc (Final Alloc)'!I61</f>
        <v>20101515.3931458</v>
      </c>
      <c r="D93" s="47"/>
      <c r="E93" s="48">
        <f>'Accrual - Realloc (Final Alloc)'!Z61</f>
        <v>2051</v>
      </c>
      <c r="F93" s="48">
        <f>'Accrual - Realloc (Final Alloc)'!AA61</f>
        <v>34</v>
      </c>
      <c r="G93" s="46"/>
      <c r="H93" s="76">
        <f>'Accrual - Realloc (Final Alloc)'!AD61</f>
        <v>17518230.402980886</v>
      </c>
      <c r="I93" s="77">
        <f>'Accrual - Realloc (Final Alloc)'!AE61</f>
        <v>42112880.819969743</v>
      </c>
      <c r="J93" s="78">
        <f t="shared" si="5"/>
        <v>59631111.22295063</v>
      </c>
      <c r="K93" s="35"/>
      <c r="L93" s="81">
        <f>'Accrual - Realloc (Final Alloc)'!X61</f>
        <v>0</v>
      </c>
      <c r="M93" s="78">
        <f t="shared" si="6"/>
        <v>59631111.22295063</v>
      </c>
      <c r="N93" s="35"/>
      <c r="O93" s="68">
        <f>'Accrual - Realloc (Final Alloc)'!AK61</f>
        <v>973764.10308386339</v>
      </c>
      <c r="P93" s="68">
        <f>'Accrual - Realloc (Final Alloc)'!AL61</f>
        <v>1006025.3356083672</v>
      </c>
      <c r="Q93" s="68">
        <f>'Accrual - Realloc (Final Alloc)'!AM61</f>
        <v>1039355.3969392566</v>
      </c>
      <c r="R93" s="68">
        <f>'Accrual - Realloc (Final Alloc)'!AN61</f>
        <v>1073789.6978444397</v>
      </c>
      <c r="S93" s="68">
        <f t="shared" si="7"/>
        <v>1023233.6333689818</v>
      </c>
      <c r="T93" s="68">
        <f t="shared" si="3"/>
        <v>85269.469447415147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</row>
    <row r="94" spans="1:73" s="16" customFormat="1" ht="10.199999999999999">
      <c r="A94" s="45" t="str">
        <f>'Accrual - Realloc (Final Alloc)'!A62</f>
        <v>West County Unit 1</v>
      </c>
      <c r="B94" s="47"/>
      <c r="C94" s="70">
        <f>'Accrual - Realloc (Final Alloc)'!I62</f>
        <v>6576916.6628913293</v>
      </c>
      <c r="D94" s="47"/>
      <c r="E94" s="48">
        <f>'Accrual - Realloc (Final Alloc)'!Z62</f>
        <v>2049</v>
      </c>
      <c r="F94" s="48">
        <f>'Accrual - Realloc (Final Alloc)'!AA62</f>
        <v>32</v>
      </c>
      <c r="G94" s="46"/>
      <c r="H94" s="76">
        <f>'Accrual - Realloc (Final Alloc)'!AD62</f>
        <v>6958462.1580918953</v>
      </c>
      <c r="I94" s="77">
        <f>'Accrual - Realloc (Final Alloc)'!AE62</f>
        <v>16832794.782014027</v>
      </c>
      <c r="J94" s="78">
        <f t="shared" si="5"/>
        <v>23791256.940105923</v>
      </c>
      <c r="K94" s="35"/>
      <c r="L94" s="81">
        <f>'Accrual - Realloc (Final Alloc)'!X62</f>
        <v>0</v>
      </c>
      <c r="M94" s="78">
        <f t="shared" si="6"/>
        <v>23791256.940105923</v>
      </c>
      <c r="N94" s="35"/>
      <c r="O94" s="68">
        <f>'Accrual - Realloc (Final Alloc)'!AK62</f>
        <v>363573.06563294929</v>
      </c>
      <c r="P94" s="68">
        <f>'Accrual - Realloc (Final Alloc)'!AL62</f>
        <v>378973.74332262797</v>
      </c>
      <c r="Q94" s="68">
        <f>'Accrual - Realloc (Final Alloc)'!AM62</f>
        <v>395026.78197003726</v>
      </c>
      <c r="R94" s="68">
        <f>'Accrual - Realloc (Final Alloc)'!AN62</f>
        <v>411759.81508765934</v>
      </c>
      <c r="S94" s="68">
        <f t="shared" si="7"/>
        <v>387333.35150331841</v>
      </c>
      <c r="T94" s="68">
        <f t="shared" si="3"/>
        <v>32277.779291943199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</row>
    <row r="95" spans="1:73" s="16" customFormat="1" ht="10.199999999999999">
      <c r="A95" s="45" t="str">
        <f>'Accrual - Realloc (Final Alloc)'!A63</f>
        <v>West County Unit 2</v>
      </c>
      <c r="B95" s="47"/>
      <c r="C95" s="70">
        <f>'Accrual - Realloc (Final Alloc)'!I63</f>
        <v>6603613.9199975152</v>
      </c>
      <c r="D95" s="47"/>
      <c r="E95" s="48">
        <f>'Accrual - Realloc (Final Alloc)'!Z63</f>
        <v>2049</v>
      </c>
      <c r="F95" s="48">
        <f>'Accrual - Realloc (Final Alloc)'!AA63</f>
        <v>32</v>
      </c>
      <c r="G95" s="46"/>
      <c r="H95" s="76">
        <f>'Accrual - Realloc (Final Alloc)'!AD63</f>
        <v>6985175.5893481625</v>
      </c>
      <c r="I95" s="77">
        <f>'Accrual - Realloc (Final Alloc)'!AE63</f>
        <v>16897326.386449881</v>
      </c>
      <c r="J95" s="78">
        <f t="shared" si="5"/>
        <v>23882501.975798044</v>
      </c>
      <c r="K95" s="35"/>
      <c r="L95" s="81">
        <f>'Accrual - Realloc (Final Alloc)'!X63</f>
        <v>0</v>
      </c>
      <c r="M95" s="78">
        <f t="shared" si="6"/>
        <v>23882501.975798044</v>
      </c>
      <c r="N95" s="35"/>
      <c r="O95" s="68">
        <f>'Accrual - Realloc (Final Alloc)'!AK63</f>
        <v>365021.72197490372</v>
      </c>
      <c r="P95" s="68">
        <f>'Accrual - Realloc (Final Alloc)'!AL63</f>
        <v>380480.77623720019</v>
      </c>
      <c r="Q95" s="68">
        <f>'Accrual - Realloc (Final Alloc)'!AM63</f>
        <v>396594.53772456711</v>
      </c>
      <c r="R95" s="68">
        <f>'Accrual - Realloc (Final Alloc)'!AN63</f>
        <v>413390.73397733696</v>
      </c>
      <c r="S95" s="68">
        <f t="shared" si="7"/>
        <v>388871.94247850199</v>
      </c>
      <c r="T95" s="68">
        <f t="shared" si="3"/>
        <v>32405.995206541833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</row>
    <row r="96" spans="1:73" s="16" customFormat="1" ht="10.199999999999999">
      <c r="A96" s="50" t="str">
        <f>'Accrual - Realloc (Final Alloc)'!A64</f>
        <v>West County Unit 3</v>
      </c>
      <c r="B96" s="47"/>
      <c r="C96" s="71">
        <f>'Accrual - Realloc (Final Alloc)'!I64</f>
        <v>6631175.3548672376</v>
      </c>
      <c r="D96" s="47"/>
      <c r="E96" s="55">
        <f>'Accrual - Realloc (Final Alloc)'!Z64</f>
        <v>2051</v>
      </c>
      <c r="F96" s="55">
        <f>'Accrual - Realloc (Final Alloc)'!AA64</f>
        <v>34</v>
      </c>
      <c r="G96" s="46"/>
      <c r="H96" s="82">
        <f>'Accrual - Realloc (Final Alloc)'!AD64</f>
        <v>7537564.1439219983</v>
      </c>
      <c r="I96" s="83">
        <f>'Accrual - Realloc (Final Alloc)'!AE64</f>
        <v>18236906.122931007</v>
      </c>
      <c r="J96" s="84">
        <f t="shared" si="5"/>
        <v>25774470.266853005</v>
      </c>
      <c r="K96" s="35"/>
      <c r="L96" s="85">
        <f>'Accrual - Realloc (Final Alloc)'!X64</f>
        <v>0</v>
      </c>
      <c r="M96" s="84">
        <f t="shared" si="6"/>
        <v>25774470.266853005</v>
      </c>
      <c r="N96" s="35"/>
      <c r="O96" s="69">
        <f>'Accrual - Realloc (Final Alloc)'!AK64</f>
        <v>354762.25725786819</v>
      </c>
      <c r="P96" s="69">
        <f>'Accrual - Realloc (Final Alloc)'!AL64</f>
        <v>369668.08226504736</v>
      </c>
      <c r="Q96" s="69">
        <f>'Accrual - Realloc (Final Alloc)'!AM64</f>
        <v>385200.19604618463</v>
      </c>
      <c r="R96" s="69">
        <f>'Accrual - Realloc (Final Alloc)'!AN64</f>
        <v>401384.91298697802</v>
      </c>
      <c r="S96" s="69">
        <f t="shared" si="7"/>
        <v>377753.86213901953</v>
      </c>
      <c r="T96" s="69">
        <f t="shared" si="3"/>
        <v>31479.488511584961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</row>
    <row r="97" spans="1:73" s="16" customFormat="1" ht="10.199999999999999">
      <c r="B97" s="7"/>
      <c r="C97" s="72"/>
      <c r="D97" s="7"/>
      <c r="E97" s="63"/>
      <c r="F97" s="46"/>
      <c r="G97" s="46"/>
      <c r="H97" s="39"/>
      <c r="I97" s="39"/>
      <c r="J97" s="35"/>
      <c r="K97" s="35"/>
      <c r="L97" s="86"/>
      <c r="M97" s="35"/>
      <c r="N97" s="35"/>
      <c r="O97" s="35"/>
      <c r="P97" s="35"/>
      <c r="Q97" s="35"/>
      <c r="R97" s="35"/>
      <c r="S97" s="35"/>
      <c r="T97" s="3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</row>
    <row r="98" spans="1:73" s="16" customFormat="1" ht="12.6" thickBot="1">
      <c r="A98" s="65" t="s">
        <v>123</v>
      </c>
      <c r="B98" s="65"/>
      <c r="C98" s="74">
        <f>SUM(C11:C97)</f>
        <v>478276387.4802565</v>
      </c>
      <c r="D98" s="65"/>
      <c r="E98" s="65"/>
      <c r="F98" s="65"/>
      <c r="G98" s="65"/>
      <c r="H98" s="74">
        <f>SUM(H11:H97)</f>
        <v>361934434.66085422</v>
      </c>
      <c r="I98" s="74">
        <f t="shared" ref="I98:T98" si="8">SUM(I11:I97)</f>
        <v>872054498.57394826</v>
      </c>
      <c r="J98" s="74">
        <f t="shared" si="8"/>
        <v>1238509183.2348025</v>
      </c>
      <c r="K98" s="74"/>
      <c r="L98" s="74">
        <f t="shared" si="8"/>
        <v>228537843.88999999</v>
      </c>
      <c r="M98" s="74">
        <f t="shared" si="8"/>
        <v>1009971339.344802</v>
      </c>
      <c r="N98" s="74"/>
      <c r="O98" s="74">
        <f t="shared" si="8"/>
        <v>29101051.800550941</v>
      </c>
      <c r="P98" s="74">
        <f t="shared" si="8"/>
        <v>23833385.538213126</v>
      </c>
      <c r="Q98" s="74">
        <f t="shared" si="8"/>
        <v>25391148.886137299</v>
      </c>
      <c r="R98" s="74">
        <f t="shared" si="8"/>
        <v>26399286.840238553</v>
      </c>
      <c r="S98" s="74">
        <f t="shared" si="8"/>
        <v>26181218.26628498</v>
      </c>
      <c r="T98" s="74">
        <f t="shared" si="8"/>
        <v>2181768.1888570818</v>
      </c>
      <c r="U98" s="4"/>
    </row>
    <row r="99" spans="1:73" s="16" customFormat="1" ht="6" customHeight="1" thickTop="1">
      <c r="A99" s="26"/>
      <c r="B99" s="26"/>
      <c r="C99" s="40"/>
      <c r="D99" s="26"/>
      <c r="E99" s="26"/>
      <c r="F99" s="26"/>
      <c r="G99" s="26"/>
      <c r="H99" s="40"/>
      <c r="I99" s="40"/>
      <c r="J99" s="40"/>
      <c r="K99" s="26"/>
      <c r="L99" s="40"/>
      <c r="M99" s="40"/>
      <c r="N99" s="26"/>
      <c r="O99" s="40"/>
      <c r="P99" s="40"/>
      <c r="Q99" s="40"/>
      <c r="R99" s="40"/>
      <c r="S99" s="40"/>
      <c r="T99" s="40"/>
      <c r="U99" s="4"/>
    </row>
    <row r="100" spans="1:73" s="16" customFormat="1">
      <c r="A100" s="8" t="s">
        <v>76</v>
      </c>
      <c r="J100" s="23"/>
      <c r="K100" s="23"/>
      <c r="L100" s="22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73" s="16" customFormat="1">
      <c r="A101" s="8" t="s">
        <v>77</v>
      </c>
      <c r="C101" s="21">
        <f>C98-'Accrual - Realloc (Final Alloc)'!I70</f>
        <v>0</v>
      </c>
      <c r="H101" s="21">
        <f>H98-'Accrual - Realloc (Final Alloc)'!AD70</f>
        <v>0</v>
      </c>
      <c r="I101" s="21">
        <f>I98-'Accrual - Realloc (Final Alloc)'!AE70</f>
        <v>0</v>
      </c>
      <c r="J101" s="21">
        <f>J98-'Accrual - Realloc (Final Alloc)'!AF70</f>
        <v>0</v>
      </c>
      <c r="L101" s="21">
        <f>L98-'Accrual - Realloc (Final Alloc)'!X70</f>
        <v>0</v>
      </c>
      <c r="M101" s="1">
        <f>M98-'Accrual - Realloc (Final Alloc)'!AG70</f>
        <v>0</v>
      </c>
      <c r="N101" s="4"/>
      <c r="O101" s="1">
        <f>O98-'Accrual - Realloc (Final Alloc)'!AK70</f>
        <v>0</v>
      </c>
      <c r="P101" s="1">
        <f>P98-'Accrual - Realloc (Final Alloc)'!AL70</f>
        <v>0</v>
      </c>
      <c r="Q101" s="1">
        <f>Q98-'Accrual - Realloc (Final Alloc)'!AM70</f>
        <v>0</v>
      </c>
      <c r="R101" s="1">
        <f>R98-'Accrual - Realloc (Final Alloc)'!AN70</f>
        <v>0</v>
      </c>
      <c r="S101" s="1">
        <f>S98-'Accrual - Realloc (Final Alloc)'!AO70</f>
        <v>0</v>
      </c>
      <c r="T101" s="1"/>
      <c r="U101" s="4"/>
      <c r="V101" s="4"/>
    </row>
    <row r="102" spans="1:73" s="16" customFormat="1">
      <c r="A102" s="8" t="s">
        <v>104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73" s="16" customFormat="1" ht="12.6">
      <c r="A103" s="16" t="s">
        <v>85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73" s="16" customFormat="1"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73" s="16" customFormat="1">
      <c r="L105" s="27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73" s="16" customFormat="1">
      <c r="L106" s="28"/>
      <c r="M106" s="4"/>
      <c r="N106" s="4"/>
      <c r="O106" s="4"/>
      <c r="P106" s="4"/>
      <c r="Q106" s="4"/>
      <c r="R106" s="4"/>
      <c r="S106" s="4"/>
      <c r="T106" s="4"/>
    </row>
    <row r="107" spans="1:73" s="16" customFormat="1">
      <c r="L107" s="23"/>
      <c r="M107" s="4"/>
      <c r="N107" s="4"/>
      <c r="O107" s="4"/>
      <c r="P107" s="4"/>
      <c r="Q107" s="4"/>
      <c r="R107" s="4"/>
      <c r="S107" s="4"/>
      <c r="T107" s="4"/>
    </row>
    <row r="108" spans="1:73" s="16" customFormat="1">
      <c r="L108" s="29"/>
      <c r="M108" s="4"/>
      <c r="N108" s="4"/>
      <c r="O108" s="4"/>
      <c r="P108" s="4"/>
      <c r="Q108" s="4"/>
      <c r="R108" s="4"/>
      <c r="S108" s="4"/>
      <c r="T108" s="4"/>
    </row>
    <row r="109" spans="1:73">
      <c r="B109" s="16"/>
      <c r="C109" s="16"/>
      <c r="D109" s="16"/>
    </row>
    <row r="110" spans="1:73">
      <c r="B110" s="16"/>
      <c r="C110" s="16"/>
      <c r="D110" s="16"/>
    </row>
    <row r="113" spans="21:21">
      <c r="U113" s="49"/>
    </row>
  </sheetData>
  <autoFilter ref="A10:S96">
    <sortState ref="A6:AN58">
      <sortCondition ref="A5:A58"/>
    </sortState>
  </autoFilter>
  <mergeCells count="4">
    <mergeCell ref="E8:F8"/>
    <mergeCell ref="H8:J8"/>
    <mergeCell ref="L8:M8"/>
    <mergeCell ref="O8:T8"/>
  </mergeCells>
  <pageMargins left="1" right="0.25" top="0.5" bottom="0.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0"/>
  <sheetViews>
    <sheetView workbookViewId="0">
      <pane xSplit="1" ySplit="11" topLeftCell="Y1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09375" defaultRowHeight="12"/>
  <cols>
    <col min="1" max="1" width="40.5546875" style="113" customWidth="1"/>
    <col min="2" max="2" width="10.44140625" style="113" customWidth="1"/>
    <col min="3" max="3" width="16" style="113" customWidth="1"/>
    <col min="4" max="4" width="10.44140625" style="113" customWidth="1"/>
    <col min="5" max="5" width="11.6640625" style="113" customWidth="1"/>
    <col min="6" max="6" width="16.88671875" style="113" customWidth="1"/>
    <col min="7" max="7" width="16.6640625" style="113" bestFit="1" customWidth="1"/>
    <col min="8" max="8" width="16" style="113" bestFit="1" customWidth="1"/>
    <col min="9" max="9" width="17.33203125" style="113" customWidth="1"/>
    <col min="10" max="10" width="12" style="113" customWidth="1"/>
    <col min="11" max="11" width="11.33203125" style="113" customWidth="1"/>
    <col min="12" max="12" width="10.88671875" style="112" customWidth="1"/>
    <col min="13" max="13" width="13.33203125" style="113" customWidth="1"/>
    <col min="14" max="15" width="12.33203125" style="112" customWidth="1"/>
    <col min="16" max="16" width="16.109375" style="112" customWidth="1"/>
    <col min="17" max="17" width="16.6640625" style="112" customWidth="1"/>
    <col min="18" max="22" width="12.33203125" style="112" customWidth="1"/>
    <col min="23" max="23" width="10.88671875" style="135" customWidth="1"/>
    <col min="24" max="24" width="11.109375" style="113" customWidth="1"/>
    <col min="25" max="25" width="11.109375" style="136" customWidth="1"/>
    <col min="26" max="26" width="9.88671875" style="113" customWidth="1"/>
    <col min="27" max="27" width="10.33203125" style="113" customWidth="1"/>
    <col min="28" max="28" width="4.88671875" style="113" customWidth="1"/>
    <col min="29" max="29" width="5.44140625" style="113" customWidth="1"/>
    <col min="30" max="30" width="12.5546875" style="113" customWidth="1"/>
    <col min="31" max="31" width="13.109375" style="113" customWidth="1"/>
    <col min="32" max="33" width="18" style="113" bestFit="1" customWidth="1"/>
    <col min="34" max="34" width="10.5546875" style="113" customWidth="1"/>
    <col min="35" max="35" width="12.88671875" style="113" customWidth="1"/>
    <col min="36" max="36" width="2.33203125" style="113" customWidth="1"/>
    <col min="37" max="37" width="11.6640625" style="113" bestFit="1" customWidth="1"/>
    <col min="38" max="38" width="15.6640625" style="113" bestFit="1" customWidth="1"/>
    <col min="39" max="39" width="16.88671875" style="113" bestFit="1" customWidth="1"/>
    <col min="40" max="40" width="11.88671875" style="113" bestFit="1" customWidth="1"/>
    <col min="41" max="41" width="13" style="113" customWidth="1"/>
    <col min="42" max="42" width="12" style="113" customWidth="1"/>
    <col min="43" max="43" width="12.33203125" style="113" customWidth="1"/>
    <col min="44" max="44" width="13.88671875" style="113" customWidth="1"/>
    <col min="45" max="45" width="18.44140625" style="113" customWidth="1"/>
    <col min="46" max="49" width="9.109375" style="113"/>
    <col min="50" max="60" width="9.6640625" style="113" bestFit="1" customWidth="1"/>
    <col min="61" max="16384" width="9.109375" style="113"/>
  </cols>
  <sheetData>
    <row r="1" spans="1:60">
      <c r="A1" s="287" t="s">
        <v>158</v>
      </c>
    </row>
    <row r="2" spans="1:60">
      <c r="A2" s="287" t="s">
        <v>157</v>
      </c>
    </row>
    <row r="7" spans="1:60">
      <c r="A7" s="202" t="s">
        <v>101</v>
      </c>
      <c r="I7" s="203">
        <v>2016</v>
      </c>
      <c r="Z7" s="275" t="s">
        <v>5</v>
      </c>
      <c r="AA7" s="276"/>
      <c r="AB7" s="276"/>
      <c r="AC7" s="277"/>
      <c r="AD7" s="278" t="s">
        <v>0</v>
      </c>
      <c r="AE7" s="278"/>
      <c r="AF7" s="278"/>
      <c r="AG7" s="278"/>
    </row>
    <row r="8" spans="1:60">
      <c r="A8" s="202" t="s">
        <v>108</v>
      </c>
      <c r="Z8" s="204"/>
      <c r="AA8" s="204"/>
      <c r="AB8" s="204"/>
      <c r="AC8" s="204"/>
      <c r="AD8" s="205">
        <v>0.3</v>
      </c>
      <c r="AE8" s="205">
        <v>0.7</v>
      </c>
      <c r="AF8" s="204"/>
    </row>
    <row r="9" spans="1:60" s="37" customFormat="1" ht="10.199999999999999">
      <c r="A9" s="202" t="s">
        <v>109</v>
      </c>
      <c r="B9" s="279" t="s">
        <v>15</v>
      </c>
      <c r="C9" s="279"/>
      <c r="D9" s="279"/>
      <c r="E9" s="279"/>
      <c r="F9" s="279"/>
      <c r="K9" s="206"/>
      <c r="L9" s="207"/>
      <c r="M9" s="206"/>
      <c r="N9" s="207"/>
      <c r="O9" s="207"/>
      <c r="P9" s="207"/>
      <c r="Q9" s="207"/>
      <c r="R9" s="207"/>
      <c r="S9" s="207"/>
      <c r="T9" s="207"/>
      <c r="U9" s="207"/>
      <c r="V9" s="207"/>
      <c r="W9" s="208"/>
      <c r="X9" s="206"/>
      <c r="Y9" s="209"/>
      <c r="Z9" s="210"/>
      <c r="AA9" s="210"/>
      <c r="AB9" s="210"/>
      <c r="AC9" s="210"/>
      <c r="AD9" s="211" t="s">
        <v>102</v>
      </c>
      <c r="AE9" s="211" t="s">
        <v>103</v>
      </c>
      <c r="AF9" s="210"/>
    </row>
    <row r="10" spans="1:60" s="37" customFormat="1" ht="10.199999999999999">
      <c r="B10" s="280" t="s">
        <v>75</v>
      </c>
      <c r="C10" s="280"/>
      <c r="D10" s="280"/>
      <c r="E10" s="280"/>
      <c r="F10" s="280"/>
      <c r="G10" s="212"/>
      <c r="H10" s="212"/>
      <c r="I10" s="212"/>
      <c r="K10" s="206"/>
      <c r="L10" s="207"/>
      <c r="M10" s="206"/>
      <c r="N10" s="213"/>
      <c r="O10" s="213"/>
      <c r="P10" s="206"/>
      <c r="Q10" s="207"/>
      <c r="R10" s="207"/>
      <c r="S10" s="207"/>
      <c r="T10" s="207"/>
      <c r="U10" s="207"/>
      <c r="V10" s="207"/>
      <c r="W10" s="208"/>
      <c r="X10" s="206"/>
      <c r="Y10" s="209"/>
      <c r="Z10" s="210"/>
      <c r="AA10" s="210"/>
      <c r="AB10" s="210"/>
      <c r="AC10" s="210"/>
      <c r="AD10" s="211"/>
      <c r="AE10" s="211"/>
      <c r="AF10" s="210"/>
      <c r="AK10" s="281" t="s">
        <v>114</v>
      </c>
      <c r="AL10" s="282"/>
      <c r="AM10" s="282"/>
      <c r="AN10" s="282"/>
      <c r="AO10" s="283"/>
    </row>
    <row r="11" spans="1:60" s="227" customFormat="1" ht="30.6">
      <c r="A11" s="214" t="s">
        <v>31</v>
      </c>
      <c r="B11" s="215" t="s">
        <v>71</v>
      </c>
      <c r="C11" s="215" t="s">
        <v>72</v>
      </c>
      <c r="D11" s="215" t="s">
        <v>73</v>
      </c>
      <c r="E11" s="216" t="s">
        <v>74</v>
      </c>
      <c r="F11" s="67" t="s">
        <v>78</v>
      </c>
      <c r="G11" s="67" t="s">
        <v>141</v>
      </c>
      <c r="H11" s="217" t="s">
        <v>142</v>
      </c>
      <c r="I11" s="56" t="s">
        <v>99</v>
      </c>
      <c r="J11" s="218" t="s">
        <v>87</v>
      </c>
      <c r="K11" s="218" t="s">
        <v>96</v>
      </c>
      <c r="L11" s="219" t="s">
        <v>94</v>
      </c>
      <c r="M11" s="220" t="s">
        <v>95</v>
      </c>
      <c r="N11" s="221" t="s">
        <v>124</v>
      </c>
      <c r="O11" s="221" t="s">
        <v>106</v>
      </c>
      <c r="P11" s="222" t="s">
        <v>16</v>
      </c>
      <c r="Q11" s="222" t="s">
        <v>17</v>
      </c>
      <c r="R11" s="222" t="s">
        <v>18</v>
      </c>
      <c r="S11" s="222" t="s">
        <v>19</v>
      </c>
      <c r="T11" s="222" t="s">
        <v>20</v>
      </c>
      <c r="U11" s="222" t="s">
        <v>21</v>
      </c>
      <c r="V11" s="222"/>
      <c r="W11" s="223" t="s">
        <v>100</v>
      </c>
      <c r="X11" s="224" t="s">
        <v>86</v>
      </c>
      <c r="Y11" s="225" t="s">
        <v>98</v>
      </c>
      <c r="Z11" s="226" t="s">
        <v>112</v>
      </c>
      <c r="AA11" s="226" t="s">
        <v>116</v>
      </c>
      <c r="AB11" s="227" t="s">
        <v>4</v>
      </c>
      <c r="AC11" s="227" t="s">
        <v>6</v>
      </c>
      <c r="AD11" s="226" t="s">
        <v>110</v>
      </c>
      <c r="AE11" s="226" t="s">
        <v>111</v>
      </c>
      <c r="AF11" s="227" t="s">
        <v>113</v>
      </c>
      <c r="AG11" s="226" t="s">
        <v>8</v>
      </c>
      <c r="AH11" s="226" t="s">
        <v>9</v>
      </c>
      <c r="AI11" s="226" t="s">
        <v>10</v>
      </c>
      <c r="AK11" s="228">
        <v>2017</v>
      </c>
      <c r="AL11" s="228">
        <v>2018</v>
      </c>
      <c r="AM11" s="228">
        <v>2019</v>
      </c>
      <c r="AN11" s="228">
        <v>2020</v>
      </c>
      <c r="AO11" s="228" t="s">
        <v>115</v>
      </c>
      <c r="AP11" s="37"/>
      <c r="AQ11" s="37"/>
      <c r="AR11" s="37"/>
      <c r="AS11" s="37"/>
    </row>
    <row r="12" spans="1:60" s="38" customFormat="1" ht="10.199999999999999">
      <c r="A12" s="161" t="s">
        <v>32</v>
      </c>
      <c r="B12" s="142">
        <v>3044964</v>
      </c>
      <c r="C12" s="142">
        <v>3859696</v>
      </c>
      <c r="D12" s="142">
        <v>1662840</v>
      </c>
      <c r="E12" s="141">
        <v>-2151560</v>
      </c>
      <c r="F12" s="229">
        <v>6415940</v>
      </c>
      <c r="G12" s="229"/>
      <c r="H12" s="229">
        <f t="shared" ref="H12:H57" si="0">F12</f>
        <v>6415940</v>
      </c>
      <c r="I12" s="150">
        <f>B12*VLOOKUP(I$7,'GI Factors'!A:M,4,FALSE)+C12*VLOOKUP(I$7,'GI Factors'!A:M,7,FALSE)+D12*VLOOKUP(I$7,'GI Factors'!A:M,10,FALSE)+E12*VLOOKUP(I$7,'GI Factors'!A:M,13,FALSE)</f>
        <v>6601100.6268067798</v>
      </c>
      <c r="J12" s="151">
        <v>0</v>
      </c>
      <c r="K12" s="150">
        <v>0</v>
      </c>
      <c r="L12" s="152"/>
      <c r="M12" s="151">
        <f t="shared" ref="M12:M43" si="1">J12+K12+L12</f>
        <v>0</v>
      </c>
      <c r="N12" s="153"/>
      <c r="O12" s="154"/>
      <c r="P12" s="153">
        <f t="shared" ref="P12:P38" si="2">AF12-((AA12/W12)*AF12)</f>
        <v>597623.31231673434</v>
      </c>
      <c r="Q12" s="154">
        <f t="shared" ref="Q12:Q43" si="3">X12-P12</f>
        <v>-597623.31231673434</v>
      </c>
      <c r="R12" s="154">
        <f t="shared" ref="R12:R43" si="4">IF(Q12&lt;0,0,+Q12)</f>
        <v>0</v>
      </c>
      <c r="S12" s="151">
        <f t="shared" ref="S12:S43" si="5">+IF(Q12&gt;0,0,+Q12)</f>
        <v>-597623.31231673434</v>
      </c>
      <c r="T12" s="188">
        <f t="shared" ref="T12:T43" si="6">+$R$66*(S12/$S$66)</f>
        <v>8.3669935133003652E-12</v>
      </c>
      <c r="U12" s="188">
        <f t="shared" ref="U12:U43" si="7">-$T$66*(R12/$R$66)</f>
        <v>0</v>
      </c>
      <c r="V12" s="188">
        <f t="shared" ref="V12:V43" si="8">T12+U12</f>
        <v>8.3669935133003652E-12</v>
      </c>
      <c r="W12" s="183">
        <f t="shared" ref="W12:W43" si="9">Z12-Y12</f>
        <v>30</v>
      </c>
      <c r="X12" s="150">
        <f t="shared" ref="X12:X43" si="10">M12+N12+O12</f>
        <v>0</v>
      </c>
      <c r="Y12" s="185">
        <v>2016</v>
      </c>
      <c r="Z12" s="173">
        <v>2046</v>
      </c>
      <c r="AA12" s="172">
        <f t="shared" ref="AA12:AA38" si="11">Z12-2017</f>
        <v>29</v>
      </c>
      <c r="AB12" s="172">
        <f t="shared" ref="AB12:AB41" si="12">Z12+5</f>
        <v>2051</v>
      </c>
      <c r="AC12" s="174">
        <f t="shared" ref="AC12:AC41" si="13">Z12+6</f>
        <v>2052</v>
      </c>
      <c r="AD12" s="180">
        <f>(B12*$AD$8)*VLOOKUP(AB12,'GI Factors'!A:M,4,FALSE)+(C12*$AD$8)*VLOOKUP(AB12,'GI Factors'!A:M,7,FALSE)+(D12*$AD$8)*VLOOKUP(AB12,'GI Factors'!A:M,10,FALSE)+(E12*$AD$8)*VLOOKUP(AB12,'GI Factors'!A:M,13,FALSE)</f>
        <v>5262956.5568511561</v>
      </c>
      <c r="AE12" s="180">
        <f>(B12*$AE$8)*VLOOKUP(AC12,'GI Factors'!A:M,4,FALSE)+(C12*$AE$8)*VLOOKUP(AC12,'GI Factors'!A:M,7,FALSE)+(D12*$AE$8)*VLOOKUP(AC12,'GI Factors'!A:M,10,FALSE)+(E12*$AE$8)*VLOOKUP(AC12,'GI Factors'!A:M,13,FALSE)</f>
        <v>12665742.812650926</v>
      </c>
      <c r="AF12" s="176">
        <f t="shared" ref="AF12:AF43" si="14">SUM(AD12:AE12)</f>
        <v>17928699.369502082</v>
      </c>
      <c r="AG12" s="176">
        <f t="shared" ref="AG12:AG43" si="15">AF12-X12</f>
        <v>17928699.369502082</v>
      </c>
      <c r="AH12" s="175">
        <f t="shared" ref="AH12:AH17" si="16">RATE(AA12,,-F12,AF12)</f>
        <v>3.607038092346395E-2</v>
      </c>
      <c r="AI12" s="176">
        <f t="shared" ref="AI12:AI43" si="17">AG12/((1+AH12)^(AA12))</f>
        <v>6415939.9999999851</v>
      </c>
      <c r="AJ12" s="176"/>
      <c r="AK12" s="189">
        <f t="shared" ref="AK12:AK38" si="18">PMT((1+AH12)-1,AA12,-AI12)</f>
        <v>360396.34686982463</v>
      </c>
      <c r="AL12" s="189">
        <f t="shared" ref="AL12:AN38" si="19">AK12*(1+$AH12)</f>
        <v>373395.98038484406</v>
      </c>
      <c r="AM12" s="189">
        <f t="shared" si="19"/>
        <v>386864.51563261566</v>
      </c>
      <c r="AN12" s="189">
        <f t="shared" si="19"/>
        <v>400818.86607725546</v>
      </c>
      <c r="AO12" s="189">
        <f t="shared" ref="AO12:AO43" si="20">SUM(AK12:AN12)/4</f>
        <v>380368.92724113492</v>
      </c>
      <c r="AP12" s="37"/>
      <c r="AQ12" s="37"/>
      <c r="AR12" s="37"/>
      <c r="AS12" s="37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</row>
    <row r="13" spans="1:60" s="38" customFormat="1" ht="10.199999999999999">
      <c r="A13" s="145" t="s">
        <v>126</v>
      </c>
      <c r="B13" s="142">
        <v>3963283.137849912</v>
      </c>
      <c r="C13" s="142">
        <v>4657780.0246843081</v>
      </c>
      <c r="D13" s="142">
        <v>334053.39374473761</v>
      </c>
      <c r="E13" s="141">
        <v>-398357.96311416931</v>
      </c>
      <c r="F13" s="144">
        <v>8556758.5931647886</v>
      </c>
      <c r="G13" s="144"/>
      <c r="H13" s="144">
        <f t="shared" si="0"/>
        <v>8556758.5931647886</v>
      </c>
      <c r="I13" s="146">
        <f>B13*VLOOKUP(I$7,'GI Factors'!A:M,4,FALSE)+C13*VLOOKUP(I$7,'GI Factors'!A:M,7,FALSE)+D13*VLOOKUP(I$7,'GI Factors'!A:M,10,FALSE)+E13*VLOOKUP(I$7,'GI Factors'!A:M,13,FALSE)</f>
        <v>8745381.6041639354</v>
      </c>
      <c r="J13" s="155">
        <v>0</v>
      </c>
      <c r="K13" s="146">
        <v>0</v>
      </c>
      <c r="L13" s="156"/>
      <c r="M13" s="146">
        <f t="shared" si="1"/>
        <v>0</v>
      </c>
      <c r="N13" s="157"/>
      <c r="O13" s="148"/>
      <c r="P13" s="157">
        <f t="shared" si="2"/>
        <v>2886185.6087316237</v>
      </c>
      <c r="Q13" s="148">
        <f t="shared" si="3"/>
        <v>-2886185.6087316237</v>
      </c>
      <c r="R13" s="148">
        <f t="shared" si="4"/>
        <v>0</v>
      </c>
      <c r="S13" s="155">
        <f t="shared" si="5"/>
        <v>-2886185.6087316237</v>
      </c>
      <c r="T13" s="188">
        <f t="shared" si="6"/>
        <v>4.0407888662883681E-11</v>
      </c>
      <c r="U13" s="188">
        <f t="shared" si="7"/>
        <v>0</v>
      </c>
      <c r="V13" s="188">
        <f t="shared" si="8"/>
        <v>4.0407888662883681E-11</v>
      </c>
      <c r="W13" s="184">
        <f t="shared" si="9"/>
        <v>40</v>
      </c>
      <c r="X13" s="146">
        <f t="shared" si="10"/>
        <v>0</v>
      </c>
      <c r="Y13" s="186">
        <v>2013</v>
      </c>
      <c r="Z13" s="181">
        <v>2053</v>
      </c>
      <c r="AA13" s="172">
        <f t="shared" si="11"/>
        <v>36</v>
      </c>
      <c r="AB13" s="172">
        <f t="shared" si="12"/>
        <v>2058</v>
      </c>
      <c r="AC13" s="174">
        <f t="shared" si="13"/>
        <v>2059</v>
      </c>
      <c r="AD13" s="180">
        <f>(B13*$AD$8)*VLOOKUP(AB13,'GI Factors'!A:M,4,FALSE)+(C13*$AD$8)*VLOOKUP(AB13,'GI Factors'!A:M,7,FALSE)+(D13*$AD$8)*VLOOKUP(AB13,'GI Factors'!A:M,10,FALSE)+(E13*$AD$8)*VLOOKUP(AB13,'GI Factors'!A:M,13,FALSE)</f>
        <v>8471328.2622103151</v>
      </c>
      <c r="AE13" s="180">
        <f>(B13*$AE$8)*VLOOKUP(AC13,'GI Factors'!A:M,4,FALSE)+(C13*$AE$8)*VLOOKUP(AC13,'GI Factors'!A:M,7,FALSE)+(D13*$AE$8)*VLOOKUP(AC13,'GI Factors'!A:M,10,FALSE)+(E13*$AE$8)*VLOOKUP(AC13,'GI Factors'!A:M,13,FALSE)</f>
        <v>20390527.825105943</v>
      </c>
      <c r="AF13" s="176">
        <f t="shared" si="14"/>
        <v>28861856.08731626</v>
      </c>
      <c r="AG13" s="176">
        <f t="shared" si="15"/>
        <v>28861856.08731626</v>
      </c>
      <c r="AH13" s="175">
        <f t="shared" si="16"/>
        <v>3.4348961383848707E-2</v>
      </c>
      <c r="AI13" s="176">
        <f t="shared" si="17"/>
        <v>8556758.5931647737</v>
      </c>
      <c r="AJ13" s="176"/>
      <c r="AK13" s="189">
        <f t="shared" si="18"/>
        <v>417774.63378578803</v>
      </c>
      <c r="AL13" s="189">
        <f t="shared" si="19"/>
        <v>432124.75854884763</v>
      </c>
      <c r="AM13" s="189">
        <f t="shared" si="19"/>
        <v>446967.79519324697</v>
      </c>
      <c r="AN13" s="189">
        <f t="shared" si="19"/>
        <v>462320.67473016382</v>
      </c>
      <c r="AO13" s="189">
        <f t="shared" si="20"/>
        <v>439796.9655645116</v>
      </c>
      <c r="AP13" s="37"/>
      <c r="AQ13" s="37"/>
      <c r="AR13" s="37"/>
      <c r="AS13" s="37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</row>
    <row r="14" spans="1:60" s="38" customFormat="1" ht="10.199999999999999">
      <c r="A14" s="145" t="s">
        <v>127</v>
      </c>
      <c r="B14" s="142">
        <v>5159805.4786179485</v>
      </c>
      <c r="C14" s="142">
        <v>5637771.4381366847</v>
      </c>
      <c r="D14" s="142">
        <v>283942.02426468255</v>
      </c>
      <c r="E14" s="141">
        <v>-4218239.1345979208</v>
      </c>
      <c r="F14" s="144">
        <v>6863279.8064213945</v>
      </c>
      <c r="G14" s="144"/>
      <c r="H14" s="144">
        <f t="shared" si="0"/>
        <v>6863279.8064213945</v>
      </c>
      <c r="I14" s="146">
        <f>B14*VLOOKUP(I$7,'GI Factors'!A:M,4,FALSE)+C14*VLOOKUP(I$7,'GI Factors'!A:M,7,FALSE)+D14*VLOOKUP(I$7,'GI Factors'!A:M,10,FALSE)+E14*VLOOKUP(I$7,'GI Factors'!A:M,13,FALSE)</f>
        <v>7122444.1223503184</v>
      </c>
      <c r="J14" s="155">
        <v>0</v>
      </c>
      <c r="K14" s="146">
        <v>0</v>
      </c>
      <c r="L14" s="156"/>
      <c r="M14" s="146">
        <f t="shared" si="1"/>
        <v>0</v>
      </c>
      <c r="N14" s="157"/>
      <c r="O14" s="148"/>
      <c r="P14" s="157">
        <f t="shared" si="2"/>
        <v>2845235.5482299738</v>
      </c>
      <c r="Q14" s="148">
        <f t="shared" si="3"/>
        <v>-2845235.5482299738</v>
      </c>
      <c r="R14" s="148">
        <f t="shared" si="4"/>
        <v>0</v>
      </c>
      <c r="S14" s="155">
        <f t="shared" si="5"/>
        <v>-2845235.5482299738</v>
      </c>
      <c r="T14" s="188">
        <f t="shared" si="6"/>
        <v>3.9834569510961155E-11</v>
      </c>
      <c r="U14" s="188">
        <f t="shared" si="7"/>
        <v>0</v>
      </c>
      <c r="V14" s="188">
        <f t="shared" si="8"/>
        <v>3.9834569510961155E-11</v>
      </c>
      <c r="W14" s="184">
        <f t="shared" si="9"/>
        <v>40</v>
      </c>
      <c r="X14" s="146">
        <f t="shared" si="10"/>
        <v>0</v>
      </c>
      <c r="Y14" s="186">
        <v>2013</v>
      </c>
      <c r="Z14" s="181">
        <v>2053</v>
      </c>
      <c r="AA14" s="172">
        <f t="shared" si="11"/>
        <v>36</v>
      </c>
      <c r="AB14" s="172">
        <f t="shared" si="12"/>
        <v>2058</v>
      </c>
      <c r="AC14" s="174">
        <f t="shared" si="13"/>
        <v>2059</v>
      </c>
      <c r="AD14" s="180">
        <f>(B14*$AD$8)*VLOOKUP(AB14,'GI Factors'!A:M,4,FALSE)+(C14*$AD$8)*VLOOKUP(AB14,'GI Factors'!A:M,7,FALSE)+(D14*$AD$8)*VLOOKUP(AB14,'GI Factors'!A:M,10,FALSE)+(E14*$AD$8)*VLOOKUP(AB14,'GI Factors'!A:M,13,FALSE)</f>
        <v>8325216.5816016514</v>
      </c>
      <c r="AE14" s="180">
        <f>(B14*$AE$8)*VLOOKUP(AC14,'GI Factors'!A:M,4,FALSE)+(C14*$AE$8)*VLOOKUP(AC14,'GI Factors'!A:M,7,FALSE)+(D14*$AE$8)*VLOOKUP(AC14,'GI Factors'!A:M,10,FALSE)+(E14*$AE$8)*VLOOKUP(AC14,'GI Factors'!A:M,13,FALSE)</f>
        <v>20127138.900698096</v>
      </c>
      <c r="AF14" s="176">
        <f t="shared" si="14"/>
        <v>28452355.482299745</v>
      </c>
      <c r="AG14" s="176">
        <f t="shared" si="15"/>
        <v>28452355.482299745</v>
      </c>
      <c r="AH14" s="175">
        <f t="shared" si="16"/>
        <v>4.029181420381589E-2</v>
      </c>
      <c r="AI14" s="176">
        <f t="shared" si="17"/>
        <v>6863279.8064214187</v>
      </c>
      <c r="AJ14" s="176"/>
      <c r="AK14" s="189">
        <f t="shared" si="18"/>
        <v>364445.59465192194</v>
      </c>
      <c r="AL14" s="189">
        <f t="shared" si="19"/>
        <v>379129.76883903635</v>
      </c>
      <c r="AM14" s="189">
        <f t="shared" si="19"/>
        <v>394405.59504423442</v>
      </c>
      <c r="AN14" s="189">
        <f t="shared" si="19"/>
        <v>410296.91200070211</v>
      </c>
      <c r="AO14" s="189">
        <f t="shared" si="20"/>
        <v>387069.46763397369</v>
      </c>
      <c r="AP14" s="37"/>
      <c r="AQ14" s="37"/>
      <c r="AR14" s="37"/>
      <c r="AS14" s="37"/>
    </row>
    <row r="15" spans="1:60" s="38" customFormat="1" ht="10.199999999999999">
      <c r="A15" s="145" t="s">
        <v>128</v>
      </c>
      <c r="B15" s="142">
        <v>3044964</v>
      </c>
      <c r="C15" s="142">
        <v>3859696</v>
      </c>
      <c r="D15" s="142">
        <v>1662840</v>
      </c>
      <c r="E15" s="141">
        <v>-2151560</v>
      </c>
      <c r="F15" s="144">
        <v>6415940</v>
      </c>
      <c r="G15" s="144"/>
      <c r="H15" s="144">
        <f t="shared" si="0"/>
        <v>6415940</v>
      </c>
      <c r="I15" s="146">
        <f>B15*VLOOKUP(I$7,'GI Factors'!A:M,4,FALSE)+C15*VLOOKUP(I$7,'GI Factors'!A:M,7,FALSE)+D15*VLOOKUP(I$7,'GI Factors'!A:M,10,FALSE)+E15*VLOOKUP(I$7,'GI Factors'!A:M,13,FALSE)</f>
        <v>6601100.6268067798</v>
      </c>
      <c r="J15" s="155">
        <v>0</v>
      </c>
      <c r="K15" s="146"/>
      <c r="L15" s="156"/>
      <c r="M15" s="146">
        <f t="shared" si="1"/>
        <v>0</v>
      </c>
      <c r="N15" s="157"/>
      <c r="O15" s="148"/>
      <c r="P15" s="157">
        <f t="shared" si="2"/>
        <v>597623.31231673434</v>
      </c>
      <c r="Q15" s="148">
        <f t="shared" si="3"/>
        <v>-597623.31231673434</v>
      </c>
      <c r="R15" s="148">
        <f t="shared" si="4"/>
        <v>0</v>
      </c>
      <c r="S15" s="155">
        <f t="shared" si="5"/>
        <v>-597623.31231673434</v>
      </c>
      <c r="T15" s="188">
        <f t="shared" si="6"/>
        <v>8.3669935133003652E-12</v>
      </c>
      <c r="U15" s="188">
        <f t="shared" si="7"/>
        <v>0</v>
      </c>
      <c r="V15" s="188">
        <f t="shared" si="8"/>
        <v>8.3669935133003652E-12</v>
      </c>
      <c r="W15" s="184">
        <f t="shared" si="9"/>
        <v>30</v>
      </c>
      <c r="X15" s="146">
        <f t="shared" si="10"/>
        <v>0</v>
      </c>
      <c r="Y15" s="186">
        <v>2016</v>
      </c>
      <c r="Z15" s="181">
        <v>2046</v>
      </c>
      <c r="AA15" s="172">
        <f t="shared" si="11"/>
        <v>29</v>
      </c>
      <c r="AB15" s="172">
        <f t="shared" si="12"/>
        <v>2051</v>
      </c>
      <c r="AC15" s="174">
        <f t="shared" si="13"/>
        <v>2052</v>
      </c>
      <c r="AD15" s="180">
        <f>(B15*$AD$8)*VLOOKUP(AB15,'GI Factors'!A:M,4,FALSE)+(C15*$AD$8)*VLOOKUP(AB15,'GI Factors'!A:M,7,FALSE)+(D15*$AD$8)*VLOOKUP(AB15,'GI Factors'!A:M,10,FALSE)+(E15*$AD$8)*VLOOKUP(AB15,'GI Factors'!A:M,13,FALSE)</f>
        <v>5262956.5568511561</v>
      </c>
      <c r="AE15" s="180">
        <f>(B15*$AE$8)*VLOOKUP(AC15,'GI Factors'!A:M,4,FALSE)+(C15*$AE$8)*VLOOKUP(AC15,'GI Factors'!A:M,7,FALSE)+(D15*$AE$8)*VLOOKUP(AC15,'GI Factors'!A:M,10,FALSE)+(E15*$AE$8)*VLOOKUP(AC15,'GI Factors'!A:M,13,FALSE)</f>
        <v>12665742.812650926</v>
      </c>
      <c r="AF15" s="176">
        <f t="shared" si="14"/>
        <v>17928699.369502082</v>
      </c>
      <c r="AG15" s="176">
        <f t="shared" si="15"/>
        <v>17928699.369502082</v>
      </c>
      <c r="AH15" s="175">
        <f t="shared" si="16"/>
        <v>3.607038092346395E-2</v>
      </c>
      <c r="AI15" s="176">
        <f t="shared" si="17"/>
        <v>6415939.9999999851</v>
      </c>
      <c r="AJ15" s="176"/>
      <c r="AK15" s="189">
        <f t="shared" si="18"/>
        <v>360396.34686982463</v>
      </c>
      <c r="AL15" s="189">
        <f t="shared" si="19"/>
        <v>373395.98038484406</v>
      </c>
      <c r="AM15" s="189">
        <f t="shared" si="19"/>
        <v>386864.51563261566</v>
      </c>
      <c r="AN15" s="189">
        <f t="shared" si="19"/>
        <v>400818.86607725546</v>
      </c>
      <c r="AO15" s="189">
        <f t="shared" si="20"/>
        <v>380368.92724113492</v>
      </c>
      <c r="AP15" s="37"/>
      <c r="AQ15" s="37"/>
      <c r="AR15" s="37"/>
      <c r="AS15" s="37"/>
      <c r="AT15" s="36"/>
      <c r="AU15" s="36"/>
      <c r="AV15" s="36"/>
      <c r="AW15" s="36"/>
    </row>
    <row r="16" spans="1:60" s="38" customFormat="1" ht="10.199999999999999">
      <c r="A16" s="162" t="s">
        <v>33</v>
      </c>
      <c r="B16" s="230">
        <v>1067800</v>
      </c>
      <c r="C16" s="230">
        <v>1383509.21</v>
      </c>
      <c r="D16" s="230">
        <v>558000</v>
      </c>
      <c r="E16" s="141">
        <v>-735430.92099999997</v>
      </c>
      <c r="F16" s="231">
        <v>2273878.2889999999</v>
      </c>
      <c r="G16" s="231"/>
      <c r="H16" s="231">
        <f t="shared" si="0"/>
        <v>2273878.2889999999</v>
      </c>
      <c r="I16" s="146">
        <f>B16*VLOOKUP(I$7,'GI Factors'!A:M,4,FALSE)+C16*VLOOKUP(I$7,'GI Factors'!A:M,7,FALSE)+D16*VLOOKUP(I$7,'GI Factors'!A:M,10,FALSE)+E16*VLOOKUP(I$7,'GI Factors'!A:M,13,FALSE)</f>
        <v>2338489.6637040032</v>
      </c>
      <c r="J16" s="155">
        <v>430189</v>
      </c>
      <c r="K16" s="146">
        <v>78767</v>
      </c>
      <c r="L16" s="156"/>
      <c r="M16" s="146">
        <f t="shared" si="1"/>
        <v>508956</v>
      </c>
      <c r="N16" s="157"/>
      <c r="O16" s="148"/>
      <c r="P16" s="157">
        <f t="shared" si="2"/>
        <v>1362180.3231937839</v>
      </c>
      <c r="Q16" s="148">
        <f t="shared" si="3"/>
        <v>-853224.32319378387</v>
      </c>
      <c r="R16" s="148">
        <f t="shared" si="4"/>
        <v>0</v>
      </c>
      <c r="S16" s="155">
        <f t="shared" si="5"/>
        <v>-853224.32319378387</v>
      </c>
      <c r="T16" s="188">
        <f t="shared" si="6"/>
        <v>1.1945521920619E-11</v>
      </c>
      <c r="U16" s="188">
        <f t="shared" si="7"/>
        <v>0</v>
      </c>
      <c r="V16" s="188">
        <f t="shared" si="8"/>
        <v>1.1945521920619E-11</v>
      </c>
      <c r="W16" s="184">
        <f t="shared" si="9"/>
        <v>30</v>
      </c>
      <c r="X16" s="146">
        <f t="shared" si="10"/>
        <v>508956</v>
      </c>
      <c r="Y16" s="186">
        <v>2009</v>
      </c>
      <c r="Z16" s="181">
        <v>2039</v>
      </c>
      <c r="AA16" s="172">
        <f t="shared" si="11"/>
        <v>22</v>
      </c>
      <c r="AB16" s="172">
        <f t="shared" si="12"/>
        <v>2044</v>
      </c>
      <c r="AC16" s="174">
        <f t="shared" si="13"/>
        <v>2045</v>
      </c>
      <c r="AD16" s="180">
        <f>(B16*$AD$8)*VLOOKUP(AB16,'GI Factors'!A:M,4,FALSE)+(C16*$AD$8)*VLOOKUP(AB16,'GI Factors'!A:M,7,FALSE)+(D16*$AD$8)*VLOOKUP(AB16,'GI Factors'!A:M,10,FALSE)+(E16*$AD$8)*VLOOKUP(AB16,'GI Factors'!A:M,13,FALSE)</f>
        <v>1500706.9356934917</v>
      </c>
      <c r="AE16" s="180">
        <f>(B16*$AE$8)*VLOOKUP(AC16,'GI Factors'!A:M,4,FALSE)+(C16*$AE$8)*VLOOKUP(AC16,'GI Factors'!A:M,7,FALSE)+(D16*$AE$8)*VLOOKUP(AC16,'GI Factors'!A:M,10,FALSE)+(E16*$AE$8)*VLOOKUP(AC16,'GI Factors'!A:M,13,FALSE)</f>
        <v>3607469.2762831966</v>
      </c>
      <c r="AF16" s="176">
        <f t="shared" si="14"/>
        <v>5108176.2119766884</v>
      </c>
      <c r="AG16" s="176">
        <f t="shared" si="15"/>
        <v>4599220.2119766884</v>
      </c>
      <c r="AH16" s="175">
        <f t="shared" si="16"/>
        <v>3.7473975822654312E-2</v>
      </c>
      <c r="AI16" s="176">
        <f t="shared" si="17"/>
        <v>2047319.1511725131</v>
      </c>
      <c r="AJ16" s="176"/>
      <c r="AK16" s="189">
        <f t="shared" si="18"/>
        <v>138272.46113434315</v>
      </c>
      <c r="AL16" s="189">
        <f t="shared" si="19"/>
        <v>143454.07999983043</v>
      </c>
      <c r="AM16" s="189">
        <f t="shared" si="19"/>
        <v>148829.87472540519</v>
      </c>
      <c r="AN16" s="189">
        <f t="shared" si="19"/>
        <v>154407.12185255368</v>
      </c>
      <c r="AO16" s="189">
        <f t="shared" si="20"/>
        <v>146240.88442803311</v>
      </c>
      <c r="AP16" s="37"/>
      <c r="AQ16" s="37"/>
      <c r="AR16" s="37"/>
      <c r="AS16" s="37"/>
    </row>
    <row r="17" spans="1:70" s="38" customFormat="1" ht="10.199999999999999">
      <c r="A17" s="145" t="s">
        <v>34</v>
      </c>
      <c r="B17" s="142">
        <v>8084987.3350533694</v>
      </c>
      <c r="C17" s="142">
        <v>10741005.968765283</v>
      </c>
      <c r="D17" s="142">
        <v>697254.03265045525</v>
      </c>
      <c r="E17" s="141">
        <v>-820745.70704456419</v>
      </c>
      <c r="F17" s="144">
        <v>18702501.629424542</v>
      </c>
      <c r="G17" s="144"/>
      <c r="H17" s="144">
        <f t="shared" si="0"/>
        <v>18702501.629424542</v>
      </c>
      <c r="I17" s="146">
        <f>B17*VLOOKUP(I$7,'GI Factors'!A:M,4,FALSE)+C17*VLOOKUP(I$7,'GI Factors'!A:M,7,FALSE)+D17*VLOOKUP(I$7,'GI Factors'!A:M,10,FALSE)+E17*VLOOKUP(I$7,'GI Factors'!A:M,13,FALSE)</f>
        <v>19099026.632596582</v>
      </c>
      <c r="J17" s="155">
        <v>0</v>
      </c>
      <c r="K17" s="146">
        <v>0</v>
      </c>
      <c r="L17" s="156"/>
      <c r="M17" s="146">
        <f t="shared" si="1"/>
        <v>0</v>
      </c>
      <c r="N17" s="157"/>
      <c r="O17" s="148"/>
      <c r="P17" s="157">
        <f t="shared" si="2"/>
        <v>20543130.939218562</v>
      </c>
      <c r="Q17" s="148">
        <f t="shared" si="3"/>
        <v>-20543130.939218562</v>
      </c>
      <c r="R17" s="148">
        <f t="shared" si="4"/>
        <v>0</v>
      </c>
      <c r="S17" s="155">
        <f t="shared" si="5"/>
        <v>-20543130.939218562</v>
      </c>
      <c r="T17" s="188">
        <f t="shared" si="6"/>
        <v>2.8761301604015216E-10</v>
      </c>
      <c r="U17" s="188">
        <f t="shared" si="7"/>
        <v>0</v>
      </c>
      <c r="V17" s="188">
        <f t="shared" si="8"/>
        <v>2.8761301604015216E-10</v>
      </c>
      <c r="W17" s="184">
        <f t="shared" si="9"/>
        <v>40</v>
      </c>
      <c r="X17" s="146">
        <f t="shared" si="10"/>
        <v>0</v>
      </c>
      <c r="Y17" s="186">
        <v>1993</v>
      </c>
      <c r="Z17" s="181">
        <v>2033</v>
      </c>
      <c r="AA17" s="172">
        <f t="shared" si="11"/>
        <v>16</v>
      </c>
      <c r="AB17" s="172">
        <f t="shared" si="12"/>
        <v>2038</v>
      </c>
      <c r="AC17" s="174">
        <f t="shared" si="13"/>
        <v>2039</v>
      </c>
      <c r="AD17" s="180">
        <f>(B17*$AD$8)*VLOOKUP(AB17,'GI Factors'!A:M,4,FALSE)+(C17*$AD$8)*VLOOKUP(AB17,'GI Factors'!A:M,7,FALSE)+(D17*$AD$8)*VLOOKUP(AB17,'GI Factors'!A:M,10,FALSE)+(E17*$AD$8)*VLOOKUP(AB17,'GI Factors'!A:M,13,FALSE)</f>
        <v>10077651.904566951</v>
      </c>
      <c r="AE17" s="180">
        <f>(B17*$AE$8)*VLOOKUP(AC17,'GI Factors'!A:M,4,FALSE)+(C17*$AE$8)*VLOOKUP(AC17,'GI Factors'!A:M,7,FALSE)+(D17*$AE$8)*VLOOKUP(AC17,'GI Factors'!A:M,10,FALSE)+(E17*$AE$8)*VLOOKUP(AC17,'GI Factors'!A:M,13,FALSE)</f>
        <v>24160899.66079732</v>
      </c>
      <c r="AF17" s="176">
        <f t="shared" si="14"/>
        <v>34238551.565364271</v>
      </c>
      <c r="AG17" s="176">
        <f t="shared" si="15"/>
        <v>34238551.565364271</v>
      </c>
      <c r="AH17" s="175">
        <f t="shared" si="16"/>
        <v>3.8516689266120854E-2</v>
      </c>
      <c r="AI17" s="176">
        <f t="shared" si="17"/>
        <v>18702501.629424594</v>
      </c>
      <c r="AJ17" s="176"/>
      <c r="AK17" s="189">
        <f t="shared" si="18"/>
        <v>1587535.4304285129</v>
      </c>
      <c r="AL17" s="189">
        <f t="shared" si="19"/>
        <v>1648682.0393012853</v>
      </c>
      <c r="AM17" s="189">
        <f t="shared" si="19"/>
        <v>1712183.8131076873</v>
      </c>
      <c r="AN17" s="189">
        <f t="shared" si="19"/>
        <v>1778131.4650036381</v>
      </c>
      <c r="AO17" s="189">
        <f t="shared" si="20"/>
        <v>1681633.1869602809</v>
      </c>
      <c r="AP17" s="37"/>
      <c r="AQ17" s="37"/>
      <c r="AR17" s="37"/>
      <c r="AS17" s="37"/>
      <c r="AT17" s="36"/>
      <c r="AU17" s="36"/>
    </row>
    <row r="18" spans="1:70" s="38" customFormat="1" ht="10.199999999999999">
      <c r="A18" s="145" t="s">
        <v>129</v>
      </c>
      <c r="B18" s="140">
        <v>271431.89180514473</v>
      </c>
      <c r="C18" s="140">
        <v>296575.32117438159</v>
      </c>
      <c r="D18" s="140">
        <v>30764.84081158552</v>
      </c>
      <c r="E18" s="141">
        <v>-331988.41350159526</v>
      </c>
      <c r="F18" s="144">
        <v>266783.64028951654</v>
      </c>
      <c r="G18" s="144"/>
      <c r="H18" s="144">
        <f t="shared" si="0"/>
        <v>266783.64028951654</v>
      </c>
      <c r="I18" s="146">
        <f>B18*VLOOKUP(I$7,'GI Factors'!A:M,4,FALSE)+C18*VLOOKUP(I$7,'GI Factors'!A:M,7,FALSE)+D18*VLOOKUP(I$7,'GI Factors'!A:M,10,FALSE)+E18*VLOOKUP(I$7,'GI Factors'!A:M,13,FALSE)</f>
        <v>281334.80215322704</v>
      </c>
      <c r="J18" s="155">
        <v>410083.62</v>
      </c>
      <c r="K18" s="146">
        <v>16744</v>
      </c>
      <c r="L18" s="156"/>
      <c r="M18" s="146">
        <f t="shared" si="1"/>
        <v>426827.62</v>
      </c>
      <c r="N18" s="157"/>
      <c r="O18" s="148">
        <v>-426827.62</v>
      </c>
      <c r="P18" s="157">
        <f t="shared" si="2"/>
        <v>797333.30205299542</v>
      </c>
      <c r="Q18" s="148">
        <f t="shared" si="3"/>
        <v>-797333.30205299542</v>
      </c>
      <c r="R18" s="148">
        <f t="shared" si="4"/>
        <v>0</v>
      </c>
      <c r="S18" s="155">
        <f t="shared" si="5"/>
        <v>-797333.30205299542</v>
      </c>
      <c r="T18" s="188">
        <f t="shared" si="6"/>
        <v>1.1163022641057987E-11</v>
      </c>
      <c r="U18" s="188">
        <f t="shared" si="7"/>
        <v>0</v>
      </c>
      <c r="V18" s="188">
        <f t="shared" si="8"/>
        <v>1.1163022641057987E-11</v>
      </c>
      <c r="W18" s="184">
        <f t="shared" si="9"/>
        <v>86</v>
      </c>
      <c r="X18" s="146">
        <f t="shared" si="10"/>
        <v>0</v>
      </c>
      <c r="Y18" s="186">
        <v>1970</v>
      </c>
      <c r="Z18" s="181">
        <v>2056</v>
      </c>
      <c r="AA18" s="172">
        <f t="shared" si="11"/>
        <v>39</v>
      </c>
      <c r="AB18" s="172">
        <f t="shared" si="12"/>
        <v>2061</v>
      </c>
      <c r="AC18" s="174">
        <f t="shared" si="13"/>
        <v>2062</v>
      </c>
      <c r="AD18" s="180">
        <f>(B18*$AD$8)*VLOOKUP(AB18,'GI Factors'!A:M,4,FALSE)+(C18*$AD$8)*VLOOKUP(AB18,'GI Factors'!A:M,7,FALSE)+(D18*$AD$8)*VLOOKUP(AB18,'GI Factors'!A:M,10,FALSE)+(E18*$AD$8)*VLOOKUP(AB18,'GI Factors'!A:M,13,FALSE)</f>
        <v>425974.82104859874</v>
      </c>
      <c r="AE18" s="180">
        <f>(B18*$AE$8)*VLOOKUP(AC18,'GI Factors'!A:M,4,FALSE)+(C18*$AE$8)*VLOOKUP(AC18,'GI Factors'!A:M,7,FALSE)+(D18*$AE$8)*VLOOKUP(AC18,'GI Factors'!A:M,10,FALSE)+(E18*$AE$8)*VLOOKUP(AC18,'GI Factors'!A:M,13,FALSE)</f>
        <v>1032975.4763249673</v>
      </c>
      <c r="AF18" s="176">
        <f t="shared" si="14"/>
        <v>1458950.2973735661</v>
      </c>
      <c r="AG18" s="176">
        <f t="shared" si="15"/>
        <v>1458950.2973735661</v>
      </c>
      <c r="AH18" s="175">
        <v>0</v>
      </c>
      <c r="AI18" s="176">
        <f t="shared" si="17"/>
        <v>1458950.2973735661</v>
      </c>
      <c r="AJ18" s="176"/>
      <c r="AK18" s="189">
        <f t="shared" si="18"/>
        <v>37408.981983937592</v>
      </c>
      <c r="AL18" s="189">
        <f t="shared" si="19"/>
        <v>37408.981983937592</v>
      </c>
      <c r="AM18" s="189">
        <f t="shared" si="19"/>
        <v>37408.981983937592</v>
      </c>
      <c r="AN18" s="189">
        <f t="shared" si="19"/>
        <v>37408.981983937592</v>
      </c>
      <c r="AO18" s="189">
        <f t="shared" si="20"/>
        <v>37408.981983937592</v>
      </c>
      <c r="AP18" s="37"/>
      <c r="AQ18" s="37"/>
      <c r="AR18" s="37"/>
      <c r="AS18" s="37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</row>
    <row r="19" spans="1:70" s="38" customFormat="1" ht="10.199999999999999">
      <c r="A19" s="145" t="s">
        <v>35</v>
      </c>
      <c r="B19" s="142">
        <v>2874980.8662223225</v>
      </c>
      <c r="C19" s="142">
        <v>3141297.6865009856</v>
      </c>
      <c r="D19" s="142">
        <v>219857.01626059262</v>
      </c>
      <c r="E19" s="141">
        <v>-2033814.1653708604</v>
      </c>
      <c r="F19" s="144">
        <v>4202321.4036130402</v>
      </c>
      <c r="G19" s="144"/>
      <c r="H19" s="144">
        <f t="shared" si="0"/>
        <v>4202321.4036130402</v>
      </c>
      <c r="I19" s="146">
        <f>B19*VLOOKUP(I$7,'GI Factors'!A:M,4,FALSE)+C19*VLOOKUP(I$7,'GI Factors'!A:M,7,FALSE)+D19*VLOOKUP(I$7,'GI Factors'!A:M,10,FALSE)+E19*VLOOKUP(I$7,'GI Factors'!A:M,13,FALSE)</f>
        <v>4346177.753229592</v>
      </c>
      <c r="J19" s="155">
        <v>14406436.52</v>
      </c>
      <c r="K19" s="146">
        <v>744341</v>
      </c>
      <c r="L19" s="156"/>
      <c r="M19" s="146">
        <f t="shared" si="1"/>
        <v>15150777.52</v>
      </c>
      <c r="N19" s="157">
        <v>-10003766.7812094</v>
      </c>
      <c r="O19" s="148"/>
      <c r="P19" s="157">
        <f t="shared" si="2"/>
        <v>5147010.7387906443</v>
      </c>
      <c r="Q19" s="148">
        <f t="shared" si="3"/>
        <v>-4.4703483581542969E-8</v>
      </c>
      <c r="R19" s="148">
        <f t="shared" si="4"/>
        <v>0</v>
      </c>
      <c r="S19" s="155">
        <f t="shared" si="5"/>
        <v>-4.4703483581542969E-8</v>
      </c>
      <c r="T19" s="188">
        <f t="shared" si="6"/>
        <v>6.2586875284153128E-25</v>
      </c>
      <c r="U19" s="188">
        <f t="shared" si="7"/>
        <v>0</v>
      </c>
      <c r="V19" s="188">
        <f t="shared" si="8"/>
        <v>6.2586875284153128E-25</v>
      </c>
      <c r="W19" s="184">
        <f t="shared" si="9"/>
        <v>40</v>
      </c>
      <c r="X19" s="146">
        <f t="shared" si="10"/>
        <v>5147010.7387905996</v>
      </c>
      <c r="Y19" s="186">
        <v>1993</v>
      </c>
      <c r="Z19" s="181">
        <v>2033</v>
      </c>
      <c r="AA19" s="172">
        <f t="shared" si="11"/>
        <v>16</v>
      </c>
      <c r="AB19" s="172">
        <f t="shared" si="12"/>
        <v>2038</v>
      </c>
      <c r="AC19" s="174">
        <f t="shared" si="13"/>
        <v>2039</v>
      </c>
      <c r="AD19" s="180">
        <f>(B19*$AD$8)*VLOOKUP(AB19,'GI Factors'!A:M,4,FALSE)+(C19*$AD$8)*VLOOKUP(AB19,'GI Factors'!A:M,7,FALSE)+(D19*$AD$8)*VLOOKUP(AB19,'GI Factors'!A:M,10,FALSE)+(E19*$AD$8)*VLOOKUP(AB19,'GI Factors'!A:M,13,FALSE)</f>
        <v>2517540.0955303246</v>
      </c>
      <c r="AE19" s="180">
        <f>(B19*$AE$8)*VLOOKUP(AC19,'GI Factors'!A:M,4,FALSE)+(C19*$AE$8)*VLOOKUP(AC19,'GI Factors'!A:M,7,FALSE)+(D19*$AE$8)*VLOOKUP(AC19,'GI Factors'!A:M,10,FALSE)+(E19*$AE$8)*VLOOKUP(AC19,'GI Factors'!A:M,13,FALSE)</f>
        <v>6060811.1357874162</v>
      </c>
      <c r="AF19" s="176">
        <f t="shared" si="14"/>
        <v>8578351.2313177399</v>
      </c>
      <c r="AG19" s="176">
        <f t="shared" si="15"/>
        <v>3431340.4925271403</v>
      </c>
      <c r="AH19" s="175">
        <f>RATE(AA19,,-F19,AF19)</f>
        <v>4.5609835865701914E-2</v>
      </c>
      <c r="AI19" s="176">
        <f t="shared" si="17"/>
        <v>1680928.5614452346</v>
      </c>
      <c r="AJ19" s="176"/>
      <c r="AK19" s="189">
        <f t="shared" si="18"/>
        <v>150290.42630520571</v>
      </c>
      <c r="AL19" s="189">
        <f t="shared" si="19"/>
        <v>157145.14798117251</v>
      </c>
      <c r="AM19" s="189">
        <f t="shared" si="19"/>
        <v>164312.51238768524</v>
      </c>
      <c r="AN19" s="189">
        <f t="shared" si="19"/>
        <v>171806.7791083687</v>
      </c>
      <c r="AO19" s="189">
        <f t="shared" si="20"/>
        <v>160888.71644560804</v>
      </c>
      <c r="AP19" s="37"/>
      <c r="AQ19" s="37"/>
      <c r="AR19" s="37"/>
      <c r="AS19" s="37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</row>
    <row r="20" spans="1:70" s="38" customFormat="1" ht="10.199999999999999">
      <c r="A20" s="145" t="s">
        <v>36</v>
      </c>
      <c r="B20" s="142">
        <v>2873673.6350777852</v>
      </c>
      <c r="C20" s="142">
        <v>3139869.3631968894</v>
      </c>
      <c r="D20" s="142">
        <v>221884.49033871724</v>
      </c>
      <c r="E20" s="141">
        <v>-2038541.4686474747</v>
      </c>
      <c r="F20" s="144">
        <v>4196886.0199659178</v>
      </c>
      <c r="G20" s="144"/>
      <c r="H20" s="144">
        <f t="shared" si="0"/>
        <v>4196886.0199659178</v>
      </c>
      <c r="I20" s="146">
        <f>B20*VLOOKUP(I$7,'GI Factors'!A:M,4,FALSE)+C20*VLOOKUP(I$7,'GI Factors'!A:M,7,FALSE)+D20*VLOOKUP(I$7,'GI Factors'!A:M,10,FALSE)+E20*VLOOKUP(I$7,'GI Factors'!A:M,13,FALSE)</f>
        <v>4340749.7506353883</v>
      </c>
      <c r="J20" s="155">
        <v>11279747.52</v>
      </c>
      <c r="K20" s="146">
        <v>594360</v>
      </c>
      <c r="L20" s="156"/>
      <c r="M20" s="146">
        <f t="shared" si="1"/>
        <v>11874107.52</v>
      </c>
      <c r="N20" s="157">
        <v>-6732472.6481782999</v>
      </c>
      <c r="O20" s="148"/>
      <c r="P20" s="157">
        <f t="shared" si="2"/>
        <v>5141634.8718217015</v>
      </c>
      <c r="Q20" s="148">
        <f t="shared" si="3"/>
        <v>0</v>
      </c>
      <c r="R20" s="148">
        <f t="shared" si="4"/>
        <v>0</v>
      </c>
      <c r="S20" s="155">
        <f t="shared" si="5"/>
        <v>0</v>
      </c>
      <c r="T20" s="188">
        <f t="shared" si="6"/>
        <v>0</v>
      </c>
      <c r="U20" s="188">
        <f t="shared" si="7"/>
        <v>0</v>
      </c>
      <c r="V20" s="188">
        <f t="shared" si="8"/>
        <v>0</v>
      </c>
      <c r="W20" s="184">
        <f t="shared" si="9"/>
        <v>40</v>
      </c>
      <c r="X20" s="146">
        <f t="shared" si="10"/>
        <v>5141634.8718216997</v>
      </c>
      <c r="Y20" s="186">
        <v>1993</v>
      </c>
      <c r="Z20" s="181">
        <v>2033</v>
      </c>
      <c r="AA20" s="172">
        <f t="shared" si="11"/>
        <v>16</v>
      </c>
      <c r="AB20" s="172">
        <f t="shared" si="12"/>
        <v>2038</v>
      </c>
      <c r="AC20" s="174">
        <f t="shared" si="13"/>
        <v>2039</v>
      </c>
      <c r="AD20" s="180">
        <f>(B20*$AD$8)*VLOOKUP(AB20,'GI Factors'!A:M,4,FALSE)+(C20*$AD$8)*VLOOKUP(AB20,'GI Factors'!A:M,7,FALSE)+(D20*$AD$8)*VLOOKUP(AB20,'GI Factors'!A:M,10,FALSE)+(E20*$AD$8)*VLOOKUP(AB20,'GI Factors'!A:M,13,FALSE)</f>
        <v>2514895.2964644963</v>
      </c>
      <c r="AE20" s="180">
        <f>(B20*$AE$8)*VLOOKUP(AC20,'GI Factors'!A:M,4,FALSE)+(C20*$AE$8)*VLOOKUP(AC20,'GI Factors'!A:M,7,FALSE)+(D20*$AE$8)*VLOOKUP(AC20,'GI Factors'!A:M,10,FALSE)+(E20*$AE$8)*VLOOKUP(AC20,'GI Factors'!A:M,13,FALSE)</f>
        <v>6054496.1565716732</v>
      </c>
      <c r="AF20" s="176">
        <f t="shared" si="14"/>
        <v>8569391.4530361705</v>
      </c>
      <c r="AG20" s="176">
        <f t="shared" si="15"/>
        <v>3427756.5812144708</v>
      </c>
      <c r="AH20" s="175">
        <f>RATE(AA20,,-F20,AF20)</f>
        <v>4.5626124732592047E-2</v>
      </c>
      <c r="AI20" s="176">
        <f t="shared" si="17"/>
        <v>1678754.4079863713</v>
      </c>
      <c r="AJ20" s="176"/>
      <c r="AK20" s="189">
        <f t="shared" si="18"/>
        <v>150113.71524599631</v>
      </c>
      <c r="AL20" s="189">
        <f t="shared" si="19"/>
        <v>156962.82234188294</v>
      </c>
      <c r="AM20" s="189">
        <f t="shared" si="19"/>
        <v>164124.42765243337</v>
      </c>
      <c r="AN20" s="189">
        <f t="shared" si="19"/>
        <v>171612.78926016856</v>
      </c>
      <c r="AO20" s="189">
        <f t="shared" si="20"/>
        <v>160703.4386251203</v>
      </c>
      <c r="AP20" s="37"/>
      <c r="AQ20" s="37"/>
      <c r="AR20" s="37"/>
      <c r="AS20" s="37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</row>
    <row r="21" spans="1:70" s="38" customFormat="1" ht="10.199999999999999">
      <c r="A21" s="145" t="s">
        <v>37</v>
      </c>
      <c r="B21" s="140">
        <v>3084619.4830904133</v>
      </c>
      <c r="C21" s="140">
        <v>3370355.6638621725</v>
      </c>
      <c r="D21" s="140">
        <v>253285.62576862256</v>
      </c>
      <c r="E21" s="141">
        <v>-2639363.6040507075</v>
      </c>
      <c r="F21" s="144">
        <v>4068897.1686705011</v>
      </c>
      <c r="G21" s="144"/>
      <c r="H21" s="144">
        <f t="shared" si="0"/>
        <v>4068897.1686705011</v>
      </c>
      <c r="I21" s="146">
        <f>B21*VLOOKUP(I$7,'GI Factors'!A:M,4,FALSE)+C21*VLOOKUP(I$7,'GI Factors'!A:M,7,FALSE)+D21*VLOOKUP(I$7,'GI Factors'!A:M,10,FALSE)+E21*VLOOKUP(I$7,'GI Factors'!A:M,13,FALSE)</f>
        <v>4226111.5044410788</v>
      </c>
      <c r="J21" s="155">
        <v>0</v>
      </c>
      <c r="K21" s="146">
        <v>0</v>
      </c>
      <c r="L21" s="156"/>
      <c r="M21" s="146">
        <f t="shared" si="1"/>
        <v>0</v>
      </c>
      <c r="N21" s="157"/>
      <c r="O21" s="148">
        <v>0</v>
      </c>
      <c r="P21" s="157">
        <f t="shared" si="2"/>
        <v>472369.12267049402</v>
      </c>
      <c r="Q21" s="148">
        <f t="shared" si="3"/>
        <v>-472369.12267049402</v>
      </c>
      <c r="R21" s="148">
        <f t="shared" si="4"/>
        <v>0</v>
      </c>
      <c r="S21" s="155">
        <f t="shared" si="5"/>
        <v>-472369.12267049402</v>
      </c>
      <c r="T21" s="188">
        <f t="shared" si="6"/>
        <v>6.6133788689500188E-12</v>
      </c>
      <c r="U21" s="188">
        <f t="shared" si="7"/>
        <v>0</v>
      </c>
      <c r="V21" s="188">
        <f t="shared" si="8"/>
        <v>6.6133788689500188E-12</v>
      </c>
      <c r="W21" s="184">
        <f t="shared" si="9"/>
        <v>40</v>
      </c>
      <c r="X21" s="146">
        <f t="shared" si="10"/>
        <v>0</v>
      </c>
      <c r="Y21" s="186">
        <v>2016</v>
      </c>
      <c r="Z21" s="181">
        <v>2056</v>
      </c>
      <c r="AA21" s="172">
        <f t="shared" si="11"/>
        <v>39</v>
      </c>
      <c r="AB21" s="172">
        <f t="shared" si="12"/>
        <v>2061</v>
      </c>
      <c r="AC21" s="174">
        <f t="shared" si="13"/>
        <v>2062</v>
      </c>
      <c r="AD21" s="180">
        <f>(B21*$AD$8)*VLOOKUP(AB21,'GI Factors'!A:M,4,FALSE)+(C21*$AD$8)*VLOOKUP(AB21,'GI Factors'!A:M,7,FALSE)+(D21*$AD$8)*VLOOKUP(AB21,'GI Factors'!A:M,10,FALSE)+(E21*$AD$8)*VLOOKUP(AB21,'GI Factors'!A:M,13,FALSE)</f>
        <v>5527120.3085886072</v>
      </c>
      <c r="AE21" s="180">
        <f>(B21*$AE$8)*VLOOKUP(AC21,'GI Factors'!A:M,4,FALSE)+(C21*$AE$8)*VLOOKUP(AC21,'GI Factors'!A:M,7,FALSE)+(D21*$AE$8)*VLOOKUP(AC21,'GI Factors'!A:M,10,FALSE)+(E21*$AE$8)*VLOOKUP(AC21,'GI Factors'!A:M,13,FALSE)</f>
        <v>13367644.598231064</v>
      </c>
      <c r="AF21" s="176">
        <f t="shared" si="14"/>
        <v>18894764.906819671</v>
      </c>
      <c r="AG21" s="176">
        <f t="shared" si="15"/>
        <v>18894764.906819671</v>
      </c>
      <c r="AH21" s="175">
        <f>RATE(AA21,,-F21,AF21)</f>
        <v>4.015748085141671E-2</v>
      </c>
      <c r="AI21" s="176">
        <f t="shared" si="17"/>
        <v>4068897.1686704922</v>
      </c>
      <c r="AJ21" s="176"/>
      <c r="AK21" s="189">
        <f t="shared" si="18"/>
        <v>208240.18764911938</v>
      </c>
      <c r="AL21" s="189">
        <f t="shared" si="19"/>
        <v>216602.5889971343</v>
      </c>
      <c r="AM21" s="189">
        <f t="shared" si="19"/>
        <v>225300.803317154</v>
      </c>
      <c r="AN21" s="189">
        <f t="shared" si="19"/>
        <v>234348.31601217142</v>
      </c>
      <c r="AO21" s="189">
        <f t="shared" si="20"/>
        <v>221122.97399389479</v>
      </c>
      <c r="AP21" s="37"/>
      <c r="AQ21" s="37"/>
      <c r="AR21" s="37"/>
      <c r="AS21" s="37"/>
    </row>
    <row r="22" spans="1:70" s="38" customFormat="1" ht="10.199999999999999">
      <c r="A22" s="145" t="s">
        <v>38</v>
      </c>
      <c r="B22" s="142">
        <v>9005416.4712031446</v>
      </c>
      <c r="C22" s="142">
        <v>9885297.4769505262</v>
      </c>
      <c r="D22" s="142">
        <v>1126672.9458226848</v>
      </c>
      <c r="E22" s="141">
        <v>-743166.73079336248</v>
      </c>
      <c r="F22" s="144">
        <v>19274220.163182996</v>
      </c>
      <c r="G22" s="144"/>
      <c r="H22" s="144">
        <f t="shared" si="0"/>
        <v>19274220.163182996</v>
      </c>
      <c r="I22" s="146">
        <f>B22*VLOOKUP(I$7,'GI Factors'!A:M,4,FALSE)+C22*VLOOKUP(I$7,'GI Factors'!A:M,7,FALSE)+D22*VLOOKUP(I$7,'GI Factors'!A:M,10,FALSE)+E22*VLOOKUP(I$7,'GI Factors'!A:M,13,FALSE)</f>
        <v>19702678.675403088</v>
      </c>
      <c r="J22" s="155">
        <v>12074201.140000001</v>
      </c>
      <c r="K22" s="146">
        <v>362739</v>
      </c>
      <c r="L22" s="156"/>
      <c r="M22" s="146">
        <f t="shared" si="1"/>
        <v>12436940.140000001</v>
      </c>
      <c r="N22" s="157"/>
      <c r="O22" s="148"/>
      <c r="P22" s="157">
        <f t="shared" si="2"/>
        <v>33581857.309385583</v>
      </c>
      <c r="Q22" s="148">
        <f t="shared" si="3"/>
        <v>-21144917.169385582</v>
      </c>
      <c r="R22" s="148">
        <f t="shared" si="4"/>
        <v>0</v>
      </c>
      <c r="S22" s="155">
        <f t="shared" si="5"/>
        <v>-21144917.169385582</v>
      </c>
      <c r="T22" s="188">
        <f t="shared" si="6"/>
        <v>2.9603829226420336E-10</v>
      </c>
      <c r="U22" s="188">
        <f t="shared" si="7"/>
        <v>0</v>
      </c>
      <c r="V22" s="188">
        <f t="shared" si="8"/>
        <v>2.9603829226420336E-10</v>
      </c>
      <c r="W22" s="184">
        <f t="shared" si="9"/>
        <v>85</v>
      </c>
      <c r="X22" s="146">
        <f t="shared" si="10"/>
        <v>12436940.140000001</v>
      </c>
      <c r="Y22" s="186">
        <v>1958</v>
      </c>
      <c r="Z22" s="181">
        <v>2043</v>
      </c>
      <c r="AA22" s="172">
        <f t="shared" si="11"/>
        <v>26</v>
      </c>
      <c r="AB22" s="172">
        <f t="shared" si="12"/>
        <v>2048</v>
      </c>
      <c r="AC22" s="174">
        <f t="shared" si="13"/>
        <v>2049</v>
      </c>
      <c r="AD22" s="180">
        <f>(B22*$AD$8)*VLOOKUP(AB22,'GI Factors'!A:M,4,FALSE)+(C22*$AD$8)*VLOOKUP(AB22,'GI Factors'!A:M,7,FALSE)+(D22*$AD$8)*VLOOKUP(AB22,'GI Factors'!A:M,10,FALSE)+(E22*$AD$8)*VLOOKUP(AB22,'GI Factors'!A:M,13,FALSE)</f>
        <v>14212629.185834153</v>
      </c>
      <c r="AE22" s="180">
        <f>(B22*$AE$8)*VLOOKUP(AC22,'GI Factors'!A:M,4,FALSE)+(C22*$AE$8)*VLOOKUP(AC22,'GI Factors'!A:M,7,FALSE)+(D22*$AE$8)*VLOOKUP(AC22,'GI Factors'!A:M,10,FALSE)+(E22*$AE$8)*VLOOKUP(AC22,'GI Factors'!A:M,13,FALSE)</f>
        <v>34168012.70056881</v>
      </c>
      <c r="AF22" s="176">
        <f t="shared" si="14"/>
        <v>48380641.886402965</v>
      </c>
      <c r="AG22" s="176">
        <f t="shared" si="15"/>
        <v>35943701.746402964</v>
      </c>
      <c r="AH22" s="175">
        <f>RATE(AA22,,-F22,AF22)</f>
        <v>3.6031302525609182E-2</v>
      </c>
      <c r="AI22" s="176">
        <f t="shared" si="17"/>
        <v>14319504.535855645</v>
      </c>
      <c r="AJ22" s="176"/>
      <c r="AK22" s="189">
        <f t="shared" si="18"/>
        <v>857611.82767199399</v>
      </c>
      <c r="AL22" s="189">
        <f t="shared" si="19"/>
        <v>888512.69888438424</v>
      </c>
      <c r="AM22" s="189">
        <f t="shared" si="19"/>
        <v>920526.96873573295</v>
      </c>
      <c r="AN22" s="189">
        <f t="shared" si="19"/>
        <v>953694.7544292321</v>
      </c>
      <c r="AO22" s="189">
        <f t="shared" si="20"/>
        <v>905086.56243033591</v>
      </c>
      <c r="AP22" s="37"/>
      <c r="AQ22" s="37"/>
      <c r="AR22" s="37"/>
      <c r="AS22" s="37"/>
    </row>
    <row r="23" spans="1:70" s="38" customFormat="1" ht="10.199999999999999">
      <c r="A23" s="145" t="s">
        <v>41</v>
      </c>
      <c r="B23" s="142">
        <v>279797.71192335984</v>
      </c>
      <c r="C23" s="142">
        <v>305716.0885762751</v>
      </c>
      <c r="D23" s="142">
        <v>35103.777276715213</v>
      </c>
      <c r="E23" s="141">
        <v>-338275.51197020512</v>
      </c>
      <c r="F23" s="144">
        <v>282342.06580614508</v>
      </c>
      <c r="G23" s="144"/>
      <c r="H23" s="144">
        <f t="shared" si="0"/>
        <v>282342.06580614508</v>
      </c>
      <c r="I23" s="146">
        <f>B23*VLOOKUP(I$7,'GI Factors'!A:M,4,FALSE)+C23*VLOOKUP(I$7,'GI Factors'!A:M,7,FALSE)+D23*VLOOKUP(I$7,'GI Factors'!A:M,10,FALSE)+E23*VLOOKUP(I$7,'GI Factors'!A:M,13,FALSE)</f>
        <v>297386.09295297385</v>
      </c>
      <c r="J23" s="155">
        <v>3587451.9699999997</v>
      </c>
      <c r="K23" s="146">
        <v>110253</v>
      </c>
      <c r="L23" s="156"/>
      <c r="M23" s="146">
        <f t="shared" si="1"/>
        <v>3697704.9699999997</v>
      </c>
      <c r="N23" s="157">
        <v>-2899370.6338476101</v>
      </c>
      <c r="O23" s="148">
        <v>-798334.33615238999</v>
      </c>
      <c r="P23" s="157">
        <f t="shared" si="2"/>
        <v>798334.33615239279</v>
      </c>
      <c r="Q23" s="148">
        <f t="shared" si="3"/>
        <v>-798334.33615239279</v>
      </c>
      <c r="R23" s="148">
        <f t="shared" si="4"/>
        <v>0</v>
      </c>
      <c r="S23" s="155">
        <f t="shared" si="5"/>
        <v>-798334.33615239279</v>
      </c>
      <c r="T23" s="188">
        <f t="shared" si="6"/>
        <v>1.1177037565917229E-11</v>
      </c>
      <c r="U23" s="188">
        <f t="shared" si="7"/>
        <v>0</v>
      </c>
      <c r="V23" s="188">
        <f t="shared" si="8"/>
        <v>1.1177037565917229E-11</v>
      </c>
      <c r="W23" s="184">
        <f t="shared" si="9"/>
        <v>82</v>
      </c>
      <c r="X23" s="146">
        <f t="shared" si="10"/>
        <v>0</v>
      </c>
      <c r="Y23" s="186">
        <v>1974</v>
      </c>
      <c r="Z23" s="181">
        <v>2056</v>
      </c>
      <c r="AA23" s="172">
        <f t="shared" si="11"/>
        <v>39</v>
      </c>
      <c r="AB23" s="172">
        <f t="shared" si="12"/>
        <v>2061</v>
      </c>
      <c r="AC23" s="174">
        <f t="shared" si="13"/>
        <v>2062</v>
      </c>
      <c r="AD23" s="180">
        <f>(B23*$AD$8)*VLOOKUP(AB23,'GI Factors'!A:M,4,FALSE)+(C23*$AD$8)*VLOOKUP(AB23,'GI Factors'!A:M,7,FALSE)+(D23*$AD$8)*VLOOKUP(AB23,'GI Factors'!A:M,10,FALSE)+(E23*$AD$8)*VLOOKUP(AB23,'GI Factors'!A:M,13,FALSE)</f>
        <v>444570.86214502098</v>
      </c>
      <c r="AE23" s="180">
        <f>(B23*$AE$8)*VLOOKUP(AC23,'GI Factors'!A:M,4,FALSE)+(C23*$AE$8)*VLOOKUP(AC23,'GI Factors'!A:M,7,FALSE)+(D23*$AE$8)*VLOOKUP(AC23,'GI Factors'!A:M,10,FALSE)+(E23*$AE$8)*VLOOKUP(AC23,'GI Factors'!A:M,13,FALSE)</f>
        <v>1077834.1509827976</v>
      </c>
      <c r="AF23" s="176">
        <f t="shared" si="14"/>
        <v>1522405.0131278187</v>
      </c>
      <c r="AG23" s="176">
        <f t="shared" si="15"/>
        <v>1522405.0131278187</v>
      </c>
      <c r="AH23" s="175">
        <v>0</v>
      </c>
      <c r="AI23" s="176">
        <f t="shared" si="17"/>
        <v>1522405.0131278187</v>
      </c>
      <c r="AJ23" s="176"/>
      <c r="AK23" s="189">
        <f t="shared" si="18"/>
        <v>39036.025977636375</v>
      </c>
      <c r="AL23" s="189">
        <f t="shared" si="19"/>
        <v>39036.025977636375</v>
      </c>
      <c r="AM23" s="189">
        <f t="shared" si="19"/>
        <v>39036.025977636375</v>
      </c>
      <c r="AN23" s="189">
        <f t="shared" si="19"/>
        <v>39036.025977636375</v>
      </c>
      <c r="AO23" s="189">
        <f t="shared" si="20"/>
        <v>39036.025977636375</v>
      </c>
      <c r="AP23" s="37"/>
      <c r="AQ23" s="37"/>
      <c r="AR23" s="37"/>
      <c r="AS23" s="37"/>
    </row>
    <row r="24" spans="1:70" s="38" customFormat="1" ht="10.199999999999999">
      <c r="A24" s="145" t="s">
        <v>105</v>
      </c>
      <c r="B24" s="142">
        <v>7175939.3844995787</v>
      </c>
      <c r="C24" s="142">
        <v>7840664.9768835977</v>
      </c>
      <c r="D24" s="142">
        <v>537474.77375697368</v>
      </c>
      <c r="E24" s="141">
        <v>-6883370.5204164311</v>
      </c>
      <c r="F24" s="144">
        <v>8670708.6147237197</v>
      </c>
      <c r="G24" s="144"/>
      <c r="H24" s="144">
        <f t="shared" si="0"/>
        <v>8670708.6147237197</v>
      </c>
      <c r="I24" s="146">
        <f>B24*VLOOKUP(I$7,'GI Factors'!A:M,4,FALSE)+C24*VLOOKUP(I$7,'GI Factors'!A:M,7,FALSE)+D24*VLOOKUP(I$7,'GI Factors'!A:M,10,FALSE)+E24*VLOOKUP(I$7,'GI Factors'!A:M,13,FALSE)</f>
        <v>9039545.6438384205</v>
      </c>
      <c r="J24" s="155">
        <v>8783850.2699999996</v>
      </c>
      <c r="K24" s="146">
        <v>671970</v>
      </c>
      <c r="L24" s="156"/>
      <c r="M24" s="146">
        <f t="shared" si="1"/>
        <v>9455820.2699999996</v>
      </c>
      <c r="N24" s="157"/>
      <c r="O24" s="148"/>
      <c r="P24" s="157">
        <f t="shared" si="2"/>
        <v>9639055.1279276349</v>
      </c>
      <c r="Q24" s="148">
        <f t="shared" si="3"/>
        <v>-183234.85792763531</v>
      </c>
      <c r="R24" s="148">
        <f t="shared" si="4"/>
        <v>0</v>
      </c>
      <c r="S24" s="155">
        <f t="shared" si="5"/>
        <v>-183234.85792763531</v>
      </c>
      <c r="T24" s="188">
        <f t="shared" si="6"/>
        <v>2.5653699179634714E-12</v>
      </c>
      <c r="U24" s="188">
        <f t="shared" si="7"/>
        <v>0</v>
      </c>
      <c r="V24" s="188">
        <f t="shared" si="8"/>
        <v>2.5653699179634714E-12</v>
      </c>
      <c r="W24" s="184">
        <f t="shared" si="9"/>
        <v>41</v>
      </c>
      <c r="X24" s="146">
        <f t="shared" si="10"/>
        <v>9455820.2699999996</v>
      </c>
      <c r="Y24" s="186">
        <v>2002</v>
      </c>
      <c r="Z24" s="181">
        <v>2043</v>
      </c>
      <c r="AA24" s="172">
        <f t="shared" si="11"/>
        <v>26</v>
      </c>
      <c r="AB24" s="172">
        <f t="shared" si="12"/>
        <v>2048</v>
      </c>
      <c r="AC24" s="174">
        <f t="shared" si="13"/>
        <v>2049</v>
      </c>
      <c r="AD24" s="180">
        <f>(B24*$AD$8)*VLOOKUP(AB24,'GI Factors'!A:M,4,FALSE)+(C24*$AD$8)*VLOOKUP(AB24,'GI Factors'!A:M,7,FALSE)+(D24*$AD$8)*VLOOKUP(AB24,'GI Factors'!A:M,10,FALSE)+(E24*$AD$8)*VLOOKUP(AB24,'GI Factors'!A:M,13,FALSE)</f>
        <v>7709606.0916411951</v>
      </c>
      <c r="AE24" s="180">
        <f>(B24*$AE$8)*VLOOKUP(AC24,'GI Factors'!A:M,4,FALSE)+(C24*$AE$8)*VLOOKUP(AC24,'GI Factors'!A:M,7,FALSE)+(D24*$AE$8)*VLOOKUP(AC24,'GI Factors'!A:M,10,FALSE)+(E24*$AE$8)*VLOOKUP(AC24,'GI Factors'!A:M,13,FALSE)</f>
        <v>18637144.591361009</v>
      </c>
      <c r="AF24" s="176">
        <f t="shared" si="14"/>
        <v>26346750.683002204</v>
      </c>
      <c r="AG24" s="176">
        <f t="shared" si="15"/>
        <v>16890930.413002204</v>
      </c>
      <c r="AH24" s="175">
        <f t="shared" ref="AH24:AH41" si="21">RATE(AA24,,-F24,AF24)</f>
        <v>4.3672705452298184E-2</v>
      </c>
      <c r="AI24" s="176">
        <f t="shared" si="17"/>
        <v>5558800.6887393724</v>
      </c>
      <c r="AJ24" s="176"/>
      <c r="AK24" s="189">
        <f t="shared" si="18"/>
        <v>361853.88064675522</v>
      </c>
      <c r="AL24" s="189">
        <f t="shared" si="19"/>
        <v>377657.01859301206</v>
      </c>
      <c r="AM24" s="189">
        <f t="shared" si="19"/>
        <v>394150.32232801779</v>
      </c>
      <c r="AN24" s="189">
        <f t="shared" si="19"/>
        <v>411363.93325897772</v>
      </c>
      <c r="AO24" s="189">
        <f t="shared" si="20"/>
        <v>386256.28870669071</v>
      </c>
      <c r="AP24" s="37"/>
      <c r="AQ24" s="37"/>
      <c r="AR24" s="37"/>
      <c r="AS24" s="37"/>
    </row>
    <row r="25" spans="1:70" s="38" customFormat="1" ht="10.199999999999999">
      <c r="A25" s="145" t="s">
        <v>39</v>
      </c>
      <c r="B25" s="142">
        <v>1188218.3529118234</v>
      </c>
      <c r="C25" s="142">
        <v>1298286.0536266556</v>
      </c>
      <c r="D25" s="142">
        <v>110757.46006480232</v>
      </c>
      <c r="E25" s="141">
        <v>-1089776.1652349504</v>
      </c>
      <c r="F25" s="144">
        <v>1507485.701368331</v>
      </c>
      <c r="G25" s="144"/>
      <c r="H25" s="144">
        <f t="shared" si="0"/>
        <v>1507485.701368331</v>
      </c>
      <c r="I25" s="146">
        <f>B25*VLOOKUP(I$7,'GI Factors'!A:M,4,FALSE)+C25*VLOOKUP(I$7,'GI Factors'!A:M,7,FALSE)+D25*VLOOKUP(I$7,'GI Factors'!A:M,10,FALSE)+E25*VLOOKUP(I$7,'GI Factors'!A:M,13,FALSE)</f>
        <v>1568707.4460540633</v>
      </c>
      <c r="J25" s="155">
        <v>2875046</v>
      </c>
      <c r="K25" s="146">
        <v>282126</v>
      </c>
      <c r="L25" s="156"/>
      <c r="M25" s="146">
        <f t="shared" si="1"/>
        <v>3157172</v>
      </c>
      <c r="N25" s="157">
        <v>-1582792.71685521</v>
      </c>
      <c r="O25" s="148"/>
      <c r="P25" s="157">
        <f t="shared" si="2"/>
        <v>1574379.2831447939</v>
      </c>
      <c r="Q25" s="148">
        <f t="shared" si="3"/>
        <v>-3.9581209421157837E-9</v>
      </c>
      <c r="R25" s="148">
        <f t="shared" si="4"/>
        <v>0</v>
      </c>
      <c r="S25" s="155">
        <f t="shared" si="5"/>
        <v>-3.9581209421157837E-9</v>
      </c>
      <c r="T25" s="188">
        <f t="shared" si="6"/>
        <v>5.5415462491177243E-26</v>
      </c>
      <c r="U25" s="188">
        <f t="shared" si="7"/>
        <v>0</v>
      </c>
      <c r="V25" s="188">
        <f t="shared" si="8"/>
        <v>5.5415462491177243E-26</v>
      </c>
      <c r="W25" s="184">
        <f t="shared" si="9"/>
        <v>40</v>
      </c>
      <c r="X25" s="146">
        <f t="shared" si="10"/>
        <v>1574379.28314479</v>
      </c>
      <c r="Y25" s="186">
        <v>2003</v>
      </c>
      <c r="Z25" s="181">
        <v>2043</v>
      </c>
      <c r="AA25" s="172">
        <f t="shared" si="11"/>
        <v>26</v>
      </c>
      <c r="AB25" s="172">
        <f t="shared" si="12"/>
        <v>2048</v>
      </c>
      <c r="AC25" s="174">
        <f t="shared" si="13"/>
        <v>2049</v>
      </c>
      <c r="AD25" s="180">
        <f>(B25*$AD$8)*VLOOKUP(AB25,'GI Factors'!A:M,4,FALSE)+(C25*$AD$8)*VLOOKUP(AB25,'GI Factors'!A:M,7,FALSE)+(D25*$AD$8)*VLOOKUP(AB25,'GI Factors'!A:M,10,FALSE)+(E25*$AD$8)*VLOOKUP(AB25,'GI Factors'!A:M,13,FALSE)</f>
        <v>1316721.4724113406</v>
      </c>
      <c r="AE25" s="180">
        <f>(B25*$AE$8)*VLOOKUP(AC25,'GI Factors'!A:M,4,FALSE)+(C25*$AE$8)*VLOOKUP(AC25,'GI Factors'!A:M,7,FALSE)+(D25*$AE$8)*VLOOKUP(AC25,'GI Factors'!A:M,10,FALSE)+(E25*$AE$8)*VLOOKUP(AC25,'GI Factors'!A:M,13,FALSE)</f>
        <v>3181505.0508594988</v>
      </c>
      <c r="AF25" s="176">
        <f t="shared" si="14"/>
        <v>4498226.5232708398</v>
      </c>
      <c r="AG25" s="176">
        <f t="shared" si="15"/>
        <v>2923847.2401260501</v>
      </c>
      <c r="AH25" s="175">
        <f t="shared" si="21"/>
        <v>4.2944219929843895E-2</v>
      </c>
      <c r="AI25" s="176">
        <f t="shared" si="17"/>
        <v>979865.70588941674</v>
      </c>
      <c r="AJ25" s="176"/>
      <c r="AK25" s="189">
        <f t="shared" si="18"/>
        <v>63289.81407145963</v>
      </c>
      <c r="AL25" s="189">
        <f t="shared" si="19"/>
        <v>66007.745766263324</v>
      </c>
      <c r="AM25" s="189">
        <f t="shared" si="19"/>
        <v>68842.396917522958</v>
      </c>
      <c r="AN25" s="189">
        <f t="shared" si="19"/>
        <v>71798.779951246674</v>
      </c>
      <c r="AO25" s="189">
        <f t="shared" si="20"/>
        <v>67484.684176623152</v>
      </c>
      <c r="AP25" s="37"/>
      <c r="AQ25" s="37"/>
      <c r="AR25" s="37"/>
      <c r="AS25" s="37"/>
    </row>
    <row r="26" spans="1:70" s="38" customFormat="1" ht="10.199999999999999">
      <c r="A26" s="145" t="s">
        <v>40</v>
      </c>
      <c r="B26" s="142">
        <v>1248029.2271268519</v>
      </c>
      <c r="C26" s="142">
        <v>1363637.3618759331</v>
      </c>
      <c r="D26" s="142">
        <v>117828.17030744902</v>
      </c>
      <c r="E26" s="141">
        <v>-1066074.5979666132</v>
      </c>
      <c r="F26" s="144">
        <v>1663420.1613436211</v>
      </c>
      <c r="G26" s="144"/>
      <c r="H26" s="144">
        <f t="shared" si="0"/>
        <v>1663420.1613436211</v>
      </c>
      <c r="I26" s="146">
        <f>B26*VLOOKUP(I$7,'GI Factors'!A:M,4,FALSE)+C26*VLOOKUP(I$7,'GI Factors'!A:M,7,FALSE)+D26*VLOOKUP(I$7,'GI Factors'!A:M,10,FALSE)+E26*VLOOKUP(I$7,'GI Factors'!A:M,13,FALSE)</f>
        <v>1727318.3781717222</v>
      </c>
      <c r="J26" s="155">
        <v>0</v>
      </c>
      <c r="K26" s="146">
        <v>0</v>
      </c>
      <c r="L26" s="156"/>
      <c r="M26" s="146">
        <f t="shared" si="1"/>
        <v>0</v>
      </c>
      <c r="N26" s="157"/>
      <c r="O26" s="148"/>
      <c r="P26" s="157">
        <f t="shared" si="2"/>
        <v>192296.51532690041</v>
      </c>
      <c r="Q26" s="148">
        <f t="shared" si="3"/>
        <v>-192296.51532690041</v>
      </c>
      <c r="R26" s="148">
        <f t="shared" si="4"/>
        <v>0</v>
      </c>
      <c r="S26" s="155">
        <f t="shared" si="5"/>
        <v>-192296.51532690041</v>
      </c>
      <c r="T26" s="188">
        <f t="shared" si="6"/>
        <v>2.692237172163251E-12</v>
      </c>
      <c r="U26" s="188">
        <f t="shared" si="7"/>
        <v>0</v>
      </c>
      <c r="V26" s="188">
        <f t="shared" si="8"/>
        <v>2.692237172163251E-12</v>
      </c>
      <c r="W26" s="184">
        <f t="shared" si="9"/>
        <v>40</v>
      </c>
      <c r="X26" s="146">
        <f t="shared" si="10"/>
        <v>0</v>
      </c>
      <c r="Y26" s="186">
        <v>2016</v>
      </c>
      <c r="Z26" s="181">
        <v>2056</v>
      </c>
      <c r="AA26" s="172">
        <f t="shared" si="11"/>
        <v>39</v>
      </c>
      <c r="AB26" s="172">
        <f t="shared" si="12"/>
        <v>2061</v>
      </c>
      <c r="AC26" s="174">
        <f t="shared" si="13"/>
        <v>2062</v>
      </c>
      <c r="AD26" s="180">
        <f>(B26*$AD$8)*VLOOKUP(AB26,'GI Factors'!A:M,4,FALSE)+(C26*$AD$8)*VLOOKUP(AB26,'GI Factors'!A:M,7,FALSE)+(D26*$AD$8)*VLOOKUP(AB26,'GI Factors'!A:M,10,FALSE)+(E26*$AD$8)*VLOOKUP(AB26,'GI Factors'!A:M,13,FALSE)</f>
        <v>2250160.3743443396</v>
      </c>
      <c r="AE26" s="180">
        <f>(B26*$AE$8)*VLOOKUP(AC26,'GI Factors'!A:M,4,FALSE)+(C26*$AE$8)*VLOOKUP(AC26,'GI Factors'!A:M,7,FALSE)+(D26*$AE$8)*VLOOKUP(AC26,'GI Factors'!A:M,10,FALSE)+(E26*$AE$8)*VLOOKUP(AC26,'GI Factors'!A:M,13,FALSE)</f>
        <v>5441700.2387316832</v>
      </c>
      <c r="AF26" s="176">
        <f t="shared" si="14"/>
        <v>7691860.6130760228</v>
      </c>
      <c r="AG26" s="176">
        <f t="shared" si="15"/>
        <v>7691860.6130760228</v>
      </c>
      <c r="AH26" s="175">
        <f t="shared" si="21"/>
        <v>4.0044776233683903E-2</v>
      </c>
      <c r="AI26" s="176">
        <f t="shared" si="17"/>
        <v>1663420.161343612</v>
      </c>
      <c r="AJ26" s="176"/>
      <c r="AK26" s="189">
        <f t="shared" si="18"/>
        <v>84991.258976573445</v>
      </c>
      <c r="AL26" s="189">
        <f t="shared" si="19"/>
        <v>88394.714924109416</v>
      </c>
      <c r="AM26" s="189">
        <f t="shared" si="19"/>
        <v>91934.461503485669</v>
      </c>
      <c r="AN26" s="189">
        <f t="shared" si="19"/>
        <v>95615.956442556984</v>
      </c>
      <c r="AO26" s="189">
        <f t="shared" si="20"/>
        <v>90234.097961681386</v>
      </c>
    </row>
    <row r="27" spans="1:70" s="38" customFormat="1" ht="10.199999999999999">
      <c r="A27" s="145" t="s">
        <v>42</v>
      </c>
      <c r="B27" s="142">
        <v>15784388.124417491</v>
      </c>
      <c r="C27" s="142">
        <v>14909240.261760585</v>
      </c>
      <c r="D27" s="142">
        <v>668308.13680099987</v>
      </c>
      <c r="E27" s="141">
        <v>-828432.67611856281</v>
      </c>
      <c r="F27" s="144">
        <v>30533503.846860513</v>
      </c>
      <c r="G27" s="144"/>
      <c r="H27" s="144">
        <f t="shared" si="0"/>
        <v>30533503.846860513</v>
      </c>
      <c r="I27" s="146">
        <f>B27*VLOOKUP(I$7,'GI Factors'!A:M,4,FALSE)+C27*VLOOKUP(I$7,'GI Factors'!A:M,7,FALSE)+D27*VLOOKUP(I$7,'GI Factors'!A:M,10,FALSE)+E27*VLOOKUP(I$7,'GI Factors'!A:M,13,FALSE)</f>
        <v>31234151.473281819</v>
      </c>
      <c r="J27" s="155">
        <v>22689049.920000002</v>
      </c>
      <c r="K27" s="146">
        <v>537602</v>
      </c>
      <c r="L27" s="156"/>
      <c r="M27" s="146">
        <f t="shared" si="1"/>
        <v>23226651.920000002</v>
      </c>
      <c r="N27" s="157"/>
      <c r="O27" s="148"/>
      <c r="P27" s="157">
        <f t="shared" si="2"/>
        <v>40157245.205272488</v>
      </c>
      <c r="Q27" s="148">
        <f t="shared" si="3"/>
        <v>-16930593.285272487</v>
      </c>
      <c r="R27" s="148">
        <f t="shared" si="4"/>
        <v>0</v>
      </c>
      <c r="S27" s="155">
        <f t="shared" si="5"/>
        <v>-16930593.285272487</v>
      </c>
      <c r="T27" s="188">
        <f t="shared" si="6"/>
        <v>2.3703587406095734E-10</v>
      </c>
      <c r="U27" s="188">
        <f t="shared" si="7"/>
        <v>0</v>
      </c>
      <c r="V27" s="188">
        <f t="shared" si="8"/>
        <v>2.3703587406095734E-10</v>
      </c>
      <c r="W27" s="184">
        <f t="shared" si="9"/>
        <v>52</v>
      </c>
      <c r="X27" s="146">
        <f t="shared" si="10"/>
        <v>23226651.920000002</v>
      </c>
      <c r="Y27" s="186">
        <v>1976</v>
      </c>
      <c r="Z27" s="181">
        <v>2028</v>
      </c>
      <c r="AA27" s="172">
        <f t="shared" si="11"/>
        <v>11</v>
      </c>
      <c r="AB27" s="172">
        <f t="shared" si="12"/>
        <v>2033</v>
      </c>
      <c r="AC27" s="174">
        <f t="shared" si="13"/>
        <v>2034</v>
      </c>
      <c r="AD27" s="180">
        <f>(B27*$AD$8)*VLOOKUP(AB27,'GI Factors'!A:M,4,FALSE)+(C27*$AD$8)*VLOOKUP(AB27,'GI Factors'!A:M,7,FALSE)+(D27*$AD$8)*VLOOKUP(AB27,'GI Factors'!A:M,10,FALSE)+(E27*$AD$8)*VLOOKUP(AB27,'GI Factors'!A:M,13,FALSE)</f>
        <v>14981184.263642834</v>
      </c>
      <c r="AE27" s="180">
        <f>(B27*$AE$8)*VLOOKUP(AC27,'GI Factors'!A:M,4,FALSE)+(C27*$AE$8)*VLOOKUP(AC27,'GI Factors'!A:M,7,FALSE)+(D27*$AE$8)*VLOOKUP(AC27,'GI Factors'!A:M,10,FALSE)+(E27*$AE$8)*VLOOKUP(AC27,'GI Factors'!A:M,13,FALSE)</f>
        <v>35949955.99670276</v>
      </c>
      <c r="AF27" s="176">
        <f t="shared" si="14"/>
        <v>50931140.260345593</v>
      </c>
      <c r="AG27" s="176">
        <f t="shared" si="15"/>
        <v>27704488.340345591</v>
      </c>
      <c r="AH27" s="175">
        <f t="shared" si="21"/>
        <v>4.7612360967739936E-2</v>
      </c>
      <c r="AI27" s="176">
        <f t="shared" si="17"/>
        <v>16608995.930410473</v>
      </c>
      <c r="AJ27" s="176"/>
      <c r="AK27" s="189">
        <f t="shared" si="18"/>
        <v>1974543.2429247971</v>
      </c>
      <c r="AL27" s="189">
        <f t="shared" si="19"/>
        <v>2068555.9085533442</v>
      </c>
      <c r="AM27" s="189">
        <f t="shared" si="19"/>
        <v>2167044.7391533372</v>
      </c>
      <c r="AN27" s="189">
        <f t="shared" si="19"/>
        <v>2270222.8555071475</v>
      </c>
      <c r="AO27" s="189">
        <f t="shared" si="20"/>
        <v>2120091.6865346562</v>
      </c>
    </row>
    <row r="28" spans="1:70" s="38" customFormat="1" ht="10.199999999999999">
      <c r="A28" s="145" t="s">
        <v>46</v>
      </c>
      <c r="B28" s="142">
        <v>3044964</v>
      </c>
      <c r="C28" s="142">
        <v>3859696</v>
      </c>
      <c r="D28" s="142">
        <v>1662840</v>
      </c>
      <c r="E28" s="141">
        <v>-2151560</v>
      </c>
      <c r="F28" s="144">
        <v>6415940</v>
      </c>
      <c r="G28" s="144"/>
      <c r="H28" s="144">
        <f t="shared" si="0"/>
        <v>6415940</v>
      </c>
      <c r="I28" s="146">
        <f>B28*VLOOKUP(I$7,'GI Factors'!A:M,4,FALSE)+C28*VLOOKUP(I$7,'GI Factors'!A:M,7,FALSE)+D28*VLOOKUP(I$7,'GI Factors'!A:M,10,FALSE)+E28*VLOOKUP(I$7,'GI Factors'!A:M,13,FALSE)</f>
        <v>6601100.6268067798</v>
      </c>
      <c r="J28" s="155">
        <v>0</v>
      </c>
      <c r="K28" s="146">
        <v>0</v>
      </c>
      <c r="L28" s="156"/>
      <c r="M28" s="146">
        <f t="shared" si="1"/>
        <v>0</v>
      </c>
      <c r="N28" s="157"/>
      <c r="O28" s="148"/>
      <c r="P28" s="157">
        <f t="shared" si="2"/>
        <v>597623.31231673434</v>
      </c>
      <c r="Q28" s="148">
        <f t="shared" si="3"/>
        <v>-597623.31231673434</v>
      </c>
      <c r="R28" s="148">
        <f t="shared" si="4"/>
        <v>0</v>
      </c>
      <c r="S28" s="155">
        <f t="shared" si="5"/>
        <v>-597623.31231673434</v>
      </c>
      <c r="T28" s="188">
        <f t="shared" si="6"/>
        <v>8.3669935133003652E-12</v>
      </c>
      <c r="U28" s="188">
        <f t="shared" si="7"/>
        <v>0</v>
      </c>
      <c r="V28" s="188">
        <f t="shared" si="8"/>
        <v>8.3669935133003652E-12</v>
      </c>
      <c r="W28" s="184">
        <f t="shared" si="9"/>
        <v>30</v>
      </c>
      <c r="X28" s="146">
        <f t="shared" si="10"/>
        <v>0</v>
      </c>
      <c r="Y28" s="186">
        <v>2016</v>
      </c>
      <c r="Z28" s="181">
        <v>2046</v>
      </c>
      <c r="AA28" s="172">
        <f t="shared" si="11"/>
        <v>29</v>
      </c>
      <c r="AB28" s="172">
        <f t="shared" si="12"/>
        <v>2051</v>
      </c>
      <c r="AC28" s="174">
        <f t="shared" si="13"/>
        <v>2052</v>
      </c>
      <c r="AD28" s="180">
        <f>(B28*$AD$8)*VLOOKUP(AB28,'GI Factors'!A:M,4,FALSE)+(C28*$AD$8)*VLOOKUP(AB28,'GI Factors'!A:M,7,FALSE)+(D28*$AD$8)*VLOOKUP(AB28,'GI Factors'!A:M,10,FALSE)+(E28*$AD$8)*VLOOKUP(AB28,'GI Factors'!A:M,13,FALSE)</f>
        <v>5262956.5568511561</v>
      </c>
      <c r="AE28" s="180">
        <f>(B28*$AE$8)*VLOOKUP(AC28,'GI Factors'!A:M,4,FALSE)+(C28*$AE$8)*VLOOKUP(AC28,'GI Factors'!A:M,7,FALSE)+(D28*$AE$8)*VLOOKUP(AC28,'GI Factors'!A:M,10,FALSE)+(E28*$AE$8)*VLOOKUP(AC28,'GI Factors'!A:M,13,FALSE)</f>
        <v>12665742.812650926</v>
      </c>
      <c r="AF28" s="176">
        <f t="shared" si="14"/>
        <v>17928699.369502082</v>
      </c>
      <c r="AG28" s="176">
        <f t="shared" si="15"/>
        <v>17928699.369502082</v>
      </c>
      <c r="AH28" s="175">
        <f t="shared" si="21"/>
        <v>3.607038092346395E-2</v>
      </c>
      <c r="AI28" s="176">
        <f t="shared" si="17"/>
        <v>6415939.9999999851</v>
      </c>
      <c r="AJ28" s="176"/>
      <c r="AK28" s="189">
        <f t="shared" si="18"/>
        <v>360396.34686982463</v>
      </c>
      <c r="AL28" s="189">
        <f t="shared" si="19"/>
        <v>373395.98038484406</v>
      </c>
      <c r="AM28" s="189">
        <f t="shared" si="19"/>
        <v>386864.51563261566</v>
      </c>
      <c r="AN28" s="189">
        <f t="shared" si="19"/>
        <v>400818.86607725546</v>
      </c>
      <c r="AO28" s="189">
        <f t="shared" si="20"/>
        <v>380368.92724113492</v>
      </c>
    </row>
    <row r="29" spans="1:70" s="38" customFormat="1" ht="10.199999999999999">
      <c r="A29" s="145" t="s">
        <v>43</v>
      </c>
      <c r="B29" s="142">
        <v>7186697.5706924712</v>
      </c>
      <c r="C29" s="142">
        <v>7852419.7213397212</v>
      </c>
      <c r="D29" s="142">
        <v>488618.9295211304</v>
      </c>
      <c r="E29" s="141">
        <v>-5312777.4283466302</v>
      </c>
      <c r="F29" s="144">
        <v>10214958.793206694</v>
      </c>
      <c r="G29" s="144"/>
      <c r="H29" s="144">
        <f t="shared" si="0"/>
        <v>10214958.793206694</v>
      </c>
      <c r="I29" s="146">
        <f>B29*VLOOKUP(I$7,'GI Factors'!A:M,4,FALSE)+C29*VLOOKUP(I$7,'GI Factors'!A:M,7,FALSE)+D29*VLOOKUP(I$7,'GI Factors'!A:M,10,FALSE)+E29*VLOOKUP(I$7,'GI Factors'!A:M,13,FALSE)</f>
        <v>10574636.760127444</v>
      </c>
      <c r="J29" s="155">
        <v>18259257</v>
      </c>
      <c r="K29" s="146">
        <v>611052</v>
      </c>
      <c r="L29" s="156"/>
      <c r="M29" s="146">
        <f t="shared" si="1"/>
        <v>18870309</v>
      </c>
      <c r="N29" s="157">
        <v>-4646457.4436193304</v>
      </c>
      <c r="O29" s="148"/>
      <c r="P29" s="157">
        <f t="shared" si="2"/>
        <v>14223851.556380667</v>
      </c>
      <c r="Q29" s="148">
        <f t="shared" si="3"/>
        <v>0</v>
      </c>
      <c r="R29" s="148">
        <f t="shared" si="4"/>
        <v>0</v>
      </c>
      <c r="S29" s="155">
        <f t="shared" si="5"/>
        <v>0</v>
      </c>
      <c r="T29" s="188">
        <f t="shared" si="6"/>
        <v>0</v>
      </c>
      <c r="U29" s="188">
        <f t="shared" si="7"/>
        <v>0</v>
      </c>
      <c r="V29" s="188">
        <f t="shared" si="8"/>
        <v>0</v>
      </c>
      <c r="W29" s="184">
        <f t="shared" si="9"/>
        <v>52</v>
      </c>
      <c r="X29" s="146">
        <f t="shared" si="10"/>
        <v>14223851.556380671</v>
      </c>
      <c r="Y29" s="186">
        <v>1976</v>
      </c>
      <c r="Z29" s="181">
        <v>2028</v>
      </c>
      <c r="AA29" s="172">
        <f t="shared" si="11"/>
        <v>11</v>
      </c>
      <c r="AB29" s="172">
        <f t="shared" si="12"/>
        <v>2033</v>
      </c>
      <c r="AC29" s="174">
        <f t="shared" si="13"/>
        <v>2034</v>
      </c>
      <c r="AD29" s="180">
        <f>(B29*$AD$8)*VLOOKUP(AB29,'GI Factors'!A:M,4,FALSE)+(C29*$AD$8)*VLOOKUP(AB29,'GI Factors'!A:M,7,FALSE)+(D29*$AD$8)*VLOOKUP(AB29,'GI Factors'!A:M,10,FALSE)+(E29*$AD$8)*VLOOKUP(AB29,'GI Factors'!A:M,13,FALSE)</f>
        <v>5300607.1393908747</v>
      </c>
      <c r="AE29" s="180">
        <f>(B29*$AE$8)*VLOOKUP(AC29,'GI Factors'!A:M,4,FALSE)+(C29*$AE$8)*VLOOKUP(AC29,'GI Factors'!A:M,7,FALSE)+(D29*$AE$8)*VLOOKUP(AC29,'GI Factors'!A:M,10,FALSE)+(E29*$AE$8)*VLOOKUP(AC29,'GI Factors'!A:M,13,FALSE)</f>
        <v>12739399.712604117</v>
      </c>
      <c r="AF29" s="176">
        <f t="shared" si="14"/>
        <v>18040006.851994991</v>
      </c>
      <c r="AG29" s="176">
        <f t="shared" si="15"/>
        <v>3816155.2956143208</v>
      </c>
      <c r="AH29" s="175">
        <f t="shared" si="21"/>
        <v>5.3063482063911885E-2</v>
      </c>
      <c r="AI29" s="176">
        <f t="shared" si="17"/>
        <v>2160856.667793721</v>
      </c>
      <c r="AJ29" s="176"/>
      <c r="AK29" s="189">
        <f t="shared" si="18"/>
        <v>264345.17665619432</v>
      </c>
      <c r="AL29" s="189">
        <f t="shared" si="19"/>
        <v>278372.25219637196</v>
      </c>
      <c r="AM29" s="189">
        <f t="shared" si="19"/>
        <v>293143.65320788493</v>
      </c>
      <c r="AN29" s="189">
        <f t="shared" si="19"/>
        <v>308698.87619203114</v>
      </c>
      <c r="AO29" s="189">
        <f t="shared" si="20"/>
        <v>286139.98956312059</v>
      </c>
    </row>
    <row r="30" spans="1:70" s="38" customFormat="1" ht="10.199999999999999">
      <c r="A30" s="145" t="s">
        <v>44</v>
      </c>
      <c r="B30" s="142">
        <v>7186697.5706924712</v>
      </c>
      <c r="C30" s="142">
        <v>7852419.7213397212</v>
      </c>
      <c r="D30" s="142">
        <v>488618.9295211304</v>
      </c>
      <c r="E30" s="141">
        <v>-5312777.4283466302</v>
      </c>
      <c r="F30" s="144">
        <v>10214958.793206694</v>
      </c>
      <c r="G30" s="144"/>
      <c r="H30" s="144">
        <f t="shared" si="0"/>
        <v>10214958.793206694</v>
      </c>
      <c r="I30" s="146">
        <f>B30*VLOOKUP(I$7,'GI Factors'!A:M,4,FALSE)+C30*VLOOKUP(I$7,'GI Factors'!A:M,7,FALSE)+D30*VLOOKUP(I$7,'GI Factors'!A:M,10,FALSE)+E30*VLOOKUP(I$7,'GI Factors'!A:M,13,FALSE)</f>
        <v>10574636.760127444</v>
      </c>
      <c r="J30" s="155">
        <v>18207600</v>
      </c>
      <c r="K30" s="146">
        <v>614575</v>
      </c>
      <c r="L30" s="156"/>
      <c r="M30" s="146">
        <f t="shared" si="1"/>
        <v>18822175</v>
      </c>
      <c r="N30" s="157">
        <v>-4673150.0180431399</v>
      </c>
      <c r="O30" s="148"/>
      <c r="P30" s="157">
        <f t="shared" si="2"/>
        <v>14149024.981956856</v>
      </c>
      <c r="Q30" s="148">
        <f t="shared" si="3"/>
        <v>0</v>
      </c>
      <c r="R30" s="148">
        <f t="shared" si="4"/>
        <v>0</v>
      </c>
      <c r="S30" s="155">
        <f t="shared" si="5"/>
        <v>0</v>
      </c>
      <c r="T30" s="188">
        <f t="shared" si="6"/>
        <v>0</v>
      </c>
      <c r="U30" s="188">
        <f t="shared" si="7"/>
        <v>0</v>
      </c>
      <c r="V30" s="188">
        <f t="shared" si="8"/>
        <v>0</v>
      </c>
      <c r="W30" s="184">
        <f t="shared" si="9"/>
        <v>51</v>
      </c>
      <c r="X30" s="146">
        <f t="shared" si="10"/>
        <v>14149024.98195686</v>
      </c>
      <c r="Y30" s="186">
        <v>1977</v>
      </c>
      <c r="Z30" s="181">
        <v>2028</v>
      </c>
      <c r="AA30" s="172">
        <f t="shared" si="11"/>
        <v>11</v>
      </c>
      <c r="AB30" s="172">
        <f t="shared" si="12"/>
        <v>2033</v>
      </c>
      <c r="AC30" s="174">
        <f t="shared" si="13"/>
        <v>2034</v>
      </c>
      <c r="AD30" s="180">
        <f>(B30*$AD$8)*VLOOKUP(AB30,'GI Factors'!A:M,4,FALSE)+(C30*$AD$8)*VLOOKUP(AB30,'GI Factors'!A:M,7,FALSE)+(D30*$AD$8)*VLOOKUP(AB30,'GI Factors'!A:M,10,FALSE)+(E30*$AD$8)*VLOOKUP(AB30,'GI Factors'!A:M,13,FALSE)</f>
        <v>5300607.1393908747</v>
      </c>
      <c r="AE30" s="180">
        <f>(B30*$AE$8)*VLOOKUP(AC30,'GI Factors'!A:M,4,FALSE)+(C30*$AE$8)*VLOOKUP(AC30,'GI Factors'!A:M,7,FALSE)+(D30*$AE$8)*VLOOKUP(AC30,'GI Factors'!A:M,10,FALSE)+(E30*$AE$8)*VLOOKUP(AC30,'GI Factors'!A:M,13,FALSE)</f>
        <v>12739399.712604117</v>
      </c>
      <c r="AF30" s="176">
        <f t="shared" si="14"/>
        <v>18040006.851994991</v>
      </c>
      <c r="AG30" s="176">
        <f t="shared" si="15"/>
        <v>3890981.8700381313</v>
      </c>
      <c r="AH30" s="175">
        <f t="shared" si="21"/>
        <v>5.3063482063911885E-2</v>
      </c>
      <c r="AI30" s="176">
        <f t="shared" si="17"/>
        <v>2203226.406377912</v>
      </c>
      <c r="AJ30" s="176"/>
      <c r="AK30" s="189">
        <f t="shared" si="18"/>
        <v>269528.41541415895</v>
      </c>
      <c r="AL30" s="189">
        <f t="shared" si="19"/>
        <v>283830.53165120282</v>
      </c>
      <c r="AM30" s="189">
        <f t="shared" si="19"/>
        <v>298891.56797666702</v>
      </c>
      <c r="AN30" s="189">
        <f t="shared" si="19"/>
        <v>314751.79533305141</v>
      </c>
      <c r="AO30" s="189">
        <f t="shared" si="20"/>
        <v>291750.57759377005</v>
      </c>
    </row>
    <row r="31" spans="1:70" s="38" customFormat="1" ht="10.199999999999999">
      <c r="A31" s="145" t="s">
        <v>45</v>
      </c>
      <c r="B31" s="142">
        <v>5301701.0527568003</v>
      </c>
      <c r="C31" s="142">
        <v>5792811.16170632</v>
      </c>
      <c r="D31" s="142">
        <v>277266.53811382077</v>
      </c>
      <c r="E31" s="141">
        <v>-4908842.5022155726</v>
      </c>
      <c r="F31" s="144">
        <v>6462936.250361369</v>
      </c>
      <c r="G31" s="144"/>
      <c r="H31" s="144">
        <f t="shared" si="0"/>
        <v>6462936.250361369</v>
      </c>
      <c r="I31" s="146">
        <f>B31*VLOOKUP(I$7,'GI Factors'!A:M,4,FALSE)+C31*VLOOKUP(I$7,'GI Factors'!A:M,7,FALSE)+D31*VLOOKUP(I$7,'GI Factors'!A:M,10,FALSE)+E31*VLOOKUP(I$7,'GI Factors'!A:M,13,FALSE)</f>
        <v>6732122.3945522783</v>
      </c>
      <c r="J31" s="155">
        <v>11786962</v>
      </c>
      <c r="K31" s="146">
        <v>1009476</v>
      </c>
      <c r="L31" s="156"/>
      <c r="M31" s="146">
        <f t="shared" si="1"/>
        <v>12796438</v>
      </c>
      <c r="N31" s="157">
        <v>-6505082.0804865798</v>
      </c>
      <c r="O31" s="148">
        <v>-6291355.9195134202</v>
      </c>
      <c r="P31" s="157">
        <f t="shared" si="2"/>
        <v>6291355.9195134211</v>
      </c>
      <c r="Q31" s="148">
        <f t="shared" si="3"/>
        <v>-6291355.9195134211</v>
      </c>
      <c r="R31" s="148">
        <f t="shared" si="4"/>
        <v>0</v>
      </c>
      <c r="S31" s="155">
        <f t="shared" si="5"/>
        <v>-6291355.9195134211</v>
      </c>
      <c r="T31" s="188">
        <f t="shared" si="6"/>
        <v>8.8081795143450027E-11</v>
      </c>
      <c r="U31" s="188">
        <f t="shared" si="7"/>
        <v>0</v>
      </c>
      <c r="V31" s="188">
        <f t="shared" si="8"/>
        <v>8.8081795143450027E-11</v>
      </c>
      <c r="W31" s="184">
        <f t="shared" si="9"/>
        <v>40</v>
      </c>
      <c r="X31" s="146">
        <f t="shared" si="10"/>
        <v>0</v>
      </c>
      <c r="Y31" s="186">
        <v>2005</v>
      </c>
      <c r="Z31" s="181">
        <v>2045</v>
      </c>
      <c r="AA31" s="172">
        <f t="shared" si="11"/>
        <v>28</v>
      </c>
      <c r="AB31" s="172">
        <f t="shared" si="12"/>
        <v>2050</v>
      </c>
      <c r="AC31" s="174">
        <f t="shared" si="13"/>
        <v>2051</v>
      </c>
      <c r="AD31" s="180">
        <f>(B31*$AD$8)*VLOOKUP(AB31,'GI Factors'!A:M,4,FALSE)+(C31*$AD$8)*VLOOKUP(AB31,'GI Factors'!A:M,7,FALSE)+(D31*$AD$8)*VLOOKUP(AB31,'GI Factors'!A:M,10,FALSE)+(E31*$AD$8)*VLOOKUP(AB31,'GI Factors'!A:M,13,FALSE)</f>
        <v>6136191.1437377688</v>
      </c>
      <c r="AE31" s="180">
        <f>(B31*$AE$8)*VLOOKUP(AC31,'GI Factors'!A:M,4,FALSE)+(C31*$AE$8)*VLOOKUP(AC31,'GI Factors'!A:M,7,FALSE)+(D31*$AE$8)*VLOOKUP(AC31,'GI Factors'!A:M,10,FALSE)+(E31*$AE$8)*VLOOKUP(AC31,'GI Factors'!A:M,13,FALSE)</f>
        <v>14834995.2546403</v>
      </c>
      <c r="AF31" s="176">
        <f t="shared" si="14"/>
        <v>20971186.398378067</v>
      </c>
      <c r="AG31" s="176">
        <f t="shared" si="15"/>
        <v>20971186.398378067</v>
      </c>
      <c r="AH31" s="175">
        <f t="shared" si="21"/>
        <v>4.2934171952633313E-2</v>
      </c>
      <c r="AI31" s="176">
        <f t="shared" si="17"/>
        <v>6462936.2503613774</v>
      </c>
      <c r="AJ31" s="176"/>
      <c r="AK31" s="189">
        <f t="shared" si="18"/>
        <v>401089.16382500407</v>
      </c>
      <c r="AL31" s="189">
        <f t="shared" si="19"/>
        <v>418309.59495300468</v>
      </c>
      <c r="AM31" s="189">
        <f t="shared" si="19"/>
        <v>436269.37103215337</v>
      </c>
      <c r="AN31" s="189">
        <f t="shared" si="19"/>
        <v>455000.23522571503</v>
      </c>
      <c r="AO31" s="189">
        <f t="shared" si="20"/>
        <v>427667.09125896927</v>
      </c>
    </row>
    <row r="32" spans="1:70" s="38" customFormat="1" ht="10.199999999999999">
      <c r="A32" s="145" t="s">
        <v>47</v>
      </c>
      <c r="B32" s="142">
        <v>20823638.053180333</v>
      </c>
      <c r="C32" s="142">
        <v>24415451.443546228</v>
      </c>
      <c r="D32" s="142">
        <v>1736580.3219031852</v>
      </c>
      <c r="E32" s="141">
        <v>-1503514.065652044</v>
      </c>
      <c r="F32" s="144">
        <v>45472155.752977699</v>
      </c>
      <c r="G32" s="144"/>
      <c r="H32" s="144">
        <f t="shared" si="0"/>
        <v>45472155.752977699</v>
      </c>
      <c r="I32" s="146">
        <f>B32*VLOOKUP(I$7,'GI Factors'!A:M,4,FALSE)+C32*VLOOKUP(I$7,'GI Factors'!A:M,7,FALSE)+D32*VLOOKUP(I$7,'GI Factors'!A:M,10,FALSE)+E32*VLOOKUP(I$7,'GI Factors'!A:M,13,FALSE)</f>
        <v>46459059.085663773</v>
      </c>
      <c r="J32" s="155">
        <v>37572671.740000002</v>
      </c>
      <c r="K32" s="146">
        <v>1215461</v>
      </c>
      <c r="L32" s="156"/>
      <c r="M32" s="146">
        <f t="shared" si="1"/>
        <v>38788132.740000002</v>
      </c>
      <c r="N32" s="157"/>
      <c r="O32" s="148"/>
      <c r="P32" s="157">
        <f t="shared" si="2"/>
        <v>58109081.548633695</v>
      </c>
      <c r="Q32" s="148">
        <f t="shared" si="3"/>
        <v>-19320948.808633693</v>
      </c>
      <c r="R32" s="148">
        <f t="shared" si="4"/>
        <v>0</v>
      </c>
      <c r="S32" s="155">
        <f t="shared" si="5"/>
        <v>-19320948.808633693</v>
      </c>
      <c r="T32" s="188">
        <f t="shared" si="6"/>
        <v>2.7050191988991433E-10</v>
      </c>
      <c r="U32" s="188">
        <f t="shared" si="7"/>
        <v>0</v>
      </c>
      <c r="V32" s="188">
        <f t="shared" si="8"/>
        <v>2.7050191988991433E-10</v>
      </c>
      <c r="W32" s="184">
        <f t="shared" si="9"/>
        <v>51</v>
      </c>
      <c r="X32" s="146">
        <f t="shared" si="10"/>
        <v>38788132.740000002</v>
      </c>
      <c r="Y32" s="186">
        <v>1980</v>
      </c>
      <c r="Z32" s="181">
        <v>2031</v>
      </c>
      <c r="AA32" s="172">
        <f t="shared" si="11"/>
        <v>14</v>
      </c>
      <c r="AB32" s="172">
        <f t="shared" si="12"/>
        <v>2036</v>
      </c>
      <c r="AC32" s="174">
        <f t="shared" si="13"/>
        <v>2037</v>
      </c>
      <c r="AD32" s="180">
        <f>(B32*$AD$8)*VLOOKUP(AB32,'GI Factors'!A:M,4,FALSE)+(C32*$AD$8)*VLOOKUP(AB32,'GI Factors'!A:M,7,FALSE)+(D32*$AD$8)*VLOOKUP(AB32,'GI Factors'!A:M,10,FALSE)+(E32*$AD$8)*VLOOKUP(AB32,'GI Factors'!A:M,13,FALSE)</f>
        <v>23576572.547376882</v>
      </c>
      <c r="AE32" s="180">
        <f>(B32*$AE$8)*VLOOKUP(AC32,'GI Factors'!A:M,4,FALSE)+(C32*$AE$8)*VLOOKUP(AC32,'GI Factors'!A:M,7,FALSE)+(D32*$AE$8)*VLOOKUP(AC32,'GI Factors'!A:M,10,FALSE)+(E32*$AE$8)*VLOOKUP(AC32,'GI Factors'!A:M,13,FALSE)</f>
        <v>56519729.046685778</v>
      </c>
      <c r="AF32" s="176">
        <f t="shared" si="14"/>
        <v>80096301.594062656</v>
      </c>
      <c r="AG32" s="176">
        <f t="shared" si="15"/>
        <v>41308168.854062654</v>
      </c>
      <c r="AH32" s="175">
        <f t="shared" si="21"/>
        <v>4.1266563481851343E-2</v>
      </c>
      <c r="AI32" s="176">
        <f t="shared" si="17"/>
        <v>23451413.4937471</v>
      </c>
      <c r="AJ32" s="176"/>
      <c r="AK32" s="189">
        <f t="shared" si="18"/>
        <v>2238724.8658179515</v>
      </c>
      <c r="AL32" s="189">
        <f t="shared" si="19"/>
        <v>2331109.3476116275</v>
      </c>
      <c r="AM32" s="189">
        <f t="shared" si="19"/>
        <v>2427306.21948798</v>
      </c>
      <c r="AN32" s="189">
        <f t="shared" si="19"/>
        <v>2527472.8056843737</v>
      </c>
      <c r="AO32" s="189">
        <f t="shared" si="20"/>
        <v>2381153.3096504835</v>
      </c>
    </row>
    <row r="33" spans="1:41" s="38" customFormat="1" ht="10.199999999999999">
      <c r="A33" s="145" t="s">
        <v>53</v>
      </c>
      <c r="B33" s="142">
        <v>4980657.0258148527</v>
      </c>
      <c r="C33" s="142">
        <v>5442028.0066090683</v>
      </c>
      <c r="D33" s="142">
        <v>1972145.8932054131</v>
      </c>
      <c r="E33" s="141">
        <v>-1808938.9477899612</v>
      </c>
      <c r="F33" s="144">
        <v>10585891.977839373</v>
      </c>
      <c r="G33" s="144"/>
      <c r="H33" s="144">
        <f t="shared" si="0"/>
        <v>10585891.977839373</v>
      </c>
      <c r="I33" s="146">
        <f>B33*VLOOKUP(I$7,'GI Factors'!A:M,4,FALSE)+C33*VLOOKUP(I$7,'GI Factors'!A:M,7,FALSE)+D33*VLOOKUP(I$7,'GI Factors'!A:M,10,FALSE)+E33*VLOOKUP(I$7,'GI Factors'!A:M,13,FALSE)</f>
        <v>10856697.028779307</v>
      </c>
      <c r="J33" s="155">
        <v>1730820</v>
      </c>
      <c r="K33" s="146">
        <v>375011</v>
      </c>
      <c r="L33" s="156"/>
      <c r="M33" s="146">
        <f t="shared" si="1"/>
        <v>2105831</v>
      </c>
      <c r="N33" s="157"/>
      <c r="O33" s="148"/>
      <c r="P33" s="157">
        <f t="shared" si="2"/>
        <v>5734577.7811978795</v>
      </c>
      <c r="Q33" s="148">
        <f t="shared" si="3"/>
        <v>-3628746.7811978795</v>
      </c>
      <c r="R33" s="148">
        <f t="shared" si="4"/>
        <v>0</v>
      </c>
      <c r="S33" s="155">
        <f t="shared" si="5"/>
        <v>-3628746.7811978795</v>
      </c>
      <c r="T33" s="188">
        <f t="shared" si="6"/>
        <v>5.0804077006287939E-11</v>
      </c>
      <c r="U33" s="188">
        <f t="shared" si="7"/>
        <v>0</v>
      </c>
      <c r="V33" s="188">
        <f t="shared" si="8"/>
        <v>5.0804077006287939E-11</v>
      </c>
      <c r="W33" s="184">
        <f t="shared" si="9"/>
        <v>35</v>
      </c>
      <c r="X33" s="146">
        <f t="shared" si="10"/>
        <v>2105831</v>
      </c>
      <c r="Y33" s="186">
        <v>2010</v>
      </c>
      <c r="Z33" s="181">
        <v>2045</v>
      </c>
      <c r="AA33" s="172">
        <f t="shared" si="11"/>
        <v>28</v>
      </c>
      <c r="AB33" s="172">
        <f t="shared" si="12"/>
        <v>2050</v>
      </c>
      <c r="AC33" s="174">
        <f t="shared" si="13"/>
        <v>2051</v>
      </c>
      <c r="AD33" s="180">
        <f>(B33*$AD$8)*VLOOKUP(AB33,'GI Factors'!A:M,4,FALSE)+(C33*$AD$8)*VLOOKUP(AB33,'GI Factors'!A:M,7,FALSE)+(D33*$AD$8)*VLOOKUP(AB33,'GI Factors'!A:M,10,FALSE)+(E33*$AD$8)*VLOOKUP(AB33,'GI Factors'!A:M,13,FALSE)</f>
        <v>8418601.0449941121</v>
      </c>
      <c r="AE33" s="180">
        <f>(B33*$AE$8)*VLOOKUP(AC33,'GI Factors'!A:M,4,FALSE)+(C33*$AE$8)*VLOOKUP(AC33,'GI Factors'!A:M,7,FALSE)+(D33*$AE$8)*VLOOKUP(AC33,'GI Factors'!A:M,10,FALSE)+(E33*$AE$8)*VLOOKUP(AC33,'GI Factors'!A:M,13,FALSE)</f>
        <v>20254287.8609953</v>
      </c>
      <c r="AF33" s="176">
        <f t="shared" si="14"/>
        <v>28672888.905989412</v>
      </c>
      <c r="AG33" s="176">
        <f t="shared" si="15"/>
        <v>26567057.905989412</v>
      </c>
      <c r="AH33" s="175">
        <f t="shared" si="21"/>
        <v>3.6227569155950053E-2</v>
      </c>
      <c r="AI33" s="176">
        <f t="shared" si="17"/>
        <v>9808429.3523371071</v>
      </c>
      <c r="AJ33" s="176"/>
      <c r="AK33" s="189">
        <f t="shared" si="18"/>
        <v>563305.05647875054</v>
      </c>
      <c r="AL33" s="189">
        <f t="shared" si="19"/>
        <v>583712.22936823091</v>
      </c>
      <c r="AM33" s="189">
        <f t="shared" si="19"/>
        <v>604858.70452484232</v>
      </c>
      <c r="AN33" s="189">
        <f t="shared" si="19"/>
        <v>626771.26507259451</v>
      </c>
      <c r="AO33" s="189">
        <f t="shared" si="20"/>
        <v>594661.81386110454</v>
      </c>
    </row>
    <row r="34" spans="1:41" s="38" customFormat="1" ht="10.199999999999999">
      <c r="A34" s="145" t="s">
        <v>48</v>
      </c>
      <c r="B34" s="142">
        <v>7449596.4080136223</v>
      </c>
      <c r="C34" s="142">
        <v>8139671.5494000167</v>
      </c>
      <c r="D34" s="142">
        <v>514328.71702341211</v>
      </c>
      <c r="E34" s="141">
        <v>-6368575.2419475857</v>
      </c>
      <c r="F34" s="144">
        <v>9735021.4324894659</v>
      </c>
      <c r="G34" s="144"/>
      <c r="H34" s="144">
        <f t="shared" si="0"/>
        <v>9735021.4324894659</v>
      </c>
      <c r="I34" s="146">
        <f>B34*VLOOKUP(I$7,'GI Factors'!A:M,4,FALSE)+C34*VLOOKUP(I$7,'GI Factors'!A:M,7,FALSE)+D34*VLOOKUP(I$7,'GI Factors'!A:M,10,FALSE)+E34*VLOOKUP(I$7,'GI Factors'!A:M,13,FALSE)</f>
        <v>10112773.683620989</v>
      </c>
      <c r="J34" s="155">
        <v>13955073</v>
      </c>
      <c r="K34" s="146">
        <v>386750</v>
      </c>
      <c r="L34" s="156"/>
      <c r="M34" s="146">
        <f t="shared" si="1"/>
        <v>14341823</v>
      </c>
      <c r="N34" s="157">
        <v>-404802.77801364299</v>
      </c>
      <c r="O34" s="148"/>
      <c r="P34" s="157">
        <f t="shared" si="2"/>
        <v>13937020.221986357</v>
      </c>
      <c r="Q34" s="148">
        <f t="shared" si="3"/>
        <v>0</v>
      </c>
      <c r="R34" s="148">
        <f t="shared" si="4"/>
        <v>0</v>
      </c>
      <c r="S34" s="155">
        <f t="shared" si="5"/>
        <v>0</v>
      </c>
      <c r="T34" s="188">
        <f t="shared" si="6"/>
        <v>0</v>
      </c>
      <c r="U34" s="188">
        <f t="shared" si="7"/>
        <v>0</v>
      </c>
      <c r="V34" s="188">
        <f t="shared" si="8"/>
        <v>0</v>
      </c>
      <c r="W34" s="184">
        <f t="shared" si="9"/>
        <v>51</v>
      </c>
      <c r="X34" s="146">
        <f t="shared" si="10"/>
        <v>13937020.221986357</v>
      </c>
      <c r="Y34" s="186">
        <v>1980</v>
      </c>
      <c r="Z34" s="181">
        <v>2031</v>
      </c>
      <c r="AA34" s="172">
        <f t="shared" si="11"/>
        <v>14</v>
      </c>
      <c r="AB34" s="172">
        <f t="shared" si="12"/>
        <v>2036</v>
      </c>
      <c r="AC34" s="174">
        <f t="shared" si="13"/>
        <v>2037</v>
      </c>
      <c r="AD34" s="180">
        <f>(B34*$AD$8)*VLOOKUP(AB34,'GI Factors'!A:M,4,FALSE)+(C34*$AD$8)*VLOOKUP(AB34,'GI Factors'!A:M,7,FALSE)+(D34*$AD$8)*VLOOKUP(AB34,'GI Factors'!A:M,10,FALSE)+(E34*$AD$8)*VLOOKUP(AB34,'GI Factors'!A:M,13,FALSE)</f>
        <v>5638034.9193946775</v>
      </c>
      <c r="AE34" s="180">
        <f>(B34*$AE$8)*VLOOKUP(AC34,'GI Factors'!A:M,4,FALSE)+(C34*$AE$8)*VLOOKUP(AC34,'GI Factors'!A:M,7,FALSE)+(D34*$AE$8)*VLOOKUP(AC34,'GI Factors'!A:M,10,FALSE)+(E34*$AE$8)*VLOOKUP(AC34,'GI Factors'!A:M,13,FALSE)</f>
        <v>13572452.413613547</v>
      </c>
      <c r="AF34" s="176">
        <f t="shared" si="14"/>
        <v>19210487.333008222</v>
      </c>
      <c r="AG34" s="176">
        <f t="shared" si="15"/>
        <v>5273467.1110218652</v>
      </c>
      <c r="AH34" s="175">
        <f t="shared" si="21"/>
        <v>4.9749845282619248E-2</v>
      </c>
      <c r="AI34" s="176">
        <f t="shared" si="17"/>
        <v>2672358.8246049532</v>
      </c>
      <c r="AJ34" s="176"/>
      <c r="AK34" s="189">
        <f t="shared" si="18"/>
        <v>269540.67722561152</v>
      </c>
      <c r="AL34" s="189">
        <f t="shared" si="19"/>
        <v>282950.28421495814</v>
      </c>
      <c r="AM34" s="189">
        <f t="shared" si="19"/>
        <v>297027.01707732544</v>
      </c>
      <c r="AN34" s="189">
        <f t="shared" si="19"/>
        <v>311804.06522168027</v>
      </c>
      <c r="AO34" s="189">
        <f t="shared" si="20"/>
        <v>290330.51093489386</v>
      </c>
    </row>
    <row r="35" spans="1:41" s="38" customFormat="1" ht="10.199999999999999">
      <c r="A35" s="145" t="s">
        <v>49</v>
      </c>
      <c r="B35" s="142">
        <v>7449596.4080136223</v>
      </c>
      <c r="C35" s="142">
        <v>8139671.5494000167</v>
      </c>
      <c r="D35" s="142">
        <v>514328.71702341211</v>
      </c>
      <c r="E35" s="141">
        <v>-6368575.2419475857</v>
      </c>
      <c r="F35" s="144">
        <v>9735021.4324894659</v>
      </c>
      <c r="G35" s="144"/>
      <c r="H35" s="144">
        <f t="shared" si="0"/>
        <v>9735021.4324894659</v>
      </c>
      <c r="I35" s="146">
        <f>B35*VLOOKUP(I$7,'GI Factors'!A:M,4,FALSE)+C35*VLOOKUP(I$7,'GI Factors'!A:M,7,FALSE)+D35*VLOOKUP(I$7,'GI Factors'!A:M,10,FALSE)+E35*VLOOKUP(I$7,'GI Factors'!A:M,13,FALSE)</f>
        <v>10112773.683620989</v>
      </c>
      <c r="J35" s="155">
        <v>13848819.52</v>
      </c>
      <c r="K35" s="146">
        <v>390039</v>
      </c>
      <c r="L35" s="156"/>
      <c r="M35" s="146">
        <f t="shared" si="1"/>
        <v>14238858.52</v>
      </c>
      <c r="N35" s="157">
        <v>-407307.64023407898</v>
      </c>
      <c r="O35" s="148"/>
      <c r="P35" s="157">
        <f t="shared" si="2"/>
        <v>13831550.87976592</v>
      </c>
      <c r="Q35" s="148">
        <f t="shared" si="3"/>
        <v>0</v>
      </c>
      <c r="R35" s="148">
        <f t="shared" si="4"/>
        <v>0</v>
      </c>
      <c r="S35" s="155">
        <f t="shared" si="5"/>
        <v>0</v>
      </c>
      <c r="T35" s="188">
        <f t="shared" si="6"/>
        <v>0</v>
      </c>
      <c r="U35" s="188">
        <f t="shared" si="7"/>
        <v>0</v>
      </c>
      <c r="V35" s="188">
        <f t="shared" si="8"/>
        <v>0</v>
      </c>
      <c r="W35" s="184">
        <f t="shared" si="9"/>
        <v>50</v>
      </c>
      <c r="X35" s="146">
        <f t="shared" si="10"/>
        <v>13831550.87976592</v>
      </c>
      <c r="Y35" s="186">
        <v>1981</v>
      </c>
      <c r="Z35" s="181">
        <v>2031</v>
      </c>
      <c r="AA35" s="172">
        <f t="shared" si="11"/>
        <v>14</v>
      </c>
      <c r="AB35" s="172">
        <f t="shared" si="12"/>
        <v>2036</v>
      </c>
      <c r="AC35" s="174">
        <f t="shared" si="13"/>
        <v>2037</v>
      </c>
      <c r="AD35" s="180">
        <f>(B35*$AD$8)*VLOOKUP(AB35,'GI Factors'!A:M,4,FALSE)+(C35*$AD$8)*VLOOKUP(AB35,'GI Factors'!A:M,7,FALSE)+(D35*$AD$8)*VLOOKUP(AB35,'GI Factors'!A:M,10,FALSE)+(E35*$AD$8)*VLOOKUP(AB35,'GI Factors'!A:M,13,FALSE)</f>
        <v>5638034.9193946775</v>
      </c>
      <c r="AE35" s="180">
        <f>(B35*$AE$8)*VLOOKUP(AC35,'GI Factors'!A:M,4,FALSE)+(C35*$AE$8)*VLOOKUP(AC35,'GI Factors'!A:M,7,FALSE)+(D35*$AE$8)*VLOOKUP(AC35,'GI Factors'!A:M,10,FALSE)+(E35*$AE$8)*VLOOKUP(AC35,'GI Factors'!A:M,13,FALSE)</f>
        <v>13572452.413613547</v>
      </c>
      <c r="AF35" s="176">
        <f t="shared" si="14"/>
        <v>19210487.333008222</v>
      </c>
      <c r="AG35" s="176">
        <f t="shared" si="15"/>
        <v>5378936.4532423019</v>
      </c>
      <c r="AH35" s="175">
        <f t="shared" si="21"/>
        <v>4.9749845282619248E-2</v>
      </c>
      <c r="AI35" s="176">
        <f t="shared" si="17"/>
        <v>2725806.0010970519</v>
      </c>
      <c r="AJ35" s="176"/>
      <c r="AK35" s="189">
        <f t="shared" si="18"/>
        <v>274931.49077012372</v>
      </c>
      <c r="AL35" s="189">
        <f t="shared" si="19"/>
        <v>288609.28989925724</v>
      </c>
      <c r="AM35" s="189">
        <f t="shared" si="19"/>
        <v>302967.5574188719</v>
      </c>
      <c r="AN35" s="189">
        <f t="shared" si="19"/>
        <v>318040.14652611385</v>
      </c>
      <c r="AO35" s="189">
        <f t="shared" si="20"/>
        <v>296137.12115359167</v>
      </c>
    </row>
    <row r="36" spans="1:41" s="38" customFormat="1" ht="10.199999999999999">
      <c r="A36" s="145" t="s">
        <v>50</v>
      </c>
      <c r="B36" s="142">
        <v>2437752.4504690072</v>
      </c>
      <c r="C36" s="142">
        <v>2663567.6859242902</v>
      </c>
      <c r="D36" s="142">
        <v>138780.87221853976</v>
      </c>
      <c r="E36" s="141">
        <v>-2508080.4332505078</v>
      </c>
      <c r="F36" s="144">
        <v>2732020.5753613296</v>
      </c>
      <c r="G36" s="144"/>
      <c r="H36" s="144">
        <f t="shared" si="0"/>
        <v>2732020.5753613296</v>
      </c>
      <c r="I36" s="146">
        <f>B36*VLOOKUP(I$7,'GI Factors'!A:M,4,FALSE)+C36*VLOOKUP(I$7,'GI Factors'!A:M,7,FALSE)+D36*VLOOKUP(I$7,'GI Factors'!A:M,10,FALSE)+E36*VLOOKUP(I$7,'GI Factors'!A:M,13,FALSE)</f>
        <v>2857402.2123054862</v>
      </c>
      <c r="J36" s="155">
        <v>5657209</v>
      </c>
      <c r="K36" s="146">
        <v>244439</v>
      </c>
      <c r="L36" s="156"/>
      <c r="M36" s="146">
        <f t="shared" si="1"/>
        <v>5901648</v>
      </c>
      <c r="N36" s="157">
        <v>-2326291.7142358599</v>
      </c>
      <c r="O36" s="148"/>
      <c r="P36" s="157">
        <f t="shared" si="2"/>
        <v>3575356.2857641391</v>
      </c>
      <c r="Q36" s="148">
        <f t="shared" si="3"/>
        <v>0</v>
      </c>
      <c r="R36" s="148">
        <f t="shared" si="4"/>
        <v>0</v>
      </c>
      <c r="S36" s="155">
        <f t="shared" si="5"/>
        <v>0</v>
      </c>
      <c r="T36" s="188">
        <f t="shared" si="6"/>
        <v>0</v>
      </c>
      <c r="U36" s="188">
        <f t="shared" si="7"/>
        <v>0</v>
      </c>
      <c r="V36" s="188">
        <f t="shared" si="8"/>
        <v>0</v>
      </c>
      <c r="W36" s="184">
        <f t="shared" si="9"/>
        <v>40</v>
      </c>
      <c r="X36" s="146">
        <f t="shared" si="10"/>
        <v>3575356.2857641401</v>
      </c>
      <c r="Y36" s="186">
        <v>1994</v>
      </c>
      <c r="Z36" s="181">
        <v>2034</v>
      </c>
      <c r="AA36" s="172">
        <f t="shared" si="11"/>
        <v>17</v>
      </c>
      <c r="AB36" s="172">
        <f t="shared" si="12"/>
        <v>2039</v>
      </c>
      <c r="AC36" s="174">
        <f t="shared" si="13"/>
        <v>2040</v>
      </c>
      <c r="AD36" s="180">
        <f>(B36*$AD$8)*VLOOKUP(AB36,'GI Factors'!A:M,4,FALSE)+(C36*$AD$8)*VLOOKUP(AB36,'GI Factors'!A:M,7,FALSE)+(D36*$AD$8)*VLOOKUP(AB36,'GI Factors'!A:M,10,FALSE)+(E36*$AD$8)*VLOOKUP(AB36,'GI Factors'!A:M,13,FALSE)</f>
        <v>1821139.4141795877</v>
      </c>
      <c r="AE36" s="180">
        <f>(B36*$AE$8)*VLOOKUP(AC36,'GI Factors'!A:M,4,FALSE)+(C36*$AE$8)*VLOOKUP(AC36,'GI Factors'!A:M,7,FALSE)+(D36*$AE$8)*VLOOKUP(AC36,'GI Factors'!A:M,10,FALSE)+(E36*$AE$8)*VLOOKUP(AC36,'GI Factors'!A:M,13,FALSE)</f>
        <v>4396871.517584132</v>
      </c>
      <c r="AF36" s="176">
        <f t="shared" si="14"/>
        <v>6218010.9317637198</v>
      </c>
      <c r="AG36" s="176">
        <f t="shared" si="15"/>
        <v>2642654.6459995797</v>
      </c>
      <c r="AH36" s="175">
        <f t="shared" si="21"/>
        <v>4.9566242336038034E-2</v>
      </c>
      <c r="AI36" s="176">
        <f t="shared" si="17"/>
        <v>1161108.7445285625</v>
      </c>
      <c r="AJ36" s="176"/>
      <c r="AK36" s="189">
        <f t="shared" si="18"/>
        <v>102655.96540722404</v>
      </c>
      <c r="AL36" s="189">
        <f t="shared" si="19"/>
        <v>107744.23586583845</v>
      </c>
      <c r="AM36" s="189">
        <f t="shared" si="19"/>
        <v>113084.71277107585</v>
      </c>
      <c r="AN36" s="189">
        <f t="shared" si="19"/>
        <v>118689.89704878826</v>
      </c>
      <c r="AO36" s="189">
        <f t="shared" si="20"/>
        <v>110543.70277323165</v>
      </c>
    </row>
    <row r="37" spans="1:41" s="38" customFormat="1" ht="10.199999999999999">
      <c r="A37" s="145" t="s">
        <v>51</v>
      </c>
      <c r="B37" s="142">
        <v>2400598.4996657604</v>
      </c>
      <c r="C37" s="142">
        <v>2622972.0697677322</v>
      </c>
      <c r="D37" s="142">
        <v>132923.68307727302</v>
      </c>
      <c r="E37" s="141">
        <v>-2415499.1088162269</v>
      </c>
      <c r="F37" s="144">
        <v>2740995.1436945386</v>
      </c>
      <c r="G37" s="144"/>
      <c r="H37" s="144">
        <f t="shared" si="0"/>
        <v>2740995.1436945386</v>
      </c>
      <c r="I37" s="146">
        <f>B37*VLOOKUP(I$7,'GI Factors'!A:M,4,FALSE)+C37*VLOOKUP(I$7,'GI Factors'!A:M,7,FALSE)+D37*VLOOKUP(I$7,'GI Factors'!A:M,10,FALSE)+E37*VLOOKUP(I$7,'GI Factors'!A:M,13,FALSE)</f>
        <v>2864092.1866850727</v>
      </c>
      <c r="J37" s="155">
        <v>3802053.98</v>
      </c>
      <c r="K37" s="146">
        <v>165451</v>
      </c>
      <c r="L37" s="156"/>
      <c r="M37" s="146">
        <f t="shared" si="1"/>
        <v>3967504.98</v>
      </c>
      <c r="N37" s="157">
        <v>-402068.12909668899</v>
      </c>
      <c r="O37" s="148"/>
      <c r="P37" s="157">
        <f t="shared" si="2"/>
        <v>3565436.8509033113</v>
      </c>
      <c r="Q37" s="148">
        <f t="shared" si="3"/>
        <v>0</v>
      </c>
      <c r="R37" s="148">
        <f t="shared" si="4"/>
        <v>0</v>
      </c>
      <c r="S37" s="155">
        <f t="shared" si="5"/>
        <v>0</v>
      </c>
      <c r="T37" s="188">
        <f t="shared" si="6"/>
        <v>0</v>
      </c>
      <c r="U37" s="188">
        <f t="shared" si="7"/>
        <v>0</v>
      </c>
      <c r="V37" s="188">
        <f t="shared" si="8"/>
        <v>0</v>
      </c>
      <c r="W37" s="184">
        <f t="shared" si="9"/>
        <v>40</v>
      </c>
      <c r="X37" s="146">
        <f t="shared" si="10"/>
        <v>3565436.8509033108</v>
      </c>
      <c r="Y37" s="186">
        <v>1994</v>
      </c>
      <c r="Z37" s="181">
        <v>2034</v>
      </c>
      <c r="AA37" s="172">
        <f t="shared" si="11"/>
        <v>17</v>
      </c>
      <c r="AB37" s="172">
        <f t="shared" si="12"/>
        <v>2039</v>
      </c>
      <c r="AC37" s="174">
        <f t="shared" si="13"/>
        <v>2040</v>
      </c>
      <c r="AD37" s="180">
        <f>(B37*$AD$8)*VLOOKUP(AB37,'GI Factors'!A:M,4,FALSE)+(C37*$AD$8)*VLOOKUP(AB37,'GI Factors'!A:M,7,FALSE)+(D37*$AD$8)*VLOOKUP(AB37,'GI Factors'!A:M,10,FALSE)+(E37*$AD$8)*VLOOKUP(AB37,'GI Factors'!A:M,13,FALSE)</f>
        <v>1816341.4332706744</v>
      </c>
      <c r="AE37" s="180">
        <f>(B37*$AE$8)*VLOOKUP(AC37,'GI Factors'!A:M,4,FALSE)+(C37*$AE$8)*VLOOKUP(AC37,'GI Factors'!A:M,7,FALSE)+(D37*$AE$8)*VLOOKUP(AC37,'GI Factors'!A:M,10,FALSE)+(E37*$AE$8)*VLOOKUP(AC37,'GI Factors'!A:M,13,FALSE)</f>
        <v>4384418.3074307367</v>
      </c>
      <c r="AF37" s="176">
        <f t="shared" si="14"/>
        <v>6200759.7407014109</v>
      </c>
      <c r="AG37" s="176">
        <f t="shared" si="15"/>
        <v>2635322.8897981001</v>
      </c>
      <c r="AH37" s="175">
        <f t="shared" si="21"/>
        <v>4.9192304121245194E-2</v>
      </c>
      <c r="AI37" s="176">
        <f t="shared" si="17"/>
        <v>1164922.9360701789</v>
      </c>
      <c r="AJ37" s="176"/>
      <c r="AK37" s="189">
        <f t="shared" si="18"/>
        <v>102705.2667678173</v>
      </c>
      <c r="AL37" s="189">
        <f t="shared" si="19"/>
        <v>107757.57548551339</v>
      </c>
      <c r="AM37" s="189">
        <f t="shared" si="19"/>
        <v>113058.41891016479</v>
      </c>
      <c r="AN37" s="189">
        <f t="shared" si="19"/>
        <v>118620.02303666076</v>
      </c>
      <c r="AO37" s="189">
        <f t="shared" si="20"/>
        <v>110535.32105003906</v>
      </c>
    </row>
    <row r="38" spans="1:41" s="38" customFormat="1" ht="10.199999999999999">
      <c r="A38" s="145" t="s">
        <v>52</v>
      </c>
      <c r="B38" s="142">
        <v>5382769.1921508843</v>
      </c>
      <c r="C38" s="142">
        <v>5881388.8498987956</v>
      </c>
      <c r="D38" s="142">
        <v>359222.11140046146</v>
      </c>
      <c r="E38" s="141">
        <v>-5231246.6925432999</v>
      </c>
      <c r="F38" s="144">
        <v>6392133.4609068409</v>
      </c>
      <c r="G38" s="144"/>
      <c r="H38" s="144">
        <f t="shared" si="0"/>
        <v>6392133.4609068409</v>
      </c>
      <c r="I38" s="146">
        <f>B38*VLOOKUP(I$7,'GI Factors'!A:M,4,FALSE)+C38*VLOOKUP(I$7,'GI Factors'!A:M,7,FALSE)+D38*VLOOKUP(I$7,'GI Factors'!A:M,10,FALSE)+E38*VLOOKUP(I$7,'GI Factors'!A:M,13,FALSE)</f>
        <v>6668320.8305801451</v>
      </c>
      <c r="J38" s="155">
        <v>5479696</v>
      </c>
      <c r="K38" s="146">
        <v>342017</v>
      </c>
      <c r="L38" s="156"/>
      <c r="M38" s="146">
        <f t="shared" si="1"/>
        <v>5821713</v>
      </c>
      <c r="N38" s="157"/>
      <c r="O38" s="148">
        <v>-5821713</v>
      </c>
      <c r="P38" s="157">
        <f t="shared" si="2"/>
        <v>7634809.2269103304</v>
      </c>
      <c r="Q38" s="148">
        <f t="shared" si="3"/>
        <v>-7634809.2269103304</v>
      </c>
      <c r="R38" s="148">
        <f t="shared" si="4"/>
        <v>0</v>
      </c>
      <c r="S38" s="155">
        <f t="shared" si="5"/>
        <v>-7634809.2269103304</v>
      </c>
      <c r="T38" s="188">
        <f t="shared" si="6"/>
        <v>1.0689074197793098E-10</v>
      </c>
      <c r="U38" s="188">
        <f t="shared" si="7"/>
        <v>0</v>
      </c>
      <c r="V38" s="188">
        <f t="shared" si="8"/>
        <v>1.0689074197793098E-10</v>
      </c>
      <c r="W38" s="184">
        <f t="shared" si="9"/>
        <v>44</v>
      </c>
      <c r="X38" s="146">
        <f t="shared" si="10"/>
        <v>0</v>
      </c>
      <c r="Y38" s="186">
        <v>2001</v>
      </c>
      <c r="Z38" s="181">
        <v>2045</v>
      </c>
      <c r="AA38" s="172">
        <f t="shared" si="11"/>
        <v>28</v>
      </c>
      <c r="AB38" s="172">
        <f t="shared" si="12"/>
        <v>2050</v>
      </c>
      <c r="AC38" s="174">
        <f t="shared" si="13"/>
        <v>2051</v>
      </c>
      <c r="AD38" s="180">
        <f>(B38*$AD$8)*VLOOKUP(AB38,'GI Factors'!A:M,4,FALSE)+(C38*$AD$8)*VLOOKUP(AB38,'GI Factors'!A:M,7,FALSE)+(D38*$AD$8)*VLOOKUP(AB38,'GI Factors'!A:M,10,FALSE)+(E38*$AD$8)*VLOOKUP(AB38,'GI Factors'!A:M,13,FALSE)</f>
        <v>6142075.4865111411</v>
      </c>
      <c r="AE38" s="180">
        <f>(B38*$AE$8)*VLOOKUP(AC38,'GI Factors'!A:M,4,FALSE)+(C38*$AE$8)*VLOOKUP(AC38,'GI Factors'!A:M,7,FALSE)+(D38*$AE$8)*VLOOKUP(AC38,'GI Factors'!A:M,10,FALSE)+(E38*$AE$8)*VLOOKUP(AC38,'GI Factors'!A:M,13,FALSE)</f>
        <v>14853649.887492266</v>
      </c>
      <c r="AF38" s="176">
        <f t="shared" si="14"/>
        <v>20995725.374003407</v>
      </c>
      <c r="AG38" s="176">
        <f t="shared" si="15"/>
        <v>20995725.374003407</v>
      </c>
      <c r="AH38" s="175">
        <f t="shared" si="21"/>
        <v>4.3388137011909557E-2</v>
      </c>
      <c r="AI38" s="176">
        <f t="shared" si="17"/>
        <v>6392133.4609068148</v>
      </c>
      <c r="AJ38" s="176"/>
      <c r="AK38" s="189">
        <f t="shared" si="18"/>
        <v>398738.37261918659</v>
      </c>
      <c r="AL38" s="189">
        <f t="shared" si="19"/>
        <v>416038.88776229369</v>
      </c>
      <c r="AM38" s="189">
        <f t="shared" si="19"/>
        <v>434090.04002680653</v>
      </c>
      <c r="AN38" s="189">
        <f t="shared" si="19"/>
        <v>452924.39815899491</v>
      </c>
      <c r="AO38" s="189">
        <f t="shared" si="20"/>
        <v>425447.92464182043</v>
      </c>
    </row>
    <row r="39" spans="1:41" s="38" customFormat="1" ht="10.199999999999999">
      <c r="A39" s="145" t="s">
        <v>130</v>
      </c>
      <c r="B39" s="142">
        <v>3057540.1265033288</v>
      </c>
      <c r="C39" s="142">
        <v>2549568.0847916212</v>
      </c>
      <c r="D39" s="142">
        <v>290798.18957934412</v>
      </c>
      <c r="E39" s="141">
        <v>-308372.23314467835</v>
      </c>
      <c r="F39" s="144">
        <v>5589534.1677296162</v>
      </c>
      <c r="G39" s="144"/>
      <c r="H39" s="144">
        <f t="shared" si="0"/>
        <v>5589534.1677296162</v>
      </c>
      <c r="I39" s="146">
        <f>B39*VLOOKUP(I$7,'GI Factors'!A:M,4,FALSE)+C39*VLOOKUP(I$7,'GI Factors'!A:M,7,FALSE)+D39*VLOOKUP(I$7,'GI Factors'!A:M,10,FALSE)+E39*VLOOKUP(I$7,'GI Factors'!A:M,13,FALSE)</f>
        <v>5726112.5071814246</v>
      </c>
      <c r="J39" s="155">
        <v>0</v>
      </c>
      <c r="K39" s="146">
        <v>0</v>
      </c>
      <c r="L39" s="156"/>
      <c r="M39" s="146">
        <f t="shared" si="1"/>
        <v>0</v>
      </c>
      <c r="N39" s="157"/>
      <c r="O39" s="148"/>
      <c r="P39" s="157">
        <v>0</v>
      </c>
      <c r="Q39" s="148">
        <f t="shared" si="3"/>
        <v>0</v>
      </c>
      <c r="R39" s="148">
        <f t="shared" si="4"/>
        <v>0</v>
      </c>
      <c r="S39" s="155">
        <f t="shared" si="5"/>
        <v>0</v>
      </c>
      <c r="T39" s="188">
        <f t="shared" si="6"/>
        <v>0</v>
      </c>
      <c r="U39" s="188">
        <f t="shared" si="7"/>
        <v>0</v>
      </c>
      <c r="V39" s="188">
        <f t="shared" si="8"/>
        <v>0</v>
      </c>
      <c r="W39" s="184">
        <f t="shared" si="9"/>
        <v>40</v>
      </c>
      <c r="X39" s="146">
        <f t="shared" si="10"/>
        <v>0</v>
      </c>
      <c r="Y39" s="186">
        <v>2019</v>
      </c>
      <c r="Z39" s="181">
        <f>Y39+40</f>
        <v>2059</v>
      </c>
      <c r="AA39" s="172">
        <v>40</v>
      </c>
      <c r="AB39" s="172">
        <f t="shared" si="12"/>
        <v>2064</v>
      </c>
      <c r="AC39" s="174">
        <f t="shared" si="13"/>
        <v>2065</v>
      </c>
      <c r="AD39" s="180">
        <f>(B39*$AD$8)*VLOOKUP(AB39,'GI Factors'!A:M,4,FALSE)+(C39*$AD$8)*VLOOKUP(AB39,'GI Factors'!A:M,7,FALSE)+(D39*$AD$8)*VLOOKUP(AB39,'GI Factors'!A:M,10,FALSE)+(E39*$AD$8)*VLOOKUP(AB39,'GI Factors'!A:M,13,FALSE)</f>
        <v>7350625.6137982234</v>
      </c>
      <c r="AE39" s="180">
        <f>(B39*$AE$8)*VLOOKUP(AC39,'GI Factors'!A:M,4,FALSE)+(C39*$AE$8)*VLOOKUP(AC39,'GI Factors'!A:M,7,FALSE)+(D39*$AE$8)*VLOOKUP(AC39,'GI Factors'!A:M,10,FALSE)+(E39*$AE$8)*VLOOKUP(AC39,'GI Factors'!A:M,13,FALSE)</f>
        <v>17733615.96253198</v>
      </c>
      <c r="AF39" s="176">
        <f t="shared" si="14"/>
        <v>25084241.576330204</v>
      </c>
      <c r="AG39" s="176">
        <f t="shared" si="15"/>
        <v>25084241.576330204</v>
      </c>
      <c r="AH39" s="175">
        <f t="shared" si="21"/>
        <v>3.8246878288762554E-2</v>
      </c>
      <c r="AI39" s="176">
        <f t="shared" si="17"/>
        <v>5589534.1677296245</v>
      </c>
      <c r="AJ39" s="176"/>
      <c r="AK39" s="189">
        <v>0</v>
      </c>
      <c r="AL39" s="189">
        <f>AK39*(1+$AH39)</f>
        <v>0</v>
      </c>
      <c r="AM39" s="189">
        <f>PMT((1+AH39)-1,AA39,-AI39)</f>
        <v>275078.00271137676</v>
      </c>
      <c r="AN39" s="189">
        <f t="shared" ref="AN39:AN64" si="22">AM39*(1+$AH39)</f>
        <v>285598.87760099472</v>
      </c>
      <c r="AO39" s="189">
        <f t="shared" si="20"/>
        <v>140169.22007809288</v>
      </c>
    </row>
    <row r="40" spans="1:41" s="38" customFormat="1" ht="10.199999999999999">
      <c r="A40" s="145" t="s">
        <v>131</v>
      </c>
      <c r="B40" s="142">
        <v>5362973.0312489178</v>
      </c>
      <c r="C40" s="142">
        <v>5859758.9200535044</v>
      </c>
      <c r="D40" s="142">
        <v>395071.57133513101</v>
      </c>
      <c r="E40" s="141">
        <v>-5252031.1945600845</v>
      </c>
      <c r="F40" s="144">
        <v>6365772.328077469</v>
      </c>
      <c r="G40" s="144"/>
      <c r="H40" s="144">
        <f t="shared" si="0"/>
        <v>6365772.328077469</v>
      </c>
      <c r="I40" s="146">
        <f>B40*VLOOKUP(I$7,'GI Factors'!A:M,4,FALSE)+C40*VLOOKUP(I$7,'GI Factors'!A:M,7,FALSE)+D40*VLOOKUP(I$7,'GI Factors'!A:M,10,FALSE)+E40*VLOOKUP(I$7,'GI Factors'!A:M,13,FALSE)</f>
        <v>6641891.0019860631</v>
      </c>
      <c r="J40" s="155">
        <v>0</v>
      </c>
      <c r="K40" s="146">
        <v>0</v>
      </c>
      <c r="L40" s="156"/>
      <c r="M40" s="146">
        <f t="shared" si="1"/>
        <v>0</v>
      </c>
      <c r="N40" s="157"/>
      <c r="O40" s="148"/>
      <c r="P40" s="157">
        <v>0</v>
      </c>
      <c r="Q40" s="148">
        <f t="shared" si="3"/>
        <v>0</v>
      </c>
      <c r="R40" s="148">
        <f t="shared" si="4"/>
        <v>0</v>
      </c>
      <c r="S40" s="155">
        <f t="shared" si="5"/>
        <v>0</v>
      </c>
      <c r="T40" s="188">
        <f t="shared" si="6"/>
        <v>0</v>
      </c>
      <c r="U40" s="188">
        <f t="shared" si="7"/>
        <v>0</v>
      </c>
      <c r="V40" s="188">
        <f t="shared" si="8"/>
        <v>0</v>
      </c>
      <c r="W40" s="184">
        <f t="shared" si="9"/>
        <v>40</v>
      </c>
      <c r="X40" s="146">
        <f t="shared" si="10"/>
        <v>0</v>
      </c>
      <c r="Y40" s="186">
        <v>2019</v>
      </c>
      <c r="Z40" s="181">
        <f>Y40+40</f>
        <v>2059</v>
      </c>
      <c r="AA40" s="172">
        <v>40</v>
      </c>
      <c r="AB40" s="172">
        <f t="shared" si="12"/>
        <v>2064</v>
      </c>
      <c r="AC40" s="174">
        <f t="shared" si="13"/>
        <v>2065</v>
      </c>
      <c r="AD40" s="180">
        <f>(B40*$AD$8)*VLOOKUP(AB40,'GI Factors'!A:M,4,FALSE)+(C40*$AD$8)*VLOOKUP(AB40,'GI Factors'!A:M,7,FALSE)+(D40*$AD$8)*VLOOKUP(AB40,'GI Factors'!A:M,10,FALSE)+(E40*$AD$8)*VLOOKUP(AB40,'GI Factors'!A:M,13,FALSE)</f>
        <v>10191598.153258845</v>
      </c>
      <c r="AE40" s="180">
        <f>(B40*$AE$8)*VLOOKUP(AC40,'GI Factors'!A:M,4,FALSE)+(C40*$AE$8)*VLOOKUP(AC40,'GI Factors'!A:M,7,FALSE)+(D40*$AE$8)*VLOOKUP(AC40,'GI Factors'!A:M,10,FALSE)+(E40*$AE$8)*VLOOKUP(AC40,'GI Factors'!A:M,13,FALSE)</f>
        <v>24677413.96660278</v>
      </c>
      <c r="AF40" s="176">
        <f t="shared" si="14"/>
        <v>34869012.119861625</v>
      </c>
      <c r="AG40" s="176">
        <f t="shared" si="15"/>
        <v>34869012.119861625</v>
      </c>
      <c r="AH40" s="175">
        <f t="shared" si="21"/>
        <v>4.3433350236216896E-2</v>
      </c>
      <c r="AI40" s="176">
        <f t="shared" si="17"/>
        <v>6365772.3280774513</v>
      </c>
      <c r="AJ40" s="176"/>
      <c r="AK40" s="189">
        <v>0</v>
      </c>
      <c r="AL40" s="189">
        <f>AK40*(1+$AH40)</f>
        <v>0</v>
      </c>
      <c r="AM40" s="189">
        <f>PMT((1+AH40)-1,AA40,-AI40)</f>
        <v>338236.01509308489</v>
      </c>
      <c r="AN40" s="189">
        <f t="shared" si="22"/>
        <v>352926.73839912523</v>
      </c>
      <c r="AO40" s="189">
        <f t="shared" si="20"/>
        <v>172790.68837305252</v>
      </c>
    </row>
    <row r="41" spans="1:41" s="38" customFormat="1" ht="10.199999999999999">
      <c r="A41" s="145" t="s">
        <v>54</v>
      </c>
      <c r="B41" s="142">
        <v>3349594.3403367056</v>
      </c>
      <c r="C41" s="142">
        <v>3016065.0989398183</v>
      </c>
      <c r="D41" s="142">
        <v>308767.60537286586</v>
      </c>
      <c r="E41" s="141">
        <v>-399678.80898023234</v>
      </c>
      <c r="F41" s="144">
        <v>6274748.2356691575</v>
      </c>
      <c r="G41" s="144"/>
      <c r="H41" s="144">
        <f t="shared" si="0"/>
        <v>6274748.2356691575</v>
      </c>
      <c r="I41" s="146">
        <f>B41*VLOOKUP(I$7,'GI Factors'!A:M,4,FALSE)+C41*VLOOKUP(I$7,'GI Factors'!A:M,7,FALSE)+D41*VLOOKUP(I$7,'GI Factors'!A:M,10,FALSE)+E41*VLOOKUP(I$7,'GI Factors'!A:M,13,FALSE)</f>
        <v>6426571.5554728862</v>
      </c>
      <c r="J41" s="155"/>
      <c r="K41" s="146"/>
      <c r="L41" s="156"/>
      <c r="M41" s="146">
        <f t="shared" si="1"/>
        <v>0</v>
      </c>
      <c r="N41" s="157"/>
      <c r="O41" s="148"/>
      <c r="P41" s="157">
        <f t="shared" ref="P41:P64" si="23">AF41-((AA41/W41)*AF41)</f>
        <v>627442.61864373833</v>
      </c>
      <c r="Q41" s="148">
        <f t="shared" si="3"/>
        <v>-627442.61864373833</v>
      </c>
      <c r="R41" s="148">
        <f t="shared" si="4"/>
        <v>0</v>
      </c>
      <c r="S41" s="155">
        <f t="shared" si="5"/>
        <v>-627442.61864373833</v>
      </c>
      <c r="T41" s="188">
        <f t="shared" si="6"/>
        <v>8.7844771312702872E-12</v>
      </c>
      <c r="U41" s="188">
        <f t="shared" si="7"/>
        <v>0</v>
      </c>
      <c r="V41" s="188">
        <f t="shared" si="8"/>
        <v>8.7844771312702872E-12</v>
      </c>
      <c r="W41" s="184">
        <f t="shared" si="9"/>
        <v>40</v>
      </c>
      <c r="X41" s="146">
        <f t="shared" si="10"/>
        <v>0</v>
      </c>
      <c r="Y41" s="186">
        <v>2016</v>
      </c>
      <c r="Z41" s="181">
        <v>2056</v>
      </c>
      <c r="AA41" s="172">
        <f>Z41-2017</f>
        <v>39</v>
      </c>
      <c r="AB41" s="172">
        <f t="shared" si="12"/>
        <v>2061</v>
      </c>
      <c r="AC41" s="174">
        <f t="shared" si="13"/>
        <v>2062</v>
      </c>
      <c r="AD41" s="180">
        <f>(B41*$AD$8)*VLOOKUP(AB41,'GI Factors'!A:M,4,FALSE)+(C41*$AD$8)*VLOOKUP(AB41,'GI Factors'!A:M,7,FALSE)+(D41*$AD$8)*VLOOKUP(AB41,'GI Factors'!A:M,10,FALSE)+(E41*$AD$8)*VLOOKUP(AB41,'GI Factors'!A:M,13,FALSE)</f>
        <v>7357447.6406149287</v>
      </c>
      <c r="AE41" s="180">
        <f>(B41*$AE$8)*VLOOKUP(AC41,'GI Factors'!A:M,4,FALSE)+(C41*$AE$8)*VLOOKUP(AC41,'GI Factors'!A:M,7,FALSE)+(D41*$AE$8)*VLOOKUP(AC41,'GI Factors'!A:M,10,FALSE)+(E41*$AE$8)*VLOOKUP(AC41,'GI Factors'!A:M,13,FALSE)</f>
        <v>17740257.105134588</v>
      </c>
      <c r="AF41" s="176">
        <f t="shared" si="14"/>
        <v>25097704.745749518</v>
      </c>
      <c r="AG41" s="176">
        <f t="shared" si="15"/>
        <v>25097704.745749518</v>
      </c>
      <c r="AH41" s="175">
        <f t="shared" si="21"/>
        <v>3.6183957479527504E-2</v>
      </c>
      <c r="AI41" s="176">
        <f t="shared" si="17"/>
        <v>6274748.2356691407</v>
      </c>
      <c r="AJ41" s="176"/>
      <c r="AK41" s="189">
        <f>PMT((1+AH41)-1,AA41,-AI41)</f>
        <v>302732.14394479542</v>
      </c>
      <c r="AL41" s="189">
        <f>AK41*(1+$AH41)</f>
        <v>313686.19096898008</v>
      </c>
      <c r="AM41" s="189">
        <f t="shared" ref="AM41:AM64" si="24">AL41*(1+$AH41)</f>
        <v>325036.59876491659</v>
      </c>
      <c r="AN41" s="189">
        <f t="shared" si="22"/>
        <v>336797.7092339166</v>
      </c>
      <c r="AO41" s="189">
        <f t="shared" si="20"/>
        <v>319563.1607281522</v>
      </c>
    </row>
    <row r="42" spans="1:41" s="38" customFormat="1" ht="10.199999999999999">
      <c r="A42" s="145" t="s">
        <v>56</v>
      </c>
      <c r="B42" s="142">
        <v>1742481.7507691137</v>
      </c>
      <c r="C42" s="142">
        <v>1903892.2856044939</v>
      </c>
      <c r="D42" s="142">
        <v>129481.48261007073</v>
      </c>
      <c r="E42" s="141">
        <v>-1930856.7801224294</v>
      </c>
      <c r="F42" s="144">
        <v>1844998.7388612491</v>
      </c>
      <c r="G42" s="144"/>
      <c r="H42" s="144">
        <f t="shared" si="0"/>
        <v>1844998.7388612491</v>
      </c>
      <c r="I42" s="146">
        <f>B42*VLOOKUP(I$7,'GI Factors'!A:M,4,FALSE)+C42*VLOOKUP(I$7,'GI Factors'!A:M,7,FALSE)+D42*VLOOKUP(I$7,'GI Factors'!A:M,10,FALSE)+E42*VLOOKUP(I$7,'GI Factors'!A:M,13,FALSE)</f>
        <v>1935975.2574382338</v>
      </c>
      <c r="J42" s="155">
        <v>401299</v>
      </c>
      <c r="K42" s="146">
        <v>13273</v>
      </c>
      <c r="L42" s="156"/>
      <c r="M42" s="146">
        <f t="shared" si="1"/>
        <v>414572</v>
      </c>
      <c r="N42" s="157"/>
      <c r="O42" s="148"/>
      <c r="P42" s="157">
        <f t="shared" si="23"/>
        <v>2069493.3132705959</v>
      </c>
      <c r="Q42" s="148">
        <f t="shared" si="3"/>
        <v>-1654921.3132705959</v>
      </c>
      <c r="R42" s="148">
        <f t="shared" si="4"/>
        <v>0</v>
      </c>
      <c r="S42" s="155">
        <f t="shared" si="5"/>
        <v>-1654921.3132705959</v>
      </c>
      <c r="T42" s="188">
        <f t="shared" si="6"/>
        <v>2.3169638144602665E-11</v>
      </c>
      <c r="U42" s="188">
        <f t="shared" si="7"/>
        <v>0</v>
      </c>
      <c r="V42" s="188">
        <f t="shared" si="8"/>
        <v>2.3169638144602665E-11</v>
      </c>
      <c r="W42" s="184">
        <f t="shared" si="9"/>
        <v>45</v>
      </c>
      <c r="X42" s="146">
        <f t="shared" si="10"/>
        <v>414572</v>
      </c>
      <c r="Y42" s="186">
        <v>1971</v>
      </c>
      <c r="Z42" s="181">
        <v>2016</v>
      </c>
      <c r="AA42" s="172">
        <v>0</v>
      </c>
      <c r="AB42" s="172">
        <f>Z42+1</f>
        <v>2017</v>
      </c>
      <c r="AC42" s="174">
        <f>Z42+2</f>
        <v>2018</v>
      </c>
      <c r="AD42" s="180">
        <f>(B42*$AD$8)*VLOOKUP(AB42,'GI Factors'!A:M,4,FALSE)+(C42*$AD$8)*VLOOKUP(AB42,'GI Factors'!A:M,7,FALSE)+(D42*$AD$8)*VLOOKUP(AB42,'GI Factors'!A:M,10,FALSE)+(E42*$AD$8)*VLOOKUP(AB42,'GI Factors'!A:M,13,FALSE)</f>
        <v>606286.8197233777</v>
      </c>
      <c r="AE42" s="180">
        <f>(B42*$AE$8)*VLOOKUP(AC42,'GI Factors'!A:M,4,FALSE)+(C42*$AE$8)*VLOOKUP(AC42,'GI Factors'!A:M,7,FALSE)+(D42*$AE$8)*VLOOKUP(AC42,'GI Factors'!A:M,10,FALSE)+(E42*$AE$8)*VLOOKUP(AC42,'GI Factors'!A:M,13,FALSE)</f>
        <v>1463206.4935472182</v>
      </c>
      <c r="AF42" s="176">
        <f t="shared" si="14"/>
        <v>2069493.3132705959</v>
      </c>
      <c r="AG42" s="176">
        <f t="shared" si="15"/>
        <v>1654921.3132705959</v>
      </c>
      <c r="AH42" s="175">
        <v>0</v>
      </c>
      <c r="AI42" s="176">
        <f t="shared" si="17"/>
        <v>1654921.3132705959</v>
      </c>
      <c r="AJ42" s="176"/>
      <c r="AK42" s="189">
        <f>AI42</f>
        <v>1654921.3132705959</v>
      </c>
      <c r="AL42" s="189">
        <v>0</v>
      </c>
      <c r="AM42" s="189">
        <f t="shared" si="24"/>
        <v>0</v>
      </c>
      <c r="AN42" s="189">
        <f t="shared" si="22"/>
        <v>0</v>
      </c>
      <c r="AO42" s="189">
        <f t="shared" si="20"/>
        <v>413730.32831764896</v>
      </c>
    </row>
    <row r="43" spans="1:41" s="38" customFormat="1" ht="10.199999999999999">
      <c r="A43" s="145" t="s">
        <v>55</v>
      </c>
      <c r="B43" s="142">
        <v>5017105.8010564577</v>
      </c>
      <c r="C43" s="142">
        <v>5481853.1249907082</v>
      </c>
      <c r="D43" s="142">
        <v>308981.41858655348</v>
      </c>
      <c r="E43" s="141">
        <v>-4986252.8894319041</v>
      </c>
      <c r="F43" s="144">
        <v>5821687.4552018149</v>
      </c>
      <c r="G43" s="144"/>
      <c r="H43" s="144">
        <f t="shared" si="0"/>
        <v>5821687.4552018149</v>
      </c>
      <c r="I43" s="146">
        <f>B43*VLOOKUP(I$7,'GI Factors'!A:M,4,FALSE)+C43*VLOOKUP(I$7,'GI Factors'!A:M,7,FALSE)+D43*VLOOKUP(I$7,'GI Factors'!A:M,10,FALSE)+E43*VLOOKUP(I$7,'GI Factors'!A:M,13,FALSE)</f>
        <v>6079218.7363787638</v>
      </c>
      <c r="J43" s="155"/>
      <c r="K43" s="146"/>
      <c r="L43" s="156"/>
      <c r="M43" s="146">
        <f t="shared" si="1"/>
        <v>0</v>
      </c>
      <c r="N43" s="157"/>
      <c r="O43" s="148"/>
      <c r="P43" s="157">
        <f t="shared" si="23"/>
        <v>721570.27733827382</v>
      </c>
      <c r="Q43" s="148">
        <f t="shared" si="3"/>
        <v>-721570.27733827382</v>
      </c>
      <c r="R43" s="148">
        <f t="shared" si="4"/>
        <v>0</v>
      </c>
      <c r="S43" s="155">
        <f t="shared" si="5"/>
        <v>-721570.27733827382</v>
      </c>
      <c r="T43" s="188">
        <f t="shared" si="6"/>
        <v>1.0102306428568395E-11</v>
      </c>
      <c r="U43" s="188">
        <f t="shared" si="7"/>
        <v>0</v>
      </c>
      <c r="V43" s="188">
        <f t="shared" si="8"/>
        <v>1.0102306428568395E-11</v>
      </c>
      <c r="W43" s="184">
        <f t="shared" si="9"/>
        <v>40</v>
      </c>
      <c r="X43" s="146">
        <f t="shared" si="10"/>
        <v>0</v>
      </c>
      <c r="Y43" s="186">
        <v>2016</v>
      </c>
      <c r="Z43" s="181">
        <v>2056</v>
      </c>
      <c r="AA43" s="172">
        <f t="shared" ref="AA43:AA64" si="25">Z43-2017</f>
        <v>39</v>
      </c>
      <c r="AB43" s="172">
        <f t="shared" ref="AB43:AB64" si="26">Z43+5</f>
        <v>2061</v>
      </c>
      <c r="AC43" s="174">
        <f t="shared" ref="AC43:AC64" si="27">Z43+6</f>
        <v>2062</v>
      </c>
      <c r="AD43" s="180">
        <f>(B43*$AD$8)*VLOOKUP(AB43,'GI Factors'!A:M,4,FALSE)+(C43*$AD$8)*VLOOKUP(AB43,'GI Factors'!A:M,7,FALSE)+(D43*$AD$8)*VLOOKUP(AB43,'GI Factors'!A:M,10,FALSE)+(E43*$AD$8)*VLOOKUP(AB43,'GI Factors'!A:M,13,FALSE)</f>
        <v>8436247.8197114766</v>
      </c>
      <c r="AE43" s="180">
        <f>(B43*$AE$8)*VLOOKUP(AC43,'GI Factors'!A:M,4,FALSE)+(C43*$AE$8)*VLOOKUP(AC43,'GI Factors'!A:M,7,FALSE)+(D43*$AE$8)*VLOOKUP(AC43,'GI Factors'!A:M,10,FALSE)+(E43*$AE$8)*VLOOKUP(AC43,'GI Factors'!A:M,13,FALSE)</f>
        <v>20426563.27381938</v>
      </c>
      <c r="AF43" s="176">
        <f t="shared" si="14"/>
        <v>28862811.093530856</v>
      </c>
      <c r="AG43" s="176">
        <f t="shared" si="15"/>
        <v>28862811.093530856</v>
      </c>
      <c r="AH43" s="175">
        <f t="shared" ref="AH43:AH64" si="28">RATE(AA43,,-F43,AF43)</f>
        <v>4.1904567929671711E-2</v>
      </c>
      <c r="AI43" s="176">
        <f t="shared" si="17"/>
        <v>5821687.4552017972</v>
      </c>
      <c r="AJ43" s="176"/>
      <c r="AK43" s="189">
        <f t="shared" ref="AK43:AK64" si="29">PMT((1+AH43)-1,AA43,-AI43)</f>
        <v>305594.28331557801</v>
      </c>
      <c r="AL43" s="189">
        <f t="shared" ref="AL43:AL64" si="30">AK43*(1+$AH43)</f>
        <v>318400.07971969497</v>
      </c>
      <c r="AM43" s="189">
        <f t="shared" si="24"/>
        <v>331742.4974891218</v>
      </c>
      <c r="AN43" s="189">
        <f t="shared" si="22"/>
        <v>345644.02351031365</v>
      </c>
      <c r="AO43" s="189">
        <f t="shared" si="20"/>
        <v>325345.22100867709</v>
      </c>
    </row>
    <row r="44" spans="1:41" s="38" customFormat="1" ht="10.199999999999999">
      <c r="A44" s="145" t="s">
        <v>57</v>
      </c>
      <c r="B44" s="142">
        <v>2881979.1176945516</v>
      </c>
      <c r="C44" s="142">
        <v>3565802.5707920715</v>
      </c>
      <c r="D44" s="142">
        <v>229019.95970358874</v>
      </c>
      <c r="E44" s="141">
        <v>-363284.61340347707</v>
      </c>
      <c r="F44" s="144">
        <v>6313517.0347867347</v>
      </c>
      <c r="G44" s="144"/>
      <c r="H44" s="144">
        <f t="shared" si="0"/>
        <v>6313517.0347867347</v>
      </c>
      <c r="I44" s="146">
        <f>B44*VLOOKUP(I$7,'GI Factors'!A:M,4,FALSE)+C44*VLOOKUP(I$7,'GI Factors'!A:M,7,FALSE)+D44*VLOOKUP(I$7,'GI Factors'!A:M,10,FALSE)+E44*VLOOKUP(I$7,'GI Factors'!A:M,13,FALSE)</f>
        <v>6452456.611864916</v>
      </c>
      <c r="J44" s="155">
        <v>0</v>
      </c>
      <c r="K44" s="146">
        <v>0</v>
      </c>
      <c r="L44" s="156"/>
      <c r="M44" s="146">
        <f t="shared" ref="M44:M64" si="31">J44+K44+L44</f>
        <v>0</v>
      </c>
      <c r="N44" s="157"/>
      <c r="O44" s="148"/>
      <c r="P44" s="157">
        <f t="shared" si="23"/>
        <v>1632143.9455728456</v>
      </c>
      <c r="Q44" s="148">
        <f t="shared" ref="Q44:Q64" si="32">X44-P44</f>
        <v>-1632143.9455728456</v>
      </c>
      <c r="R44" s="148">
        <f t="shared" ref="R44:R64" si="33">IF(Q44&lt;0,0,+Q44)</f>
        <v>0</v>
      </c>
      <c r="S44" s="155">
        <f t="shared" ref="S44:S64" si="34">+IF(Q44&gt;0,0,+Q44)</f>
        <v>-1632143.9455728456</v>
      </c>
      <c r="T44" s="188">
        <f t="shared" ref="T44:T64" si="35">+$R$66*(S44/$S$66)</f>
        <v>2.2850744815227103E-11</v>
      </c>
      <c r="U44" s="188">
        <f t="shared" ref="U44:U64" si="36">-$T$66*(R44/$R$66)</f>
        <v>0</v>
      </c>
      <c r="V44" s="188">
        <f t="shared" ref="V44:V64" si="37">T44+U44</f>
        <v>2.2850744815227103E-11</v>
      </c>
      <c r="W44" s="184">
        <f t="shared" ref="W44:W64" si="38">Z44-Y44</f>
        <v>40</v>
      </c>
      <c r="X44" s="146">
        <f t="shared" ref="X44:X64" si="39">M44+N44+O44</f>
        <v>0</v>
      </c>
      <c r="Y44" s="186">
        <v>2014</v>
      </c>
      <c r="Z44" s="181">
        <v>2054</v>
      </c>
      <c r="AA44" s="172">
        <f t="shared" si="25"/>
        <v>37</v>
      </c>
      <c r="AB44" s="172">
        <f t="shared" si="26"/>
        <v>2059</v>
      </c>
      <c r="AC44" s="174">
        <f t="shared" si="27"/>
        <v>2060</v>
      </c>
      <c r="AD44" s="180">
        <f>(B44*$AD$8)*VLOOKUP(AB44,'GI Factors'!A:M,4,FALSE)+(C44*$AD$8)*VLOOKUP(AB44,'GI Factors'!A:M,7,FALSE)+(D44*$AD$8)*VLOOKUP(AB44,'GI Factors'!A:M,10,FALSE)+(E44*$AD$8)*VLOOKUP(AB44,'GI Factors'!A:M,13,FALSE)</f>
        <v>6387524.3400826007</v>
      </c>
      <c r="AE44" s="180">
        <f>(B44*$AE$8)*VLOOKUP(AC44,'GI Factors'!A:M,4,FALSE)+(C44*$AE$8)*VLOOKUP(AC44,'GI Factors'!A:M,7,FALSE)+(D44*$AE$8)*VLOOKUP(AC44,'GI Factors'!A:M,10,FALSE)+(E44*$AE$8)*VLOOKUP(AC44,'GI Factors'!A:M,13,FALSE)</f>
        <v>15374394.934222028</v>
      </c>
      <c r="AF44" s="176">
        <f t="shared" ref="AF44:AF64" si="40">SUM(AD44:AE44)</f>
        <v>21761919.274304628</v>
      </c>
      <c r="AG44" s="176">
        <f t="shared" ref="AG44:AG64" si="41">AF44-X44</f>
        <v>21761919.274304628</v>
      </c>
      <c r="AH44" s="175">
        <f t="shared" si="28"/>
        <v>3.4010675652552239E-2</v>
      </c>
      <c r="AI44" s="176">
        <f t="shared" ref="AI44:AI64" si="42">AG44/((1+AH44)^(AA44))</f>
        <v>6313517.034786731</v>
      </c>
      <c r="AJ44" s="176"/>
      <c r="AK44" s="189">
        <f t="shared" si="29"/>
        <v>302482.49200377153</v>
      </c>
      <c r="AL44" s="189">
        <f t="shared" si="30"/>
        <v>312770.12592988752</v>
      </c>
      <c r="AM44" s="189">
        <f t="shared" si="24"/>
        <v>323407.64923669683</v>
      </c>
      <c r="AN44" s="189">
        <f t="shared" si="22"/>
        <v>334406.9618984405</v>
      </c>
      <c r="AO44" s="189">
        <f t="shared" ref="AO44:AO64" si="43">SUM(AK44:AN44)/4</f>
        <v>318266.8072671991</v>
      </c>
    </row>
    <row r="45" spans="1:41" s="38" customFormat="1" ht="10.199999999999999">
      <c r="A45" s="145" t="s">
        <v>58</v>
      </c>
      <c r="B45" s="142">
        <v>5045179.3181707775</v>
      </c>
      <c r="C45" s="142">
        <v>5512527.1636944963</v>
      </c>
      <c r="D45" s="142">
        <v>265601.66559399635</v>
      </c>
      <c r="E45" s="141">
        <v>-4024241.2901203092</v>
      </c>
      <c r="F45" s="144">
        <v>6799066.8573389612</v>
      </c>
      <c r="G45" s="144"/>
      <c r="H45" s="144">
        <f t="shared" si="0"/>
        <v>6799066.8573389612</v>
      </c>
      <c r="I45" s="146">
        <f>B45*VLOOKUP(I$7,'GI Factors'!A:M,4,FALSE)+C45*VLOOKUP(I$7,'GI Factors'!A:M,7,FALSE)+D45*VLOOKUP(I$7,'GI Factors'!A:M,10,FALSE)+E45*VLOOKUP(I$7,'GI Factors'!A:M,13,FALSE)</f>
        <v>7051684.2675072933</v>
      </c>
      <c r="J45" s="155">
        <v>0</v>
      </c>
      <c r="K45" s="146">
        <v>0</v>
      </c>
      <c r="L45" s="156"/>
      <c r="M45" s="146">
        <f t="shared" si="31"/>
        <v>0</v>
      </c>
      <c r="N45" s="157"/>
      <c r="O45" s="148"/>
      <c r="P45" s="157">
        <f t="shared" si="23"/>
        <v>2176180.2584088668</v>
      </c>
      <c r="Q45" s="148">
        <f t="shared" si="32"/>
        <v>-2176180.2584088668</v>
      </c>
      <c r="R45" s="148">
        <f t="shared" si="33"/>
        <v>0</v>
      </c>
      <c r="S45" s="155">
        <f t="shared" si="34"/>
        <v>-2176180.2584088668</v>
      </c>
      <c r="T45" s="188">
        <f t="shared" si="35"/>
        <v>3.0467496382117707E-11</v>
      </c>
      <c r="U45" s="188">
        <f t="shared" si="36"/>
        <v>0</v>
      </c>
      <c r="V45" s="188">
        <f t="shared" si="37"/>
        <v>3.0467496382117707E-11</v>
      </c>
      <c r="W45" s="184">
        <f t="shared" si="38"/>
        <v>40</v>
      </c>
      <c r="X45" s="146">
        <f t="shared" si="39"/>
        <v>0</v>
      </c>
      <c r="Y45" s="186">
        <v>2014</v>
      </c>
      <c r="Z45" s="181">
        <v>2054</v>
      </c>
      <c r="AA45" s="172">
        <f t="shared" si="25"/>
        <v>37</v>
      </c>
      <c r="AB45" s="172">
        <f t="shared" si="26"/>
        <v>2059</v>
      </c>
      <c r="AC45" s="174">
        <f t="shared" si="27"/>
        <v>2060</v>
      </c>
      <c r="AD45" s="180">
        <f>(B45*$AD$8)*VLOOKUP(AB45,'GI Factors'!A:M,4,FALSE)+(C45*$AD$8)*VLOOKUP(AB45,'GI Factors'!A:M,7,FALSE)+(D45*$AD$8)*VLOOKUP(AB45,'GI Factors'!A:M,10,FALSE)+(E45*$AD$8)*VLOOKUP(AB45,'GI Factors'!A:M,13,FALSE)</f>
        <v>8490213.6570936069</v>
      </c>
      <c r="AE45" s="180">
        <f>(B45*$AE$8)*VLOOKUP(AC45,'GI Factors'!A:M,4,FALSE)+(C45*$AE$8)*VLOOKUP(AC45,'GI Factors'!A:M,7,FALSE)+(D45*$AE$8)*VLOOKUP(AC45,'GI Factors'!A:M,10,FALSE)+(E45*$AE$8)*VLOOKUP(AC45,'GI Factors'!A:M,13,FALSE)</f>
        <v>20525523.121691298</v>
      </c>
      <c r="AF45" s="176">
        <f t="shared" si="40"/>
        <v>29015736.778784905</v>
      </c>
      <c r="AG45" s="176">
        <f t="shared" si="41"/>
        <v>29015736.778784905</v>
      </c>
      <c r="AH45" s="175">
        <f t="shared" si="28"/>
        <v>3.9996811639665487E-2</v>
      </c>
      <c r="AI45" s="176">
        <f t="shared" si="42"/>
        <v>6799066.857338964</v>
      </c>
      <c r="AJ45" s="176"/>
      <c r="AK45" s="189">
        <f t="shared" si="29"/>
        <v>355164.31577453588</v>
      </c>
      <c r="AL45" s="189">
        <f t="shared" si="30"/>
        <v>369369.75601370062</v>
      </c>
      <c r="AM45" s="189">
        <f t="shared" si="24"/>
        <v>384143.36857036978</v>
      </c>
      <c r="AN45" s="189">
        <f t="shared" si="22"/>
        <v>399507.87852570543</v>
      </c>
      <c r="AO45" s="189">
        <f t="shared" si="43"/>
        <v>377046.32972107793</v>
      </c>
    </row>
    <row r="46" spans="1:41" s="38" customFormat="1" ht="10.199999999999999">
      <c r="A46" s="145" t="s">
        <v>59</v>
      </c>
      <c r="B46" s="142">
        <v>4570036.4363128301</v>
      </c>
      <c r="C46" s="142">
        <v>5427707.6298814695</v>
      </c>
      <c r="D46" s="142">
        <v>629977.33011792239</v>
      </c>
      <c r="E46" s="141">
        <v>-560475.78684312862</v>
      </c>
      <c r="F46" s="144">
        <v>10067245.609469093</v>
      </c>
      <c r="G46" s="144"/>
      <c r="H46" s="144">
        <f t="shared" si="0"/>
        <v>10067245.609469093</v>
      </c>
      <c r="I46" s="146">
        <f>B46*VLOOKUP(I$7,'GI Factors'!A:M,4,FALSE)+C46*VLOOKUP(I$7,'GI Factors'!A:M,7,FALSE)+D46*VLOOKUP(I$7,'GI Factors'!A:M,10,FALSE)+E46*VLOOKUP(I$7,'GI Factors'!A:M,13,FALSE)</f>
        <v>10290606.250953928</v>
      </c>
      <c r="J46" s="155">
        <v>10432013.74</v>
      </c>
      <c r="K46" s="146">
        <v>306085</v>
      </c>
      <c r="L46" s="156"/>
      <c r="M46" s="146">
        <f t="shared" si="31"/>
        <v>10738098.74</v>
      </c>
      <c r="N46" s="157">
        <v>-2000718.9627930601</v>
      </c>
      <c r="O46" s="148"/>
      <c r="P46" s="157">
        <f t="shared" si="23"/>
        <v>8737379.7772069387</v>
      </c>
      <c r="Q46" s="148">
        <f t="shared" si="32"/>
        <v>0</v>
      </c>
      <c r="R46" s="148">
        <f t="shared" si="33"/>
        <v>0</v>
      </c>
      <c r="S46" s="155">
        <f t="shared" si="34"/>
        <v>0</v>
      </c>
      <c r="T46" s="188">
        <f t="shared" si="35"/>
        <v>0</v>
      </c>
      <c r="U46" s="188">
        <f t="shared" si="36"/>
        <v>0</v>
      </c>
      <c r="V46" s="188">
        <f t="shared" si="37"/>
        <v>0</v>
      </c>
      <c r="W46" s="184">
        <f t="shared" si="38"/>
        <v>40</v>
      </c>
      <c r="X46" s="146">
        <f t="shared" si="39"/>
        <v>8737379.7772069406</v>
      </c>
      <c r="Y46" s="186">
        <v>2003</v>
      </c>
      <c r="Z46" s="181">
        <v>2043</v>
      </c>
      <c r="AA46" s="172">
        <f t="shared" si="25"/>
        <v>26</v>
      </c>
      <c r="AB46" s="172">
        <f t="shared" si="26"/>
        <v>2048</v>
      </c>
      <c r="AC46" s="174">
        <f t="shared" si="27"/>
        <v>2049</v>
      </c>
      <c r="AD46" s="180">
        <f>(B46*$AD$8)*VLOOKUP(AB46,'GI Factors'!A:M,4,FALSE)+(C46*$AD$8)*VLOOKUP(AB46,'GI Factors'!A:M,7,FALSE)+(D46*$AD$8)*VLOOKUP(AB46,'GI Factors'!A:M,10,FALSE)+(E46*$AD$8)*VLOOKUP(AB46,'GI Factors'!A:M,13,FALSE)</f>
        <v>7335246.4191388395</v>
      </c>
      <c r="AE46" s="180">
        <f>(B46*$AE$8)*VLOOKUP(AC46,'GI Factors'!A:M,4,FALSE)+(C46*$AE$8)*VLOOKUP(AC46,'GI Factors'!A:M,7,FALSE)+(D46*$AE$8)*VLOOKUP(AC46,'GI Factors'!A:M,10,FALSE)+(E46*$AE$8)*VLOOKUP(AC46,'GI Factors'!A:M,13,FALSE)</f>
        <v>17628695.801452413</v>
      </c>
      <c r="AF46" s="176">
        <f t="shared" si="40"/>
        <v>24963942.220591255</v>
      </c>
      <c r="AG46" s="176">
        <f t="shared" si="41"/>
        <v>16226562.443384314</v>
      </c>
      <c r="AH46" s="175">
        <f t="shared" si="28"/>
        <v>3.5545837001214567E-2</v>
      </c>
      <c r="AI46" s="176">
        <f t="shared" si="42"/>
        <v>6543709.6461549243</v>
      </c>
      <c r="AJ46" s="176"/>
      <c r="AK46" s="189">
        <f t="shared" si="29"/>
        <v>389794.7286383154</v>
      </c>
      <c r="AL46" s="189">
        <f t="shared" si="30"/>
        <v>403650.30852642562</v>
      </c>
      <c r="AM46" s="189">
        <f t="shared" si="24"/>
        <v>417998.39659879589</v>
      </c>
      <c r="AN46" s="189">
        <f t="shared" si="22"/>
        <v>432856.4994710657</v>
      </c>
      <c r="AO46" s="189">
        <f t="shared" si="43"/>
        <v>411074.98330865067</v>
      </c>
    </row>
    <row r="47" spans="1:41" s="38" customFormat="1" ht="10.199999999999999">
      <c r="A47" s="145" t="s">
        <v>60</v>
      </c>
      <c r="B47" s="142">
        <v>4858570.6522881538</v>
      </c>
      <c r="C47" s="142">
        <v>5308632.4604965691</v>
      </c>
      <c r="D47" s="142">
        <v>259597.68562062192</v>
      </c>
      <c r="E47" s="141">
        <v>-4248016.0300417049</v>
      </c>
      <c r="F47" s="144">
        <v>6178784.7683636406</v>
      </c>
      <c r="G47" s="144"/>
      <c r="H47" s="144">
        <f t="shared" si="0"/>
        <v>6178784.7683636406</v>
      </c>
      <c r="I47" s="146">
        <f>B47*VLOOKUP(I$7,'GI Factors'!A:M,4,FALSE)+C47*VLOOKUP(I$7,'GI Factors'!A:M,7,FALSE)+D47*VLOOKUP(I$7,'GI Factors'!A:M,10,FALSE)+E47*VLOOKUP(I$7,'GI Factors'!A:M,13,FALSE)</f>
        <v>6424193.6633167034</v>
      </c>
      <c r="J47" s="155">
        <v>7095187.2800000003</v>
      </c>
      <c r="K47" s="146">
        <v>590434</v>
      </c>
      <c r="L47" s="156"/>
      <c r="M47" s="146">
        <f t="shared" si="31"/>
        <v>7685621.2800000003</v>
      </c>
      <c r="N47" s="157">
        <v>-1255952.2982940599</v>
      </c>
      <c r="O47" s="148">
        <v>-2683030.6940616099</v>
      </c>
      <c r="P47" s="157">
        <f t="shared" si="23"/>
        <v>6429668.9817059375</v>
      </c>
      <c r="Q47" s="148">
        <f t="shared" si="32"/>
        <v>-2683030.6940616071</v>
      </c>
      <c r="R47" s="148">
        <f t="shared" si="33"/>
        <v>0</v>
      </c>
      <c r="S47" s="155">
        <f t="shared" si="34"/>
        <v>-2683030.6940616071</v>
      </c>
      <c r="T47" s="188">
        <f t="shared" si="35"/>
        <v>3.7563629046153329E-11</v>
      </c>
      <c r="U47" s="188">
        <f t="shared" si="36"/>
        <v>0</v>
      </c>
      <c r="V47" s="188">
        <f t="shared" si="37"/>
        <v>3.7563629046153329E-11</v>
      </c>
      <c r="W47" s="184">
        <f t="shared" si="38"/>
        <v>40</v>
      </c>
      <c r="X47" s="146">
        <f t="shared" si="39"/>
        <v>3746638.2876443304</v>
      </c>
      <c r="Y47" s="186">
        <v>2003</v>
      </c>
      <c r="Z47" s="181">
        <v>2043</v>
      </c>
      <c r="AA47" s="172">
        <f t="shared" si="25"/>
        <v>26</v>
      </c>
      <c r="AB47" s="172">
        <f t="shared" si="26"/>
        <v>2048</v>
      </c>
      <c r="AC47" s="174">
        <f t="shared" si="27"/>
        <v>2049</v>
      </c>
      <c r="AD47" s="180">
        <f>(B47*$AD$8)*VLOOKUP(AB47,'GI Factors'!A:M,4,FALSE)+(C47*$AD$8)*VLOOKUP(AB47,'GI Factors'!A:M,7,FALSE)+(D47*$AD$8)*VLOOKUP(AB47,'GI Factors'!A:M,10,FALSE)+(E47*$AD$8)*VLOOKUP(AB47,'GI Factors'!A:M,13,FALSE)</f>
        <v>5377799.9269690067</v>
      </c>
      <c r="AE47" s="180">
        <f>(B47*$AE$8)*VLOOKUP(AC47,'GI Factors'!A:M,4,FALSE)+(C47*$AE$8)*VLOOKUP(AC47,'GI Factors'!A:M,7,FALSE)+(D47*$AE$8)*VLOOKUP(AC47,'GI Factors'!A:M,10,FALSE)+(E47*$AE$8)*VLOOKUP(AC47,'GI Factors'!A:M,13,FALSE)</f>
        <v>12992682.877905104</v>
      </c>
      <c r="AF47" s="176">
        <f t="shared" si="40"/>
        <v>18370482.804874111</v>
      </c>
      <c r="AG47" s="176">
        <f t="shared" si="41"/>
        <v>14623844.517229781</v>
      </c>
      <c r="AH47" s="175">
        <f t="shared" si="28"/>
        <v>4.2799161284754375E-2</v>
      </c>
      <c r="AI47" s="176">
        <f t="shared" si="42"/>
        <v>4918628.9069116563</v>
      </c>
      <c r="AJ47" s="176"/>
      <c r="AK47" s="189">
        <f t="shared" si="29"/>
        <v>317201.83358986053</v>
      </c>
      <c r="AL47" s="189">
        <f t="shared" si="30"/>
        <v>330777.80602549284</v>
      </c>
      <c r="AM47" s="189">
        <f t="shared" si="24"/>
        <v>344934.81869499513</v>
      </c>
      <c r="AN47" s="189">
        <f t="shared" si="22"/>
        <v>359697.73963304976</v>
      </c>
      <c r="AO47" s="189">
        <f t="shared" si="43"/>
        <v>338153.04948584957</v>
      </c>
    </row>
    <row r="48" spans="1:41" s="38" customFormat="1" ht="10.199999999999999">
      <c r="A48" s="145" t="s">
        <v>61</v>
      </c>
      <c r="B48" s="142">
        <v>4839859.2535168575</v>
      </c>
      <c r="C48" s="142">
        <v>5288187.7770685684</v>
      </c>
      <c r="D48" s="142">
        <v>259597.68562062192</v>
      </c>
      <c r="E48" s="141">
        <v>-4234964.6550417049</v>
      </c>
      <c r="F48" s="144">
        <v>6152680.0611643447</v>
      </c>
      <c r="G48" s="144"/>
      <c r="H48" s="144">
        <f t="shared" si="0"/>
        <v>6152680.0611643447</v>
      </c>
      <c r="I48" s="146">
        <f>B48*VLOOKUP(I$7,'GI Factors'!A:M,4,FALSE)+C48*VLOOKUP(I$7,'GI Factors'!A:M,7,FALSE)+D48*VLOOKUP(I$7,'GI Factors'!A:M,10,FALSE)+E48*VLOOKUP(I$7,'GI Factors'!A:M,13,FALSE)</f>
        <v>6397181.6497125598</v>
      </c>
      <c r="J48" s="155">
        <v>7720192.1100000003</v>
      </c>
      <c r="K48" s="146">
        <v>584194</v>
      </c>
      <c r="L48" s="156"/>
      <c r="M48" s="146">
        <f t="shared" si="31"/>
        <v>8304386.1100000003</v>
      </c>
      <c r="N48" s="157">
        <v>-1677957.8805299299</v>
      </c>
      <c r="O48" s="148"/>
      <c r="P48" s="157">
        <f t="shared" si="23"/>
        <v>6626428.2294700667</v>
      </c>
      <c r="Q48" s="148">
        <f t="shared" si="32"/>
        <v>0</v>
      </c>
      <c r="R48" s="148">
        <f t="shared" si="33"/>
        <v>0</v>
      </c>
      <c r="S48" s="155">
        <f t="shared" si="34"/>
        <v>0</v>
      </c>
      <c r="T48" s="188">
        <f t="shared" si="35"/>
        <v>0</v>
      </c>
      <c r="U48" s="188">
        <f t="shared" si="36"/>
        <v>0</v>
      </c>
      <c r="V48" s="188">
        <f t="shared" si="37"/>
        <v>0</v>
      </c>
      <c r="W48" s="184">
        <f t="shared" si="38"/>
        <v>40</v>
      </c>
      <c r="X48" s="146">
        <f t="shared" si="39"/>
        <v>6626428.2294700705</v>
      </c>
      <c r="Y48" s="186">
        <v>2002</v>
      </c>
      <c r="Z48" s="181">
        <v>2042</v>
      </c>
      <c r="AA48" s="172">
        <f t="shared" si="25"/>
        <v>25</v>
      </c>
      <c r="AB48" s="172">
        <f t="shared" si="26"/>
        <v>2047</v>
      </c>
      <c r="AC48" s="174">
        <f t="shared" si="27"/>
        <v>2048</v>
      </c>
      <c r="AD48" s="180">
        <f>(B48*$AD$8)*VLOOKUP(AB48,'GI Factors'!A:M,4,FALSE)+(C48*$AD$8)*VLOOKUP(AB48,'GI Factors'!A:M,7,FALSE)+(D48*$AD$8)*VLOOKUP(AB48,'GI Factors'!A:M,10,FALSE)+(E48*$AD$8)*VLOOKUP(AB48,'GI Factors'!A:M,13,FALSE)</f>
        <v>5173324.5496434653</v>
      </c>
      <c r="AE48" s="180">
        <f>(B48*$AE$8)*VLOOKUP(AC48,'GI Factors'!A:M,4,FALSE)+(C48*$AE$8)*VLOOKUP(AC48,'GI Factors'!A:M,7,FALSE)+(D48*$AE$8)*VLOOKUP(AC48,'GI Factors'!A:M,10,FALSE)+(E48*$AE$8)*VLOOKUP(AC48,'GI Factors'!A:M,13,FALSE)</f>
        <v>12497150.728943381</v>
      </c>
      <c r="AF48" s="176">
        <f t="shared" si="40"/>
        <v>17670475.278586846</v>
      </c>
      <c r="AG48" s="176">
        <f t="shared" si="41"/>
        <v>11044047.049116775</v>
      </c>
      <c r="AH48" s="175">
        <f t="shared" si="28"/>
        <v>4.3103387859351451E-2</v>
      </c>
      <c r="AI48" s="176">
        <f t="shared" si="42"/>
        <v>3845425.0382277258</v>
      </c>
      <c r="AJ48" s="176"/>
      <c r="AK48" s="189">
        <f t="shared" si="29"/>
        <v>254293.13400544418</v>
      </c>
      <c r="AL48" s="189">
        <f t="shared" si="30"/>
        <v>265254.02959045087</v>
      </c>
      <c r="AM48" s="189">
        <f t="shared" si="24"/>
        <v>276687.37690914393</v>
      </c>
      <c r="AN48" s="189">
        <f t="shared" si="22"/>
        <v>288613.54023184534</v>
      </c>
      <c r="AO48" s="189">
        <f t="shared" si="43"/>
        <v>271212.0201842211</v>
      </c>
    </row>
    <row r="49" spans="1:41" s="38" customFormat="1">
      <c r="A49" s="145" t="s">
        <v>132</v>
      </c>
      <c r="B49" s="142">
        <v>19566570.034988631</v>
      </c>
      <c r="C49" s="142">
        <v>13474309.196746578</v>
      </c>
      <c r="D49" s="142">
        <v>400221.39776833251</v>
      </c>
      <c r="E49" s="141">
        <v>-278298.92971855565</v>
      </c>
      <c r="F49" s="144">
        <v>33162801.699784983</v>
      </c>
      <c r="G49" s="144"/>
      <c r="H49" s="144">
        <f t="shared" si="0"/>
        <v>33162801.699784983</v>
      </c>
      <c r="I49" s="146">
        <f>B49*VLOOKUP(I$7,'GI Factors'!A:M,4,FALSE)+C49*VLOOKUP(I$7,'GI Factors'!A:M,7,FALSE)+D49*VLOOKUP(I$7,'GI Factors'!A:M,10,FALSE)+E49*VLOOKUP(I$7,'GI Factors'!A:M,13,FALSE)</f>
        <v>33972827.658544183</v>
      </c>
      <c r="J49" s="155">
        <v>20717508.52</v>
      </c>
      <c r="K49" s="146">
        <v>838968</v>
      </c>
      <c r="L49" s="156"/>
      <c r="M49" s="146">
        <f t="shared" si="31"/>
        <v>21556476.52</v>
      </c>
      <c r="N49" s="157"/>
      <c r="O49" s="148"/>
      <c r="P49" s="157">
        <f t="shared" si="23"/>
        <v>44910696.449320115</v>
      </c>
      <c r="Q49" s="148">
        <f t="shared" si="32"/>
        <v>-23354219.929320116</v>
      </c>
      <c r="R49" s="148">
        <f t="shared" si="33"/>
        <v>0</v>
      </c>
      <c r="S49" s="155">
        <f t="shared" si="34"/>
        <v>-23354219.929320116</v>
      </c>
      <c r="T49" s="188">
        <f t="shared" si="35"/>
        <v>3.269695184736185E-10</v>
      </c>
      <c r="U49" s="188">
        <f t="shared" si="36"/>
        <v>0</v>
      </c>
      <c r="V49" s="188">
        <f t="shared" si="37"/>
        <v>3.269695184736185E-10</v>
      </c>
      <c r="W49" s="184">
        <f t="shared" si="38"/>
        <v>50</v>
      </c>
      <c r="X49" s="146">
        <f t="shared" si="39"/>
        <v>21556476.52</v>
      </c>
      <c r="Y49" s="186">
        <v>1989</v>
      </c>
      <c r="Z49" s="181">
        <v>2039</v>
      </c>
      <c r="AA49" s="172">
        <f t="shared" si="25"/>
        <v>22</v>
      </c>
      <c r="AB49" s="172">
        <f t="shared" si="26"/>
        <v>2044</v>
      </c>
      <c r="AC49" s="174">
        <f t="shared" si="27"/>
        <v>2045</v>
      </c>
      <c r="AD49" s="180">
        <f>(B49*$AD$8)*VLOOKUP(AB49,'GI Factors'!A:M,4,FALSE)+(C49*$AD$8)*VLOOKUP(AB49,'GI Factors'!A:M,7,FALSE)+(D49*$AD$8)*VLOOKUP(AB49,'GI Factors'!A:M,10,FALSE)+(E49*$AD$8)*VLOOKUP(AB49,'GI Factors'!A:M,13,FALSE)</f>
        <v>23527857.859195795</v>
      </c>
      <c r="AE49" s="180">
        <f>(B49*$AE$8)*VLOOKUP(AC49,'GI Factors'!A:M,4,FALSE)+(C49*$AE$8)*VLOOKUP(AC49,'GI Factors'!A:M,7,FALSE)+(D49*$AE$8)*VLOOKUP(AC49,'GI Factors'!A:M,10,FALSE)+(E49*$AE$8)*VLOOKUP(AC49,'GI Factors'!A:M,13,FALSE)</f>
        <v>56669814.37173298</v>
      </c>
      <c r="AF49" s="176">
        <f t="shared" si="40"/>
        <v>80197672.230928779</v>
      </c>
      <c r="AG49" s="176">
        <f t="shared" si="41"/>
        <v>58641195.710928783</v>
      </c>
      <c r="AH49" s="175">
        <f t="shared" si="28"/>
        <v>4.0955819995433455E-2</v>
      </c>
      <c r="AI49" s="176">
        <f t="shared" si="42"/>
        <v>24248912.601852648</v>
      </c>
      <c r="AJ49" s="176"/>
      <c r="AK49" s="189">
        <f t="shared" si="29"/>
        <v>1693361.5868860742</v>
      </c>
      <c r="AL49" s="189">
        <f t="shared" si="30"/>
        <v>1762714.5992257616</v>
      </c>
      <c r="AM49" s="189">
        <f t="shared" si="24"/>
        <v>1834908.0210549745</v>
      </c>
      <c r="AN49" s="189">
        <f t="shared" si="22"/>
        <v>1910058.1836734789</v>
      </c>
      <c r="AO49" s="189">
        <f t="shared" si="43"/>
        <v>1800260.5977100723</v>
      </c>
    </row>
    <row r="50" spans="1:41" s="38" customFormat="1">
      <c r="A50" s="145" t="s">
        <v>133</v>
      </c>
      <c r="B50" s="142">
        <v>556917.10282394534</v>
      </c>
      <c r="C50" s="142">
        <v>737409.10888827627</v>
      </c>
      <c r="D50" s="142">
        <v>47496.164233896532</v>
      </c>
      <c r="E50" s="141">
        <v>-342321.83930238901</v>
      </c>
      <c r="F50" s="144">
        <v>999500.53664372896</v>
      </c>
      <c r="G50" s="144"/>
      <c r="H50" s="144">
        <f t="shared" si="0"/>
        <v>999500.53664372896</v>
      </c>
      <c r="I50" s="146">
        <f>B50*VLOOKUP(I$7,'GI Factors'!A:M,4,FALSE)+C50*VLOOKUP(I$7,'GI Factors'!A:M,7,FALSE)+D50*VLOOKUP(I$7,'GI Factors'!A:M,10,FALSE)+E50*VLOOKUP(I$7,'GI Factors'!A:M,13,FALSE)</f>
        <v>1028361.6926170178</v>
      </c>
      <c r="J50" s="155">
        <v>2629244</v>
      </c>
      <c r="K50" s="146">
        <v>100217</v>
      </c>
      <c r="L50" s="156"/>
      <c r="M50" s="146">
        <f t="shared" si="31"/>
        <v>2729461</v>
      </c>
      <c r="N50" s="157">
        <v>-1442569.87690276</v>
      </c>
      <c r="O50" s="148"/>
      <c r="P50" s="157">
        <f t="shared" si="23"/>
        <v>1286891.1230972365</v>
      </c>
      <c r="Q50" s="148">
        <f t="shared" si="32"/>
        <v>3.4924596548080444E-9</v>
      </c>
      <c r="R50" s="148">
        <f t="shared" si="33"/>
        <v>3.4924596548080444E-9</v>
      </c>
      <c r="S50" s="155">
        <f t="shared" si="34"/>
        <v>0</v>
      </c>
      <c r="T50" s="188">
        <f t="shared" si="35"/>
        <v>0</v>
      </c>
      <c r="U50" s="188">
        <f t="shared" si="36"/>
        <v>-3.4924596548080461E-9</v>
      </c>
      <c r="V50" s="188">
        <f t="shared" si="37"/>
        <v>-3.4924596548080461E-9</v>
      </c>
      <c r="W50" s="184">
        <f t="shared" si="38"/>
        <v>50</v>
      </c>
      <c r="X50" s="146">
        <f t="shared" si="39"/>
        <v>1286891.12309724</v>
      </c>
      <c r="Y50" s="186">
        <v>1989</v>
      </c>
      <c r="Z50" s="181">
        <v>2039</v>
      </c>
      <c r="AA50" s="172">
        <f t="shared" si="25"/>
        <v>22</v>
      </c>
      <c r="AB50" s="172">
        <f t="shared" si="26"/>
        <v>2044</v>
      </c>
      <c r="AC50" s="174">
        <f t="shared" si="27"/>
        <v>2045</v>
      </c>
      <c r="AD50" s="180">
        <f>(B50*$AD$8)*VLOOKUP(AB50,'GI Factors'!A:M,4,FALSE)+(C50*$AD$8)*VLOOKUP(AB50,'GI Factors'!A:M,7,FALSE)+(D50*$AD$8)*VLOOKUP(AB50,'GI Factors'!A:M,10,FALSE)+(E50*$AD$8)*VLOOKUP(AB50,'GI Factors'!A:M,13,FALSE)</f>
        <v>674769.16123413935</v>
      </c>
      <c r="AE50" s="180">
        <f>(B50*$AE$8)*VLOOKUP(AC50,'GI Factors'!A:M,4,FALSE)+(C50*$AE$8)*VLOOKUP(AC50,'GI Factors'!A:M,7,FALSE)+(D50*$AE$8)*VLOOKUP(AC50,'GI Factors'!A:M,10,FALSE)+(E50*$AE$8)*VLOOKUP(AC50,'GI Factors'!A:M,13,FALSE)</f>
        <v>1623250.7014394973</v>
      </c>
      <c r="AF50" s="176">
        <f t="shared" si="40"/>
        <v>2298019.8626736365</v>
      </c>
      <c r="AG50" s="176">
        <f t="shared" si="41"/>
        <v>1011128.7395763965</v>
      </c>
      <c r="AH50" s="175">
        <f t="shared" si="28"/>
        <v>3.8568231485150768E-2</v>
      </c>
      <c r="AI50" s="176">
        <f t="shared" si="42"/>
        <v>439780.23612323852</v>
      </c>
      <c r="AJ50" s="176"/>
      <c r="AK50" s="189">
        <f t="shared" si="29"/>
        <v>30017.242494598209</v>
      </c>
      <c r="AL50" s="189">
        <f t="shared" si="30"/>
        <v>31174.954451675778</v>
      </c>
      <c r="AM50" s="189">
        <f t="shared" si="24"/>
        <v>32377.317311507042</v>
      </c>
      <c r="AN50" s="189">
        <f t="shared" si="22"/>
        <v>33626.053180445422</v>
      </c>
      <c r="AO50" s="189">
        <f t="shared" si="43"/>
        <v>31798.891859556614</v>
      </c>
    </row>
    <row r="51" spans="1:41" s="38" customFormat="1">
      <c r="A51" s="145" t="s">
        <v>134</v>
      </c>
      <c r="B51" s="142">
        <v>8470120.8228993118</v>
      </c>
      <c r="C51" s="142">
        <v>11215213.568624601</v>
      </c>
      <c r="D51" s="142">
        <v>829599.39023714548</v>
      </c>
      <c r="E51" s="141">
        <v>-5554476.2440460529</v>
      </c>
      <c r="F51" s="144">
        <v>14960457.537715005</v>
      </c>
      <c r="G51" s="144"/>
      <c r="H51" s="144">
        <f t="shared" si="0"/>
        <v>14960457.537715005</v>
      </c>
      <c r="I51" s="146">
        <f>B51*VLOOKUP(I$7,'GI Factors'!A:M,4,FALSE)+C51*VLOOKUP(I$7,'GI Factors'!A:M,7,FALSE)+D51*VLOOKUP(I$7,'GI Factors'!A:M,10,FALSE)+E51*VLOOKUP(I$7,'GI Factors'!A:M,13,FALSE)</f>
        <v>15403423.931913238</v>
      </c>
      <c r="J51" s="155">
        <v>18259841.52</v>
      </c>
      <c r="K51" s="146">
        <v>831142</v>
      </c>
      <c r="L51" s="156"/>
      <c r="M51" s="146">
        <f t="shared" si="31"/>
        <v>19090983.52</v>
      </c>
      <c r="N51" s="157"/>
      <c r="O51" s="148"/>
      <c r="P51" s="157">
        <f t="shared" si="23"/>
        <v>19356054.791458473</v>
      </c>
      <c r="Q51" s="148">
        <f t="shared" si="32"/>
        <v>-265071.27145847306</v>
      </c>
      <c r="R51" s="148">
        <f t="shared" si="33"/>
        <v>0</v>
      </c>
      <c r="S51" s="155">
        <f t="shared" si="34"/>
        <v>-265071.27145847306</v>
      </c>
      <c r="T51" s="188">
        <f t="shared" si="35"/>
        <v>3.7111162887164728E-12</v>
      </c>
      <c r="U51" s="188">
        <f t="shared" si="36"/>
        <v>0</v>
      </c>
      <c r="V51" s="188">
        <f t="shared" si="37"/>
        <v>3.7111162887164728E-12</v>
      </c>
      <c r="W51" s="184">
        <f t="shared" si="38"/>
        <v>50</v>
      </c>
      <c r="X51" s="146">
        <f t="shared" si="39"/>
        <v>19090983.52</v>
      </c>
      <c r="Y51" s="186">
        <v>1989</v>
      </c>
      <c r="Z51" s="181">
        <v>2039</v>
      </c>
      <c r="AA51" s="172">
        <f t="shared" si="25"/>
        <v>22</v>
      </c>
      <c r="AB51" s="172">
        <f t="shared" si="26"/>
        <v>2044</v>
      </c>
      <c r="AC51" s="174">
        <f t="shared" si="27"/>
        <v>2045</v>
      </c>
      <c r="AD51" s="180">
        <f>(B51*$AD$8)*VLOOKUP(AB51,'GI Factors'!A:M,4,FALSE)+(C51*$AD$8)*VLOOKUP(AB51,'GI Factors'!A:M,7,FALSE)+(D51*$AD$8)*VLOOKUP(AB51,'GI Factors'!A:M,10,FALSE)+(E51*$AD$8)*VLOOKUP(AB51,'GI Factors'!A:M,13,FALSE)</f>
        <v>10147892.625171825</v>
      </c>
      <c r="AE51" s="180">
        <f>(B51*$AE$8)*VLOOKUP(AC51,'GI Factors'!A:M,4,FALSE)+(C51*$AE$8)*VLOOKUP(AC51,'GI Factors'!A:M,7,FALSE)+(D51*$AE$8)*VLOOKUP(AC51,'GI Factors'!A:M,10,FALSE)+(E51*$AE$8)*VLOOKUP(AC51,'GI Factors'!A:M,13,FALSE)</f>
        <v>24416490.931004014</v>
      </c>
      <c r="AF51" s="176">
        <f t="shared" si="40"/>
        <v>34564383.556175843</v>
      </c>
      <c r="AG51" s="176">
        <f t="shared" si="41"/>
        <v>15473400.036175843</v>
      </c>
      <c r="AH51" s="175">
        <f t="shared" si="28"/>
        <v>3.8797960224221537E-2</v>
      </c>
      <c r="AI51" s="176">
        <f t="shared" si="42"/>
        <v>6697331.7730101664</v>
      </c>
      <c r="AJ51" s="176"/>
      <c r="AK51" s="189">
        <f t="shared" si="29"/>
        <v>458138.16073158802</v>
      </c>
      <c r="AL51" s="189">
        <f t="shared" si="30"/>
        <v>475912.98686885013</v>
      </c>
      <c r="AM51" s="189">
        <f t="shared" si="24"/>
        <v>494377.4400035782</v>
      </c>
      <c r="AN51" s="189">
        <f t="shared" si="22"/>
        <v>513558.27625658945</v>
      </c>
      <c r="AO51" s="189">
        <f t="shared" si="43"/>
        <v>485496.7159651515</v>
      </c>
    </row>
    <row r="52" spans="1:41" s="38" customFormat="1">
      <c r="A52" s="145" t="s">
        <v>135</v>
      </c>
      <c r="B52" s="142">
        <v>8292084.9991814019</v>
      </c>
      <c r="C52" s="142">
        <v>5754739.7903140308</v>
      </c>
      <c r="D52" s="142">
        <v>239758.63759551849</v>
      </c>
      <c r="E52" s="141">
        <v>-99201.294885700976</v>
      </c>
      <c r="F52" s="144">
        <v>14187382.132205252</v>
      </c>
      <c r="G52" s="144"/>
      <c r="H52" s="144">
        <f t="shared" si="0"/>
        <v>14187382.132205252</v>
      </c>
      <c r="I52" s="146">
        <f>B52*VLOOKUP(I$7,'GI Factors'!A:M,4,FALSE)+C52*VLOOKUP(I$7,'GI Factors'!A:M,7,FALSE)+D52*VLOOKUP(I$7,'GI Factors'!A:M,10,FALSE)+E52*VLOOKUP(I$7,'GI Factors'!A:M,13,FALSE)</f>
        <v>14532336.383671604</v>
      </c>
      <c r="J52" s="155">
        <v>10713388.48</v>
      </c>
      <c r="K52" s="146">
        <v>395707</v>
      </c>
      <c r="L52" s="156"/>
      <c r="M52" s="146">
        <f t="shared" si="31"/>
        <v>11109095.48</v>
      </c>
      <c r="N52" s="157"/>
      <c r="O52" s="148"/>
      <c r="P52" s="157">
        <f t="shared" si="23"/>
        <v>19226345.313054223</v>
      </c>
      <c r="Q52" s="148">
        <f t="shared" si="32"/>
        <v>-8117249.8330542222</v>
      </c>
      <c r="R52" s="148">
        <f t="shared" si="33"/>
        <v>0</v>
      </c>
      <c r="S52" s="155">
        <f t="shared" si="34"/>
        <v>-8117249.8330542222</v>
      </c>
      <c r="T52" s="188">
        <f t="shared" si="35"/>
        <v>1.1364512611751638E-10</v>
      </c>
      <c r="U52" s="188">
        <f t="shared" si="36"/>
        <v>0</v>
      </c>
      <c r="V52" s="188">
        <f t="shared" si="37"/>
        <v>1.1364512611751638E-10</v>
      </c>
      <c r="W52" s="184">
        <f t="shared" si="38"/>
        <v>50</v>
      </c>
      <c r="X52" s="146">
        <f t="shared" si="39"/>
        <v>11109095.48</v>
      </c>
      <c r="Y52" s="186">
        <v>1988</v>
      </c>
      <c r="Z52" s="181">
        <v>2038</v>
      </c>
      <c r="AA52" s="172">
        <f t="shared" si="25"/>
        <v>21</v>
      </c>
      <c r="AB52" s="172">
        <f t="shared" si="26"/>
        <v>2043</v>
      </c>
      <c r="AC52" s="174">
        <f t="shared" si="27"/>
        <v>2044</v>
      </c>
      <c r="AD52" s="180">
        <f>(B52*$AD$8)*VLOOKUP(AB52,'GI Factors'!A:M,4,FALSE)+(C52*$AD$8)*VLOOKUP(AB52,'GI Factors'!A:M,7,FALSE)+(D52*$AD$8)*VLOOKUP(AB52,'GI Factors'!A:M,10,FALSE)+(E52*$AD$8)*VLOOKUP(AB52,'GI Factors'!A:M,13,FALSE)</f>
        <v>9726003.8033136539</v>
      </c>
      <c r="AE52" s="180">
        <f>(B52*$AE$8)*VLOOKUP(AC52,'GI Factors'!A:M,4,FALSE)+(C52*$AE$8)*VLOOKUP(AC52,'GI Factors'!A:M,7,FALSE)+(D52*$AE$8)*VLOOKUP(AC52,'GI Factors'!A:M,10,FALSE)+(E52*$AE$8)*VLOOKUP(AC52,'GI Factors'!A:M,13,FALSE)</f>
        <v>23422867.426090177</v>
      </c>
      <c r="AF52" s="176">
        <f t="shared" si="40"/>
        <v>33148871.229403831</v>
      </c>
      <c r="AG52" s="176">
        <f t="shared" si="41"/>
        <v>22039775.749403831</v>
      </c>
      <c r="AH52" s="175">
        <f t="shared" si="28"/>
        <v>4.1239858960365784E-2</v>
      </c>
      <c r="AI52" s="176">
        <f t="shared" si="42"/>
        <v>9432801.4520006496</v>
      </c>
      <c r="AJ52" s="176"/>
      <c r="AK52" s="189">
        <f t="shared" si="29"/>
        <v>680070.86325857567</v>
      </c>
      <c r="AL52" s="189">
        <f t="shared" si="30"/>
        <v>708116.88974241354</v>
      </c>
      <c r="AM52" s="189">
        <f t="shared" si="24"/>
        <v>737319.53040284349</v>
      </c>
      <c r="AN52" s="189">
        <f t="shared" si="22"/>
        <v>767726.4838453799</v>
      </c>
      <c r="AO52" s="189">
        <f t="shared" si="43"/>
        <v>723308.44181230315</v>
      </c>
    </row>
    <row r="53" spans="1:41" s="38" customFormat="1">
      <c r="A53" s="145" t="s">
        <v>136</v>
      </c>
      <c r="B53" s="142">
        <v>520217.43105171109</v>
      </c>
      <c r="C53" s="142">
        <v>568406.50031437713</v>
      </c>
      <c r="D53" s="142">
        <v>37619.327488126102</v>
      </c>
      <c r="E53" s="141">
        <v>-12837.725679812991</v>
      </c>
      <c r="F53" s="144">
        <v>1113405.5331744014</v>
      </c>
      <c r="G53" s="144"/>
      <c r="H53" s="144">
        <f t="shared" si="0"/>
        <v>1113405.5331744014</v>
      </c>
      <c r="I53" s="146">
        <f>B53*VLOOKUP(I$7,'GI Factors'!A:M,4,FALSE)+C53*VLOOKUP(I$7,'GI Factors'!A:M,7,FALSE)+D53*VLOOKUP(I$7,'GI Factors'!A:M,10,FALSE)+E53*VLOOKUP(I$7,'GI Factors'!A:M,13,FALSE)</f>
        <v>1137429.4817538406</v>
      </c>
      <c r="J53" s="155">
        <v>3311806.96</v>
      </c>
      <c r="K53" s="146">
        <v>134550</v>
      </c>
      <c r="L53" s="156"/>
      <c r="M53" s="146">
        <f t="shared" si="31"/>
        <v>3446356.96</v>
      </c>
      <c r="N53" s="157">
        <v>-2050377.48645898</v>
      </c>
      <c r="O53" s="148"/>
      <c r="P53" s="157">
        <f t="shared" si="23"/>
        <v>1395979.4735410195</v>
      </c>
      <c r="Q53" s="148">
        <f t="shared" si="32"/>
        <v>0</v>
      </c>
      <c r="R53" s="148">
        <f t="shared" si="33"/>
        <v>0</v>
      </c>
      <c r="S53" s="155">
        <f t="shared" si="34"/>
        <v>0</v>
      </c>
      <c r="T53" s="188">
        <f t="shared" si="35"/>
        <v>0</v>
      </c>
      <c r="U53" s="188">
        <f t="shared" si="36"/>
        <v>0</v>
      </c>
      <c r="V53" s="188">
        <f t="shared" si="37"/>
        <v>0</v>
      </c>
      <c r="W53" s="184">
        <f t="shared" si="38"/>
        <v>50</v>
      </c>
      <c r="X53" s="146">
        <f t="shared" si="39"/>
        <v>1395979.47354102</v>
      </c>
      <c r="Y53" s="186">
        <v>1988</v>
      </c>
      <c r="Z53" s="181">
        <v>2038</v>
      </c>
      <c r="AA53" s="172">
        <f t="shared" si="25"/>
        <v>21</v>
      </c>
      <c r="AB53" s="172">
        <f t="shared" si="26"/>
        <v>2043</v>
      </c>
      <c r="AC53" s="174">
        <f t="shared" si="27"/>
        <v>2044</v>
      </c>
      <c r="AD53" s="180">
        <f>(B53*$AD$8)*VLOOKUP(AB53,'GI Factors'!A:M,4,FALSE)+(C53*$AD$8)*VLOOKUP(AB53,'GI Factors'!A:M,7,FALSE)+(D53*$AD$8)*VLOOKUP(AB53,'GI Factors'!A:M,10,FALSE)+(E53*$AD$8)*VLOOKUP(AB53,'GI Factors'!A:M,13,FALSE)</f>
        <v>707433.48201927275</v>
      </c>
      <c r="AE53" s="180">
        <f>(B53*$AE$8)*VLOOKUP(AC53,'GI Factors'!A:M,4,FALSE)+(C53*$AE$8)*VLOOKUP(AC53,'GI Factors'!A:M,7,FALSE)+(D53*$AE$8)*VLOOKUP(AC53,'GI Factors'!A:M,10,FALSE)+(E53*$AE$8)*VLOOKUP(AC53,'GI Factors'!A:M,13,FALSE)</f>
        <v>1699427.679258347</v>
      </c>
      <c r="AF53" s="176">
        <f t="shared" si="40"/>
        <v>2406861.1612776197</v>
      </c>
      <c r="AG53" s="176">
        <f t="shared" si="41"/>
        <v>1010881.6877365997</v>
      </c>
      <c r="AH53" s="175">
        <f t="shared" si="28"/>
        <v>3.7391644907593787E-2</v>
      </c>
      <c r="AI53" s="176">
        <f t="shared" si="42"/>
        <v>467630.32393324911</v>
      </c>
      <c r="AJ53" s="176"/>
      <c r="AK53" s="189">
        <f t="shared" si="29"/>
        <v>32536.942546875089</v>
      </c>
      <c r="AL53" s="189">
        <f t="shared" si="30"/>
        <v>33753.552348966623</v>
      </c>
      <c r="AM53" s="189">
        <f t="shared" si="24"/>
        <v>35015.653192769059</v>
      </c>
      <c r="AN53" s="189">
        <f t="shared" si="22"/>
        <v>36324.946063160533</v>
      </c>
      <c r="AO53" s="189">
        <f t="shared" si="43"/>
        <v>34407.77353794282</v>
      </c>
    </row>
    <row r="54" spans="1:41" s="38" customFormat="1">
      <c r="A54" s="145" t="s">
        <v>137</v>
      </c>
      <c r="B54" s="142">
        <v>1959622.5233882442</v>
      </c>
      <c r="C54" s="142">
        <v>2141147.3625642876</v>
      </c>
      <c r="D54" s="142">
        <v>152475.15284445134</v>
      </c>
      <c r="E54" s="141">
        <v>-1090922.3395134397</v>
      </c>
      <c r="F54" s="144">
        <v>3162322.699283544</v>
      </c>
      <c r="G54" s="144"/>
      <c r="H54" s="144">
        <f t="shared" si="0"/>
        <v>3162322.699283544</v>
      </c>
      <c r="I54" s="146">
        <f>B54*VLOOKUP(I$7,'GI Factors'!A:M,4,FALSE)+C54*VLOOKUP(I$7,'GI Factors'!A:M,7,FALSE)+D54*VLOOKUP(I$7,'GI Factors'!A:M,10,FALSE)+E54*VLOOKUP(I$7,'GI Factors'!A:M,13,FALSE)</f>
        <v>3258794.7893625195</v>
      </c>
      <c r="J54" s="155">
        <v>5398792.4800000004</v>
      </c>
      <c r="K54" s="146">
        <v>205647</v>
      </c>
      <c r="L54" s="156"/>
      <c r="M54" s="146">
        <f t="shared" si="31"/>
        <v>5604439.4800000004</v>
      </c>
      <c r="N54" s="157">
        <v>-1277320.6942366399</v>
      </c>
      <c r="O54" s="148"/>
      <c r="P54" s="157">
        <f t="shared" si="23"/>
        <v>4327118.7857633606</v>
      </c>
      <c r="Q54" s="148">
        <f t="shared" si="32"/>
        <v>0</v>
      </c>
      <c r="R54" s="148">
        <f t="shared" si="33"/>
        <v>0</v>
      </c>
      <c r="S54" s="155">
        <f t="shared" si="34"/>
        <v>0</v>
      </c>
      <c r="T54" s="188">
        <f t="shared" si="35"/>
        <v>0</v>
      </c>
      <c r="U54" s="188">
        <f t="shared" si="36"/>
        <v>0</v>
      </c>
      <c r="V54" s="188">
        <f t="shared" si="37"/>
        <v>0</v>
      </c>
      <c r="W54" s="184">
        <f t="shared" si="38"/>
        <v>51</v>
      </c>
      <c r="X54" s="146">
        <f t="shared" si="39"/>
        <v>4327118.7857633606</v>
      </c>
      <c r="Y54" s="186">
        <v>1987</v>
      </c>
      <c r="Z54" s="181">
        <v>2038</v>
      </c>
      <c r="AA54" s="172">
        <f t="shared" si="25"/>
        <v>21</v>
      </c>
      <c r="AB54" s="172">
        <f t="shared" si="26"/>
        <v>2043</v>
      </c>
      <c r="AC54" s="174">
        <f t="shared" si="27"/>
        <v>2044</v>
      </c>
      <c r="AD54" s="180">
        <f>(B54*$AD$8)*VLOOKUP(AB54,'GI Factors'!A:M,4,FALSE)+(C54*$AD$8)*VLOOKUP(AB54,'GI Factors'!A:M,7,FALSE)+(D54*$AD$8)*VLOOKUP(AB54,'GI Factors'!A:M,10,FALSE)+(E54*$AD$8)*VLOOKUP(AB54,'GI Factors'!A:M,13,FALSE)</f>
        <v>2158168.5519782868</v>
      </c>
      <c r="AE54" s="180">
        <f>(B54*$AE$8)*VLOOKUP(AC54,'GI Factors'!A:M,4,FALSE)+(C54*$AE$8)*VLOOKUP(AC54,'GI Factors'!A:M,7,FALSE)+(D54*$AE$8)*VLOOKUP(AC54,'GI Factors'!A:M,10,FALSE)+(E54*$AE$8)*VLOOKUP(AC54,'GI Factors'!A:M,13,FALSE)</f>
        <v>5197933.3838194264</v>
      </c>
      <c r="AF54" s="176">
        <f t="shared" si="40"/>
        <v>7356101.9357977137</v>
      </c>
      <c r="AG54" s="176">
        <f t="shared" si="41"/>
        <v>3028983.1500343531</v>
      </c>
      <c r="AH54" s="175">
        <f t="shared" si="28"/>
        <v>4.1020115925433968E-2</v>
      </c>
      <c r="AI54" s="176">
        <f t="shared" si="42"/>
        <v>1302132.8761755752</v>
      </c>
      <c r="AJ54" s="176"/>
      <c r="AK54" s="189">
        <f t="shared" si="29"/>
        <v>93690.24207175069</v>
      </c>
      <c r="AL54" s="189">
        <f t="shared" si="30"/>
        <v>97533.426662615879</v>
      </c>
      <c r="AM54" s="189">
        <f t="shared" si="24"/>
        <v>101534.2591309212</v>
      </c>
      <c r="AN54" s="189">
        <f t="shared" si="22"/>
        <v>105699.20621087465</v>
      </c>
      <c r="AO54" s="189">
        <f t="shared" si="43"/>
        <v>99614.283519040604</v>
      </c>
    </row>
    <row r="55" spans="1:41" s="38" customFormat="1">
      <c r="A55" s="145" t="s">
        <v>138</v>
      </c>
      <c r="B55" s="142">
        <v>1959622.5233882442</v>
      </c>
      <c r="C55" s="142">
        <v>2141147.3625642876</v>
      </c>
      <c r="D55" s="142">
        <v>152475.15284445134</v>
      </c>
      <c r="E55" s="141">
        <v>-1090922.3395134397</v>
      </c>
      <c r="F55" s="144">
        <v>3162322.699283544</v>
      </c>
      <c r="G55" s="144"/>
      <c r="H55" s="144">
        <f t="shared" si="0"/>
        <v>3162322.699283544</v>
      </c>
      <c r="I55" s="146">
        <f>B55*VLOOKUP(I$7,'GI Factors'!A:M,4,FALSE)+C55*VLOOKUP(I$7,'GI Factors'!A:M,7,FALSE)+D55*VLOOKUP(I$7,'GI Factors'!A:M,10,FALSE)+E55*VLOOKUP(I$7,'GI Factors'!A:M,13,FALSE)</f>
        <v>3258794.7893625195</v>
      </c>
      <c r="J55" s="155">
        <v>5290580</v>
      </c>
      <c r="K55" s="146">
        <v>206154</v>
      </c>
      <c r="L55" s="156"/>
      <c r="M55" s="146">
        <f t="shared" si="31"/>
        <v>5496734</v>
      </c>
      <c r="N55" s="157">
        <v>-1230194.87723733</v>
      </c>
      <c r="O55" s="148"/>
      <c r="P55" s="157">
        <f t="shared" si="23"/>
        <v>4266539.1227626745</v>
      </c>
      <c r="Q55" s="148">
        <f t="shared" si="32"/>
        <v>0</v>
      </c>
      <c r="R55" s="148">
        <f t="shared" si="33"/>
        <v>0</v>
      </c>
      <c r="S55" s="155">
        <f t="shared" si="34"/>
        <v>0</v>
      </c>
      <c r="T55" s="188">
        <f t="shared" si="35"/>
        <v>0</v>
      </c>
      <c r="U55" s="188">
        <f t="shared" si="36"/>
        <v>0</v>
      </c>
      <c r="V55" s="188">
        <f t="shared" si="37"/>
        <v>0</v>
      </c>
      <c r="W55" s="184">
        <f t="shared" si="38"/>
        <v>50</v>
      </c>
      <c r="X55" s="146">
        <f t="shared" si="39"/>
        <v>4266539.1227626698</v>
      </c>
      <c r="Y55" s="186">
        <v>1988</v>
      </c>
      <c r="Z55" s="181">
        <v>2038</v>
      </c>
      <c r="AA55" s="172">
        <f t="shared" si="25"/>
        <v>21</v>
      </c>
      <c r="AB55" s="172">
        <f t="shared" si="26"/>
        <v>2043</v>
      </c>
      <c r="AC55" s="174">
        <f t="shared" si="27"/>
        <v>2044</v>
      </c>
      <c r="AD55" s="180">
        <f>(B55*$AD$8)*VLOOKUP(AB55,'GI Factors'!A:M,4,FALSE)+(C55*$AD$8)*VLOOKUP(AB55,'GI Factors'!A:M,7,FALSE)+(D55*$AD$8)*VLOOKUP(AB55,'GI Factors'!A:M,10,FALSE)+(E55*$AD$8)*VLOOKUP(AB55,'GI Factors'!A:M,13,FALSE)</f>
        <v>2158168.5519782868</v>
      </c>
      <c r="AE55" s="180">
        <f>(B55*$AE$8)*VLOOKUP(AC55,'GI Factors'!A:M,4,FALSE)+(C55*$AE$8)*VLOOKUP(AC55,'GI Factors'!A:M,7,FALSE)+(D55*$AE$8)*VLOOKUP(AC55,'GI Factors'!A:M,10,FALSE)+(E55*$AE$8)*VLOOKUP(AC55,'GI Factors'!A:M,13,FALSE)</f>
        <v>5197933.3838194264</v>
      </c>
      <c r="AF55" s="176">
        <f t="shared" si="40"/>
        <v>7356101.9357977137</v>
      </c>
      <c r="AG55" s="176">
        <f t="shared" si="41"/>
        <v>3089562.8130350439</v>
      </c>
      <c r="AH55" s="175">
        <f t="shared" si="28"/>
        <v>4.1020115925433968E-2</v>
      </c>
      <c r="AI55" s="176">
        <f t="shared" si="42"/>
        <v>1328175.5336990885</v>
      </c>
      <c r="AJ55" s="176"/>
      <c r="AK55" s="189">
        <f t="shared" si="29"/>
        <v>95564.046913185826</v>
      </c>
      <c r="AL55" s="189">
        <f t="shared" si="30"/>
        <v>99484.095195868314</v>
      </c>
      <c r="AM55" s="189">
        <f t="shared" si="24"/>
        <v>103564.94431353975</v>
      </c>
      <c r="AN55" s="189">
        <f t="shared" si="22"/>
        <v>107813.19033509227</v>
      </c>
      <c r="AO55" s="189">
        <f t="shared" si="43"/>
        <v>101606.56918942154</v>
      </c>
    </row>
    <row r="56" spans="1:41" s="38" customFormat="1" ht="10.199999999999999">
      <c r="A56" s="145" t="s">
        <v>62</v>
      </c>
      <c r="B56" s="142">
        <v>408720</v>
      </c>
      <c r="C56" s="142">
        <v>518080</v>
      </c>
      <c r="D56" s="142">
        <v>223200</v>
      </c>
      <c r="E56" s="141">
        <v>-288800</v>
      </c>
      <c r="F56" s="144">
        <v>861200</v>
      </c>
      <c r="G56" s="144"/>
      <c r="H56" s="144">
        <f t="shared" si="0"/>
        <v>861200</v>
      </c>
      <c r="I56" s="146">
        <f>B56*VLOOKUP(I$7,'GI Factors'!A:M,4,FALSE)+C56*VLOOKUP(I$7,'GI Factors'!A:M,7,FALSE)+D56*VLOOKUP(I$7,'GI Factors'!A:M,10,FALSE)+E56*VLOOKUP(I$7,'GI Factors'!A:M,13,FALSE)</f>
        <v>886053.77541030594</v>
      </c>
      <c r="J56" s="155">
        <v>198016</v>
      </c>
      <c r="K56" s="146">
        <v>37856</v>
      </c>
      <c r="L56" s="156"/>
      <c r="M56" s="146">
        <f t="shared" si="31"/>
        <v>235872</v>
      </c>
      <c r="N56" s="157"/>
      <c r="O56" s="148"/>
      <c r="P56" s="157">
        <f t="shared" si="23"/>
        <v>517086.84298440488</v>
      </c>
      <c r="Q56" s="148">
        <f t="shared" si="32"/>
        <v>-281214.84298440488</v>
      </c>
      <c r="R56" s="148">
        <f t="shared" si="33"/>
        <v>0</v>
      </c>
      <c r="S56" s="155">
        <f t="shared" si="34"/>
        <v>-281214.84298440488</v>
      </c>
      <c r="T56" s="188">
        <f t="shared" si="35"/>
        <v>3.9371335063436596E-12</v>
      </c>
      <c r="U56" s="188">
        <f t="shared" si="36"/>
        <v>0</v>
      </c>
      <c r="V56" s="188">
        <f t="shared" si="37"/>
        <v>3.9371335063436596E-12</v>
      </c>
      <c r="W56" s="184">
        <f t="shared" si="38"/>
        <v>31</v>
      </c>
      <c r="X56" s="146">
        <f t="shared" si="39"/>
        <v>235872</v>
      </c>
      <c r="Y56" s="186">
        <v>2009</v>
      </c>
      <c r="Z56" s="181">
        <v>2040</v>
      </c>
      <c r="AA56" s="172">
        <f t="shared" si="25"/>
        <v>23</v>
      </c>
      <c r="AB56" s="172">
        <f t="shared" si="26"/>
        <v>2045</v>
      </c>
      <c r="AC56" s="174">
        <f t="shared" si="27"/>
        <v>2046</v>
      </c>
      <c r="AD56" s="180">
        <f>(B56*$AD$8)*VLOOKUP(AB56,'GI Factors'!A:M,4,FALSE)+(C56*$AD$8)*VLOOKUP(AB56,'GI Factors'!A:M,7,FALSE)+(D56*$AD$8)*VLOOKUP(AB56,'GI Factors'!A:M,10,FALSE)+(E56*$AD$8)*VLOOKUP(AB56,'GI Factors'!A:M,13,FALSE)</f>
        <v>588530.43503307982</v>
      </c>
      <c r="AE56" s="180">
        <f>(B56*$AE$8)*VLOOKUP(AC56,'GI Factors'!A:M,4,FALSE)+(C56*$AE$8)*VLOOKUP(AC56,'GI Factors'!A:M,7,FALSE)+(D56*$AE$8)*VLOOKUP(AC56,'GI Factors'!A:M,10,FALSE)+(E56*$AE$8)*VLOOKUP(AC56,'GI Factors'!A:M,13,FALSE)</f>
        <v>1415181.0815314893</v>
      </c>
      <c r="AF56" s="176">
        <f t="shared" si="40"/>
        <v>2003711.516564569</v>
      </c>
      <c r="AG56" s="176">
        <f t="shared" si="41"/>
        <v>1767839.516564569</v>
      </c>
      <c r="AH56" s="175">
        <f t="shared" si="28"/>
        <v>3.7396631839798591E-2</v>
      </c>
      <c r="AI56" s="176">
        <f t="shared" si="42"/>
        <v>759821.65051170718</v>
      </c>
      <c r="AJ56" s="176"/>
      <c r="AK56" s="189">
        <f t="shared" si="29"/>
        <v>49833.198284846178</v>
      </c>
      <c r="AL56" s="189">
        <f t="shared" si="30"/>
        <v>51696.792054504258</v>
      </c>
      <c r="AM56" s="189">
        <f t="shared" si="24"/>
        <v>53630.077954265187</v>
      </c>
      <c r="AN56" s="189">
        <f t="shared" si="22"/>
        <v>55635.662235060547</v>
      </c>
      <c r="AO56" s="189">
        <f t="shared" si="43"/>
        <v>52698.932632169046</v>
      </c>
    </row>
    <row r="57" spans="1:41" s="38" customFormat="1" ht="10.199999999999999">
      <c r="A57" s="145" t="s">
        <v>63</v>
      </c>
      <c r="B57" s="142">
        <v>6243015.7948123608</v>
      </c>
      <c r="C57" s="142">
        <v>7402053.1287854528</v>
      </c>
      <c r="D57" s="142">
        <v>693298.24437493307</v>
      </c>
      <c r="E57" s="141">
        <v>-570761.13812949113</v>
      </c>
      <c r="F57" s="144">
        <v>13767606.029843254</v>
      </c>
      <c r="G57" s="144"/>
      <c r="H57" s="144">
        <f t="shared" si="0"/>
        <v>13767606.029843254</v>
      </c>
      <c r="I57" s="146">
        <f>B57*VLOOKUP(I$7,'GI Factors'!A:M,4,FALSE)+C57*VLOOKUP(I$7,'GI Factors'!A:M,7,FALSE)+D57*VLOOKUP(I$7,'GI Factors'!A:M,10,FALSE)+E57*VLOOKUP(I$7,'GI Factors'!A:M,13,FALSE)</f>
        <v>14068273.720599046</v>
      </c>
      <c r="J57" s="155">
        <v>10307951.390000001</v>
      </c>
      <c r="K57" s="146">
        <v>340067</v>
      </c>
      <c r="L57" s="156"/>
      <c r="M57" s="146">
        <f t="shared" si="31"/>
        <v>10648018.390000001</v>
      </c>
      <c r="N57" s="157"/>
      <c r="O57" s="148">
        <v>-10648018.390000001</v>
      </c>
      <c r="P57" s="157">
        <f t="shared" si="23"/>
        <v>24005886.085798651</v>
      </c>
      <c r="Q57" s="148">
        <f t="shared" si="32"/>
        <v>-24005886.085798651</v>
      </c>
      <c r="R57" s="148">
        <f t="shared" si="33"/>
        <v>0</v>
      </c>
      <c r="S57" s="155">
        <f t="shared" si="34"/>
        <v>-24005886.085798651</v>
      </c>
      <c r="T57" s="188">
        <f t="shared" si="35"/>
        <v>3.3609313596262889E-10</v>
      </c>
      <c r="U57" s="188">
        <f t="shared" si="36"/>
        <v>0</v>
      </c>
      <c r="V57" s="188">
        <f t="shared" si="37"/>
        <v>3.3609313596262889E-10</v>
      </c>
      <c r="W57" s="184">
        <f t="shared" si="38"/>
        <v>80</v>
      </c>
      <c r="X57" s="146">
        <f t="shared" si="39"/>
        <v>0</v>
      </c>
      <c r="Y57" s="186">
        <v>1967</v>
      </c>
      <c r="Z57" s="181">
        <v>2047</v>
      </c>
      <c r="AA57" s="172">
        <f t="shared" si="25"/>
        <v>30</v>
      </c>
      <c r="AB57" s="172">
        <f t="shared" si="26"/>
        <v>2052</v>
      </c>
      <c r="AC57" s="174">
        <f t="shared" si="27"/>
        <v>2053</v>
      </c>
      <c r="AD57" s="180">
        <f>(B57*$AD$8)*VLOOKUP(AB57,'GI Factors'!A:M,4,FALSE)+(C57*$AD$8)*VLOOKUP(AB57,'GI Factors'!A:M,7,FALSE)+(D57*$AD$8)*VLOOKUP(AB57,'GI Factors'!A:M,10,FALSE)+(E57*$AD$8)*VLOOKUP(AB57,'GI Factors'!A:M,13,FALSE)</f>
        <v>11281646.862777682</v>
      </c>
      <c r="AE57" s="180">
        <f>(B57*$AE$8)*VLOOKUP(AC57,'GI Factors'!A:M,4,FALSE)+(C57*$AE$8)*VLOOKUP(AC57,'GI Factors'!A:M,7,FALSE)+(D57*$AE$8)*VLOOKUP(AC57,'GI Factors'!A:M,10,FALSE)+(E57*$AE$8)*VLOOKUP(AC57,'GI Factors'!A:M,13,FALSE)</f>
        <v>27127770.874500159</v>
      </c>
      <c r="AF57" s="176">
        <f t="shared" si="40"/>
        <v>38409417.737277843</v>
      </c>
      <c r="AG57" s="176">
        <f t="shared" si="41"/>
        <v>38409417.737277843</v>
      </c>
      <c r="AH57" s="175">
        <f t="shared" si="28"/>
        <v>3.479100071544259E-2</v>
      </c>
      <c r="AI57" s="176">
        <f t="shared" si="42"/>
        <v>13767606.029843271</v>
      </c>
      <c r="AJ57" s="176"/>
      <c r="AK57" s="189">
        <f t="shared" si="29"/>
        <v>746604.21857041609</v>
      </c>
      <c r="AL57" s="189">
        <f t="shared" si="30"/>
        <v>772579.32647285191</v>
      </c>
      <c r="AM57" s="189">
        <f t="shared" si="24"/>
        <v>799458.13437290513</v>
      </c>
      <c r="AN57" s="189">
        <f t="shared" si="22"/>
        <v>827272.08289783925</v>
      </c>
      <c r="AO57" s="189">
        <f t="shared" si="43"/>
        <v>786478.44057850307</v>
      </c>
    </row>
    <row r="58" spans="1:41" s="38" customFormat="1" ht="10.199999999999999">
      <c r="A58" s="145" t="s">
        <v>64</v>
      </c>
      <c r="B58" s="142">
        <f>8635409.27017889+B$72</f>
        <v>8390215.5808806773</v>
      </c>
      <c r="C58" s="142">
        <f>8135427.8807389+C$72</f>
        <v>7904430.6559766056</v>
      </c>
      <c r="D58" s="142">
        <f>379691.177100255+D$72</f>
        <v>368910.23116076231</v>
      </c>
      <c r="E58" s="141">
        <v>-3487936.2873023134</v>
      </c>
      <c r="F58" s="144">
        <v>13662592.04071573</v>
      </c>
      <c r="G58" s="156">
        <v>-486971.86</v>
      </c>
      <c r="H58" s="144">
        <f>F58+G58</f>
        <v>13175620.18071573</v>
      </c>
      <c r="I58" s="146">
        <f>B58*VLOOKUP(I$7,'GI Factors'!A:M,4,FALSE)+C58*VLOOKUP(I$7,'GI Factors'!A:M,7,FALSE)+D58*VLOOKUP(I$7,'GI Factors'!A:M,10,FALSE)+E58*VLOOKUP(I$7,'GI Factors'!A:M,13,FALSE)</f>
        <v>13564981.250655329</v>
      </c>
      <c r="J58" s="155">
        <v>5840955.9900000002</v>
      </c>
      <c r="K58" s="146">
        <v>224640</v>
      </c>
      <c r="L58" s="156">
        <v>-486971.86</v>
      </c>
      <c r="M58" s="146">
        <f t="shared" si="31"/>
        <v>5578624.1299999999</v>
      </c>
      <c r="N58" s="157"/>
      <c r="O58" s="148">
        <v>-5578624.1299999999</v>
      </c>
      <c r="P58" s="157">
        <f t="shared" si="23"/>
        <v>26124074.295556579</v>
      </c>
      <c r="Q58" s="148">
        <f t="shared" si="32"/>
        <v>-26124074.295556579</v>
      </c>
      <c r="R58" s="148">
        <f t="shared" si="33"/>
        <v>0</v>
      </c>
      <c r="S58" s="155">
        <f t="shared" si="34"/>
        <v>-26124074.295556579</v>
      </c>
      <c r="T58" s="188">
        <f t="shared" si="35"/>
        <v>3.6574871774087275E-10</v>
      </c>
      <c r="U58" s="188">
        <f t="shared" si="36"/>
        <v>0</v>
      </c>
      <c r="V58" s="188">
        <f t="shared" si="37"/>
        <v>3.6574871774087275E-10</v>
      </c>
      <c r="W58" s="184">
        <f t="shared" si="38"/>
        <v>80</v>
      </c>
      <c r="X58" s="146">
        <f t="shared" si="39"/>
        <v>0</v>
      </c>
      <c r="Y58" s="186">
        <v>1967</v>
      </c>
      <c r="Z58" s="181">
        <v>2047</v>
      </c>
      <c r="AA58" s="172">
        <f t="shared" si="25"/>
        <v>30</v>
      </c>
      <c r="AB58" s="172">
        <f t="shared" si="26"/>
        <v>2052</v>
      </c>
      <c r="AC58" s="174">
        <f t="shared" si="27"/>
        <v>2053</v>
      </c>
      <c r="AD58" s="180">
        <f>(B58*$AD$8)*VLOOKUP(AB58,'GI Factors'!A:M,4,FALSE)+(C58*$AD$8)*VLOOKUP(AB58,'GI Factors'!A:M,7,FALSE)+(D58*$AD$8)*VLOOKUP(AB58,'GI Factors'!A:M,10,FALSE)+(E58*$AD$8)*VLOOKUP(AB58,'GI Factors'!A:M,13,FALSE)</f>
        <v>12249224.545073245</v>
      </c>
      <c r="AE58" s="180">
        <f>(B58*$AE$8)*VLOOKUP(AC58,'GI Factors'!A:M,4,FALSE)+(C58*$AE$8)*VLOOKUP(AC58,'GI Factors'!A:M,7,FALSE)+(D58*$AE$8)*VLOOKUP(AC58,'GI Factors'!A:M,10,FALSE)+(E58*$AE$8)*VLOOKUP(AC58,'GI Factors'!A:M,13,FALSE)</f>
        <v>29549294.32781728</v>
      </c>
      <c r="AF58" s="176">
        <f t="shared" si="40"/>
        <v>41798518.872890525</v>
      </c>
      <c r="AG58" s="176">
        <f t="shared" si="41"/>
        <v>41798518.872890525</v>
      </c>
      <c r="AH58" s="175">
        <f t="shared" si="28"/>
        <v>3.7976671997863129E-2</v>
      </c>
      <c r="AI58" s="176">
        <f t="shared" si="42"/>
        <v>13662592.040715734</v>
      </c>
      <c r="AJ58" s="176"/>
      <c r="AK58" s="189">
        <f t="shared" si="29"/>
        <v>770814.13712594577</v>
      </c>
      <c r="AL58" s="189">
        <f t="shared" si="30"/>
        <v>800087.09278289368</v>
      </c>
      <c r="AM58" s="189">
        <f t="shared" si="24"/>
        <v>830471.73787523352</v>
      </c>
      <c r="AN58" s="189">
        <f t="shared" si="22"/>
        <v>862010.29066801665</v>
      </c>
      <c r="AO58" s="189">
        <f t="shared" si="43"/>
        <v>815845.81461302238</v>
      </c>
    </row>
    <row r="59" spans="1:41" s="38" customFormat="1" ht="10.199999999999999">
      <c r="A59" s="145" t="s">
        <v>65</v>
      </c>
      <c r="B59" s="142">
        <f>8635409.27017889+B$73</f>
        <v>5345932.1297491081</v>
      </c>
      <c r="C59" s="142">
        <f>8135427.8807389+C$73</f>
        <v>5036408.111783429</v>
      </c>
      <c r="D59" s="142">
        <f>379691.177100255+D$73</f>
        <v>235055.8264855076</v>
      </c>
      <c r="E59" s="141">
        <v>-3487936.2873023134</v>
      </c>
      <c r="F59" s="144">
        <v>13662592.04071573</v>
      </c>
      <c r="G59" s="156">
        <v>-6533132.2599999998</v>
      </c>
      <c r="H59" s="144">
        <f>F59+G59</f>
        <v>7129459.78071573</v>
      </c>
      <c r="I59" s="146">
        <f>B59*VLOOKUP(I$7,'GI Factors'!A:M,4,FALSE)+C59*VLOOKUP(I$7,'GI Factors'!A:M,7,FALSE)+D59*VLOOKUP(I$7,'GI Factors'!A:M,10,FALSE)+E59*VLOOKUP(I$7,'GI Factors'!A:M,13,FALSE)</f>
        <v>7384544.6277962551</v>
      </c>
      <c r="J59" s="155">
        <v>-9612609.9099999983</v>
      </c>
      <c r="K59" s="146">
        <v>222014</v>
      </c>
      <c r="L59" s="156">
        <v>-6533132.2599999998</v>
      </c>
      <c r="M59" s="146">
        <f t="shared" si="31"/>
        <v>-15923728.169999998</v>
      </c>
      <c r="N59" s="157"/>
      <c r="O59" s="148"/>
      <c r="P59" s="157">
        <f t="shared" si="23"/>
        <v>2197309.8857586943</v>
      </c>
      <c r="Q59" s="148">
        <f t="shared" si="32"/>
        <v>-18121038.055758692</v>
      </c>
      <c r="R59" s="148">
        <f t="shared" si="33"/>
        <v>0</v>
      </c>
      <c r="S59" s="155">
        <f t="shared" si="34"/>
        <v>-18121038.055758692</v>
      </c>
      <c r="T59" s="188">
        <f t="shared" si="35"/>
        <v>2.5370263298304153E-10</v>
      </c>
      <c r="U59" s="188">
        <f t="shared" si="36"/>
        <v>0</v>
      </c>
      <c r="V59" s="188">
        <f t="shared" si="37"/>
        <v>2.5370263298304153E-10</v>
      </c>
      <c r="W59" s="184">
        <f t="shared" si="38"/>
        <v>33</v>
      </c>
      <c r="X59" s="146">
        <f t="shared" si="39"/>
        <v>-15923728.169999998</v>
      </c>
      <c r="Y59" s="186">
        <v>2014</v>
      </c>
      <c r="Z59" s="181">
        <v>2047</v>
      </c>
      <c r="AA59" s="172">
        <f t="shared" si="25"/>
        <v>30</v>
      </c>
      <c r="AB59" s="172">
        <f t="shared" si="26"/>
        <v>2052</v>
      </c>
      <c r="AC59" s="174">
        <f t="shared" si="27"/>
        <v>2053</v>
      </c>
      <c r="AD59" s="180">
        <f>(B59*$AD$8)*VLOOKUP(AB59,'GI Factors'!A:M,4,FALSE)+(C59*$AD$8)*VLOOKUP(AB59,'GI Factors'!A:M,7,FALSE)+(D59*$AD$8)*VLOOKUP(AB59,'GI Factors'!A:M,10,FALSE)+(E59*$AD$8)*VLOOKUP(AB59,'GI Factors'!A:M,13,FALSE)</f>
        <v>7075226.2222276339</v>
      </c>
      <c r="AE59" s="180">
        <f>(B59*$AE$8)*VLOOKUP(AC59,'GI Factors'!A:M,4,FALSE)+(C59*$AE$8)*VLOOKUP(AC59,'GI Factors'!A:M,7,FALSE)+(D59*$AE$8)*VLOOKUP(AC59,'GI Factors'!A:M,10,FALSE)+(E59*$AE$8)*VLOOKUP(AC59,'GI Factors'!A:M,13,FALSE)</f>
        <v>17095182.521118011</v>
      </c>
      <c r="AF59" s="176">
        <f t="shared" si="40"/>
        <v>24170408.743345644</v>
      </c>
      <c r="AG59" s="176">
        <f t="shared" si="41"/>
        <v>40094136.913345642</v>
      </c>
      <c r="AH59" s="175">
        <f t="shared" si="28"/>
        <v>1.9197531516364861E-2</v>
      </c>
      <c r="AI59" s="176">
        <f t="shared" si="42"/>
        <v>22663656.278566491</v>
      </c>
      <c r="AJ59" s="176"/>
      <c r="AK59" s="189">
        <f t="shared" si="29"/>
        <v>1000799.0181117454</v>
      </c>
      <c r="AL59" s="189">
        <f t="shared" si="30"/>
        <v>1020011.8888034925</v>
      </c>
      <c r="AM59" s="189">
        <f t="shared" si="24"/>
        <v>1039593.5991858644</v>
      </c>
      <c r="AN59" s="189">
        <f t="shared" si="22"/>
        <v>1059551.2300704462</v>
      </c>
      <c r="AO59" s="189">
        <f t="shared" si="43"/>
        <v>1029988.9340428872</v>
      </c>
    </row>
    <row r="60" spans="1:41" s="38" customFormat="1" ht="10.199999999999999">
      <c r="A60" s="145" t="s">
        <v>66</v>
      </c>
      <c r="B60" s="142">
        <v>7984819.964898265</v>
      </c>
      <c r="C60" s="142">
        <v>7710002.5508594345</v>
      </c>
      <c r="D60" s="142">
        <v>284605.98951803031</v>
      </c>
      <c r="E60" s="141">
        <v>-6130061.7267366266</v>
      </c>
      <c r="F60" s="144">
        <v>9849366.7785391025</v>
      </c>
      <c r="G60" s="144"/>
      <c r="H60" s="144">
        <f>F60</f>
        <v>9849366.7785391025</v>
      </c>
      <c r="I60" s="146">
        <f>B60*VLOOKUP(I$7,'GI Factors'!A:M,4,FALSE)+C60*VLOOKUP(I$7,'GI Factors'!A:M,7,FALSE)+D60*VLOOKUP(I$7,'GI Factors'!A:M,10,FALSE)+E60*VLOOKUP(I$7,'GI Factors'!A:M,13,FALSE)</f>
        <v>10235882.496396489</v>
      </c>
      <c r="J60" s="155">
        <v>3260062</v>
      </c>
      <c r="K60" s="146">
        <v>417079</v>
      </c>
      <c r="L60" s="156"/>
      <c r="M60" s="146">
        <f t="shared" si="31"/>
        <v>3677141</v>
      </c>
      <c r="N60" s="157"/>
      <c r="O60" s="148">
        <v>-3677141</v>
      </c>
      <c r="P60" s="157">
        <f t="shared" si="23"/>
        <v>8614580.8007339016</v>
      </c>
      <c r="Q60" s="148">
        <f t="shared" si="32"/>
        <v>-8614580.8007339016</v>
      </c>
      <c r="R60" s="148">
        <f t="shared" si="33"/>
        <v>0</v>
      </c>
      <c r="S60" s="155">
        <f t="shared" si="34"/>
        <v>-8614580.8007339016</v>
      </c>
      <c r="T60" s="188">
        <f t="shared" si="35"/>
        <v>1.2060798197467527E-10</v>
      </c>
      <c r="U60" s="188">
        <f t="shared" si="36"/>
        <v>0</v>
      </c>
      <c r="V60" s="188">
        <f t="shared" si="37"/>
        <v>1.2060798197467527E-10</v>
      </c>
      <c r="W60" s="184">
        <f t="shared" si="38"/>
        <v>40</v>
      </c>
      <c r="X60" s="146">
        <f t="shared" si="39"/>
        <v>0</v>
      </c>
      <c r="Y60" s="186">
        <v>2007</v>
      </c>
      <c r="Z60" s="181">
        <v>2047</v>
      </c>
      <c r="AA60" s="172">
        <f t="shared" si="25"/>
        <v>30</v>
      </c>
      <c r="AB60" s="172">
        <f t="shared" si="26"/>
        <v>2052</v>
      </c>
      <c r="AC60" s="174">
        <f t="shared" si="27"/>
        <v>2053</v>
      </c>
      <c r="AD60" s="180">
        <f>(B60*$AD$8)*VLOOKUP(AB60,'GI Factors'!A:M,4,FALSE)+(C60*$AD$8)*VLOOKUP(AB60,'GI Factors'!A:M,7,FALSE)+(D60*$AD$8)*VLOOKUP(AB60,'GI Factors'!A:M,10,FALSE)+(E60*$AD$8)*VLOOKUP(AB60,'GI Factors'!A:M,13,FALSE)</f>
        <v>10081384.012555942</v>
      </c>
      <c r="AE60" s="180">
        <f>(B60*$AE$8)*VLOOKUP(AC60,'GI Factors'!A:M,4,FALSE)+(C60*$AE$8)*VLOOKUP(AC60,'GI Factors'!A:M,7,FALSE)+(D60*$AE$8)*VLOOKUP(AC60,'GI Factors'!A:M,10,FALSE)+(E60*$AE$8)*VLOOKUP(AC60,'GI Factors'!A:M,13,FALSE)</f>
        <v>24376939.190379661</v>
      </c>
      <c r="AF60" s="176">
        <f t="shared" si="40"/>
        <v>34458323.202935606</v>
      </c>
      <c r="AG60" s="176">
        <f t="shared" si="41"/>
        <v>34458323.202935606</v>
      </c>
      <c r="AH60" s="175">
        <f t="shared" si="28"/>
        <v>4.2628345324049098E-2</v>
      </c>
      <c r="AI60" s="176">
        <f t="shared" si="42"/>
        <v>9849366.7785391025</v>
      </c>
      <c r="AJ60" s="176"/>
      <c r="AK60" s="189">
        <f t="shared" si="29"/>
        <v>587905.77801732777</v>
      </c>
      <c r="AL60" s="189">
        <f t="shared" si="30"/>
        <v>612967.22854065418</v>
      </c>
      <c r="AM60" s="189">
        <f t="shared" si="24"/>
        <v>639097.00723121047</v>
      </c>
      <c r="AN60" s="189">
        <f t="shared" si="22"/>
        <v>666340.65515102877</v>
      </c>
      <c r="AO60" s="189">
        <f t="shared" si="43"/>
        <v>626577.66723505524</v>
      </c>
    </row>
    <row r="61" spans="1:41" s="38" customFormat="1" ht="10.199999999999999">
      <c r="A61" s="145" t="s">
        <v>67</v>
      </c>
      <c r="B61" s="142">
        <v>8219196.206779154</v>
      </c>
      <c r="C61" s="142">
        <v>11514564.150811948</v>
      </c>
      <c r="D61" s="142">
        <v>930865.62975609617</v>
      </c>
      <c r="E61" s="141">
        <v>-976809.62883638474</v>
      </c>
      <c r="F61" s="144">
        <v>19687816.358510811</v>
      </c>
      <c r="G61" s="144"/>
      <c r="H61" s="144">
        <f>F61</f>
        <v>19687816.358510811</v>
      </c>
      <c r="I61" s="146">
        <f>B61*VLOOKUP(I$7,'GI Factors'!A:M,4,FALSE)+C61*VLOOKUP(I$7,'GI Factors'!A:M,7,FALSE)+D61*VLOOKUP(I$7,'GI Factors'!A:M,10,FALSE)+E61*VLOOKUP(I$7,'GI Factors'!A:M,13,FALSE)</f>
        <v>20101515.3931458</v>
      </c>
      <c r="J61" s="155">
        <v>0</v>
      </c>
      <c r="K61" s="146">
        <v>0</v>
      </c>
      <c r="L61" s="156"/>
      <c r="M61" s="146">
        <f t="shared" si="31"/>
        <v>0</v>
      </c>
      <c r="N61" s="157"/>
      <c r="O61" s="148">
        <v>0</v>
      </c>
      <c r="P61" s="157">
        <f t="shared" si="23"/>
        <v>11358306.89960964</v>
      </c>
      <c r="Q61" s="148">
        <f t="shared" si="32"/>
        <v>-11358306.89960964</v>
      </c>
      <c r="R61" s="148">
        <f t="shared" si="33"/>
        <v>0</v>
      </c>
      <c r="S61" s="155">
        <f t="shared" si="34"/>
        <v>-11358306.89960964</v>
      </c>
      <c r="T61" s="188">
        <f t="shared" si="35"/>
        <v>1.5902137381940201E-10</v>
      </c>
      <c r="U61" s="188">
        <f t="shared" si="36"/>
        <v>0</v>
      </c>
      <c r="V61" s="188">
        <f t="shared" si="37"/>
        <v>1.5902137381940201E-10</v>
      </c>
      <c r="W61" s="184">
        <f t="shared" si="38"/>
        <v>42</v>
      </c>
      <c r="X61" s="146">
        <f t="shared" si="39"/>
        <v>0</v>
      </c>
      <c r="Y61" s="186">
        <v>2009</v>
      </c>
      <c r="Z61" s="181">
        <v>2051</v>
      </c>
      <c r="AA61" s="172">
        <f t="shared" si="25"/>
        <v>34</v>
      </c>
      <c r="AB61" s="172">
        <f t="shared" si="26"/>
        <v>2056</v>
      </c>
      <c r="AC61" s="174">
        <f t="shared" si="27"/>
        <v>2057</v>
      </c>
      <c r="AD61" s="180">
        <f>(B61*$AD$8)*VLOOKUP(AB61,'GI Factors'!A:M,4,FALSE)+(C61*$AD$8)*VLOOKUP(AB61,'GI Factors'!A:M,7,FALSE)+(D61*$AD$8)*VLOOKUP(AB61,'GI Factors'!A:M,10,FALSE)+(E61*$AD$8)*VLOOKUP(AB61,'GI Factors'!A:M,13,FALSE)</f>
        <v>17518230.402980886</v>
      </c>
      <c r="AE61" s="180">
        <f>(B61*$AE$8)*VLOOKUP(AC61,'GI Factors'!A:M,4,FALSE)+(C61*$AE$8)*VLOOKUP(AC61,'GI Factors'!A:M,7,FALSE)+(D61*$AE$8)*VLOOKUP(AC61,'GI Factors'!A:M,10,FALSE)+(E61*$AE$8)*VLOOKUP(AC61,'GI Factors'!A:M,13,FALSE)</f>
        <v>42112880.819969743</v>
      </c>
      <c r="AF61" s="176">
        <f t="shared" si="40"/>
        <v>59631111.22295063</v>
      </c>
      <c r="AG61" s="176">
        <f t="shared" si="41"/>
        <v>59631111.22295063</v>
      </c>
      <c r="AH61" s="175">
        <f t="shared" si="28"/>
        <v>3.3130439315162727E-2</v>
      </c>
      <c r="AI61" s="176">
        <f t="shared" si="42"/>
        <v>19687816.358510844</v>
      </c>
      <c r="AJ61" s="176"/>
      <c r="AK61" s="189">
        <f t="shared" si="29"/>
        <v>973764.10308386339</v>
      </c>
      <c r="AL61" s="189">
        <f t="shared" si="30"/>
        <v>1006025.3356083672</v>
      </c>
      <c r="AM61" s="189">
        <f t="shared" si="24"/>
        <v>1039355.3969392566</v>
      </c>
      <c r="AN61" s="189">
        <f t="shared" si="22"/>
        <v>1073789.6978444397</v>
      </c>
      <c r="AO61" s="189">
        <f t="shared" si="43"/>
        <v>1023233.6333689818</v>
      </c>
    </row>
    <row r="62" spans="1:41" s="38" customFormat="1" ht="10.199999999999999">
      <c r="A62" s="145" t="s">
        <v>68</v>
      </c>
      <c r="B62" s="142">
        <v>5239859.051998564</v>
      </c>
      <c r="C62" s="142">
        <v>5725240.5784746846</v>
      </c>
      <c r="D62" s="142">
        <v>389331.1315095704</v>
      </c>
      <c r="E62" s="141">
        <v>-5046891.4185842089</v>
      </c>
      <c r="F62" s="144">
        <v>6307539.3433986101</v>
      </c>
      <c r="G62" s="144"/>
      <c r="H62" s="144">
        <f>F62</f>
        <v>6307539.3433986101</v>
      </c>
      <c r="I62" s="146">
        <f>B62*VLOOKUP(I$7,'GI Factors'!A:M,4,FALSE)+C62*VLOOKUP(I$7,'GI Factors'!A:M,7,FALSE)+D62*VLOOKUP(I$7,'GI Factors'!A:M,10,FALSE)+E62*VLOOKUP(I$7,'GI Factors'!A:M,13,FALSE)</f>
        <v>6576916.6628913293</v>
      </c>
      <c r="J62" s="155">
        <v>3000744</v>
      </c>
      <c r="K62" s="146">
        <v>549432</v>
      </c>
      <c r="L62" s="156"/>
      <c r="M62" s="146">
        <f t="shared" si="31"/>
        <v>3550176</v>
      </c>
      <c r="N62" s="157"/>
      <c r="O62" s="148">
        <v>-3550176</v>
      </c>
      <c r="P62" s="157">
        <f t="shared" si="23"/>
        <v>4758251.3880211823</v>
      </c>
      <c r="Q62" s="148">
        <f t="shared" si="32"/>
        <v>-4758251.3880211823</v>
      </c>
      <c r="R62" s="148">
        <f t="shared" si="33"/>
        <v>0</v>
      </c>
      <c r="S62" s="155">
        <f t="shared" si="34"/>
        <v>-4758251.3880211823</v>
      </c>
      <c r="T62" s="188">
        <f t="shared" si="35"/>
        <v>6.6617646396507356E-11</v>
      </c>
      <c r="U62" s="188">
        <f t="shared" si="36"/>
        <v>0</v>
      </c>
      <c r="V62" s="188">
        <f t="shared" si="37"/>
        <v>6.6617646396507356E-11</v>
      </c>
      <c r="W62" s="184">
        <f t="shared" si="38"/>
        <v>40</v>
      </c>
      <c r="X62" s="146">
        <f t="shared" si="39"/>
        <v>0</v>
      </c>
      <c r="Y62" s="186">
        <v>2009</v>
      </c>
      <c r="Z62" s="181">
        <v>2049</v>
      </c>
      <c r="AA62" s="172">
        <f t="shared" si="25"/>
        <v>32</v>
      </c>
      <c r="AB62" s="172">
        <f t="shared" si="26"/>
        <v>2054</v>
      </c>
      <c r="AC62" s="174">
        <f t="shared" si="27"/>
        <v>2055</v>
      </c>
      <c r="AD62" s="180">
        <f>(B62*$AD$8)*VLOOKUP(AB62,'GI Factors'!A:M,4,FALSE)+(C62*$AD$8)*VLOOKUP(AB62,'GI Factors'!A:M,7,FALSE)+(D62*$AD$8)*VLOOKUP(AB62,'GI Factors'!A:M,10,FALSE)+(E62*$AD$8)*VLOOKUP(AB62,'GI Factors'!A:M,13,FALSE)</f>
        <v>6958462.1580918953</v>
      </c>
      <c r="AE62" s="180">
        <f>(B62*$AE$8)*VLOOKUP(AC62,'GI Factors'!A:M,4,FALSE)+(C62*$AE$8)*VLOOKUP(AC62,'GI Factors'!A:M,7,FALSE)+(D62*$AE$8)*VLOOKUP(AC62,'GI Factors'!A:M,10,FALSE)+(E62*$AE$8)*VLOOKUP(AC62,'GI Factors'!A:M,13,FALSE)</f>
        <v>16832794.782014027</v>
      </c>
      <c r="AF62" s="176">
        <f t="shared" si="40"/>
        <v>23791256.940105923</v>
      </c>
      <c r="AG62" s="176">
        <f t="shared" si="41"/>
        <v>23791256.940105923</v>
      </c>
      <c r="AH62" s="175">
        <f t="shared" si="28"/>
        <v>4.2359237098236246E-2</v>
      </c>
      <c r="AI62" s="176">
        <f t="shared" si="42"/>
        <v>6307539.3433986325</v>
      </c>
      <c r="AJ62" s="176"/>
      <c r="AK62" s="189">
        <f t="shared" si="29"/>
        <v>363573.06563294929</v>
      </c>
      <c r="AL62" s="189">
        <f t="shared" si="30"/>
        <v>378973.74332262797</v>
      </c>
      <c r="AM62" s="189">
        <f t="shared" si="24"/>
        <v>395026.78197003726</v>
      </c>
      <c r="AN62" s="189">
        <f t="shared" si="22"/>
        <v>411759.81508765934</v>
      </c>
      <c r="AO62" s="189">
        <f t="shared" si="43"/>
        <v>387333.35150331841</v>
      </c>
    </row>
    <row r="63" spans="1:41" s="38" customFormat="1" ht="10.199999999999999">
      <c r="A63" s="145" t="s">
        <v>69</v>
      </c>
      <c r="B63" s="142">
        <v>5258677.0656779213</v>
      </c>
      <c r="C63" s="142">
        <v>5745801.7528219707</v>
      </c>
      <c r="D63" s="142">
        <v>389340.09611438861</v>
      </c>
      <c r="E63" s="141">
        <v>-5060497.6222042087</v>
      </c>
      <c r="F63" s="144">
        <v>6333321.2924100719</v>
      </c>
      <c r="G63" s="144"/>
      <c r="H63" s="144">
        <f>F63</f>
        <v>6333321.2924100719</v>
      </c>
      <c r="I63" s="146">
        <f>B63*VLOOKUP(I$7,'GI Factors'!A:M,4,FALSE)+C63*VLOOKUP(I$7,'GI Factors'!A:M,7,FALSE)+D63*VLOOKUP(I$7,'GI Factors'!A:M,10,FALSE)+E63*VLOOKUP(I$7,'GI Factors'!A:M,13,FALSE)</f>
        <v>6603613.9199975152</v>
      </c>
      <c r="J63" s="155">
        <v>3000744</v>
      </c>
      <c r="K63" s="146">
        <v>549432</v>
      </c>
      <c r="L63" s="156"/>
      <c r="M63" s="146">
        <f t="shared" si="31"/>
        <v>3550176</v>
      </c>
      <c r="N63" s="157"/>
      <c r="O63" s="148">
        <v>-3550176</v>
      </c>
      <c r="P63" s="157">
        <f t="shared" si="23"/>
        <v>4776500.3951596096</v>
      </c>
      <c r="Q63" s="148">
        <f t="shared" si="32"/>
        <v>-4776500.3951596096</v>
      </c>
      <c r="R63" s="148">
        <f t="shared" si="33"/>
        <v>0</v>
      </c>
      <c r="S63" s="155">
        <f t="shared" si="34"/>
        <v>-4776500.3951596096</v>
      </c>
      <c r="T63" s="188">
        <f t="shared" si="35"/>
        <v>6.6873140653850642E-11</v>
      </c>
      <c r="U63" s="188">
        <f t="shared" si="36"/>
        <v>0</v>
      </c>
      <c r="V63" s="188">
        <f t="shared" si="37"/>
        <v>6.6873140653850642E-11</v>
      </c>
      <c r="W63" s="184">
        <f t="shared" si="38"/>
        <v>40</v>
      </c>
      <c r="X63" s="146">
        <f t="shared" si="39"/>
        <v>0</v>
      </c>
      <c r="Y63" s="186">
        <v>2009</v>
      </c>
      <c r="Z63" s="181">
        <v>2049</v>
      </c>
      <c r="AA63" s="172">
        <f t="shared" si="25"/>
        <v>32</v>
      </c>
      <c r="AB63" s="172">
        <f t="shared" si="26"/>
        <v>2054</v>
      </c>
      <c r="AC63" s="174">
        <f t="shared" si="27"/>
        <v>2055</v>
      </c>
      <c r="AD63" s="180">
        <f>(B63*$AD$8)*VLOOKUP(AB63,'GI Factors'!A:M,4,FALSE)+(C63*$AD$8)*VLOOKUP(AB63,'GI Factors'!A:M,7,FALSE)+(D63*$AD$8)*VLOOKUP(AB63,'GI Factors'!A:M,10,FALSE)+(E63*$AD$8)*VLOOKUP(AB63,'GI Factors'!A:M,13,FALSE)</f>
        <v>6985175.5893481625</v>
      </c>
      <c r="AE63" s="180">
        <f>(B63*$AE$8)*VLOOKUP(AC63,'GI Factors'!A:M,4,FALSE)+(C63*$AE$8)*VLOOKUP(AC63,'GI Factors'!A:M,7,FALSE)+(D63*$AE$8)*VLOOKUP(AC63,'GI Factors'!A:M,10,FALSE)+(E63*$AE$8)*VLOOKUP(AC63,'GI Factors'!A:M,13,FALSE)</f>
        <v>16897326.386449881</v>
      </c>
      <c r="AF63" s="176">
        <f t="shared" si="40"/>
        <v>23882501.975798044</v>
      </c>
      <c r="AG63" s="176">
        <f t="shared" si="41"/>
        <v>23882501.975798044</v>
      </c>
      <c r="AH63" s="175">
        <f t="shared" si="28"/>
        <v>4.2351052914487458E-2</v>
      </c>
      <c r="AI63" s="176">
        <f t="shared" si="42"/>
        <v>6333321.2924100766</v>
      </c>
      <c r="AJ63" s="176"/>
      <c r="AK63" s="189">
        <f t="shared" si="29"/>
        <v>365021.72197490372</v>
      </c>
      <c r="AL63" s="189">
        <f t="shared" si="30"/>
        <v>380480.77623720019</v>
      </c>
      <c r="AM63" s="189">
        <f t="shared" si="24"/>
        <v>396594.53772456711</v>
      </c>
      <c r="AN63" s="189">
        <f t="shared" si="22"/>
        <v>413390.73397733696</v>
      </c>
      <c r="AO63" s="189">
        <f t="shared" si="43"/>
        <v>388871.94247850199</v>
      </c>
    </row>
    <row r="64" spans="1:41" s="38" customFormat="1" ht="10.199999999999999">
      <c r="A64" s="163" t="s">
        <v>70</v>
      </c>
      <c r="B64" s="232">
        <v>5277495.0793572795</v>
      </c>
      <c r="C64" s="232">
        <v>5766362.9271692587</v>
      </c>
      <c r="D64" s="232">
        <v>389349.06071920681</v>
      </c>
      <c r="E64" s="233">
        <v>-5073234.8425842077</v>
      </c>
      <c r="F64" s="234">
        <v>6359972.2246615365</v>
      </c>
      <c r="G64" s="234"/>
      <c r="H64" s="234">
        <f>F64</f>
        <v>6359972.2246615365</v>
      </c>
      <c r="I64" s="147">
        <f>B64*VLOOKUP(I$7,'GI Factors'!A:M,4,FALSE)+C64*VLOOKUP(I$7,'GI Factors'!A:M,7,FALSE)+D64*VLOOKUP(I$7,'GI Factors'!A:M,10,FALSE)+E64*VLOOKUP(I$7,'GI Factors'!A:M,13,FALSE)</f>
        <v>6631175.3548672376</v>
      </c>
      <c r="J64" s="158">
        <v>1457555</v>
      </c>
      <c r="K64" s="147">
        <v>344513</v>
      </c>
      <c r="L64" s="159"/>
      <c r="M64" s="147">
        <f t="shared" si="31"/>
        <v>1802068</v>
      </c>
      <c r="N64" s="160"/>
      <c r="O64" s="149">
        <v>-1802068</v>
      </c>
      <c r="P64" s="160">
        <f t="shared" si="23"/>
        <v>3866170.54002795</v>
      </c>
      <c r="Q64" s="149">
        <f t="shared" si="32"/>
        <v>-3866170.54002795</v>
      </c>
      <c r="R64" s="149">
        <f t="shared" si="33"/>
        <v>0</v>
      </c>
      <c r="S64" s="158">
        <f t="shared" si="34"/>
        <v>-3866170.54002795</v>
      </c>
      <c r="T64" s="188">
        <f t="shared" si="35"/>
        <v>5.4128115759618493E-11</v>
      </c>
      <c r="U64" s="188">
        <f t="shared" si="36"/>
        <v>0</v>
      </c>
      <c r="V64" s="188">
        <f t="shared" si="37"/>
        <v>5.4128115759618493E-11</v>
      </c>
      <c r="W64" s="182">
        <f t="shared" si="38"/>
        <v>40</v>
      </c>
      <c r="X64" s="147">
        <f t="shared" si="39"/>
        <v>0</v>
      </c>
      <c r="Y64" s="164">
        <v>2011</v>
      </c>
      <c r="Z64" s="191">
        <v>2051</v>
      </c>
      <c r="AA64" s="177">
        <f t="shared" si="25"/>
        <v>34</v>
      </c>
      <c r="AB64" s="178">
        <f t="shared" si="26"/>
        <v>2056</v>
      </c>
      <c r="AC64" s="179">
        <f t="shared" si="27"/>
        <v>2057</v>
      </c>
      <c r="AD64" s="180">
        <f>(B64*$AD$8)*VLOOKUP(AB64,'GI Factors'!A:M,4,FALSE)+(C64*$AD$8)*VLOOKUP(AB64,'GI Factors'!A:M,7,FALSE)+(D64*$AD$8)*VLOOKUP(AB64,'GI Factors'!A:M,10,FALSE)+(E64*$AD$8)*VLOOKUP(AB64,'GI Factors'!A:M,13,FALSE)</f>
        <v>7537564.1439219983</v>
      </c>
      <c r="AE64" s="180">
        <f>(B64*$AE$8)*VLOOKUP(AC64,'GI Factors'!A:M,4,FALSE)+(C64*$AE$8)*VLOOKUP(AC64,'GI Factors'!A:M,7,FALSE)+(D64*$AE$8)*VLOOKUP(AC64,'GI Factors'!A:M,10,FALSE)+(E64*$AE$8)*VLOOKUP(AC64,'GI Factors'!A:M,13,FALSE)</f>
        <v>18236906.122931007</v>
      </c>
      <c r="AF64" s="176">
        <f t="shared" si="40"/>
        <v>25774470.266853005</v>
      </c>
      <c r="AG64" s="176">
        <f t="shared" si="41"/>
        <v>25774470.266853005</v>
      </c>
      <c r="AH64" s="175">
        <f t="shared" si="28"/>
        <v>4.2016377735313651E-2</v>
      </c>
      <c r="AI64" s="176">
        <f t="shared" si="42"/>
        <v>6359972.2246615225</v>
      </c>
      <c r="AJ64" s="176"/>
      <c r="AK64" s="190">
        <f t="shared" si="29"/>
        <v>354762.25725786819</v>
      </c>
      <c r="AL64" s="190">
        <f t="shared" si="30"/>
        <v>369668.08226504736</v>
      </c>
      <c r="AM64" s="190">
        <f t="shared" si="24"/>
        <v>385200.19604618463</v>
      </c>
      <c r="AN64" s="190">
        <f t="shared" si="22"/>
        <v>401384.91298697802</v>
      </c>
      <c r="AO64" s="190">
        <f t="shared" si="43"/>
        <v>377753.86213901953</v>
      </c>
    </row>
    <row r="65" spans="1:44" s="38" customFormat="1" ht="10.199999999999999">
      <c r="B65" s="72"/>
      <c r="C65" s="72"/>
      <c r="D65" s="72"/>
      <c r="E65" s="72"/>
      <c r="F65" s="72"/>
      <c r="G65" s="72"/>
      <c r="H65" s="72"/>
      <c r="I65" s="72"/>
      <c r="J65" s="149"/>
      <c r="K65" s="149"/>
      <c r="L65" s="90"/>
      <c r="M65" s="149"/>
      <c r="N65" s="90"/>
      <c r="O65" s="90"/>
      <c r="P65" s="90"/>
      <c r="Q65" s="90"/>
      <c r="R65" s="90"/>
      <c r="S65" s="90"/>
      <c r="T65" s="19"/>
      <c r="U65" s="19"/>
      <c r="V65" s="19"/>
      <c r="W65" s="42"/>
      <c r="X65" s="149"/>
      <c r="Y65" s="30"/>
      <c r="Z65" s="178"/>
      <c r="AA65" s="178"/>
      <c r="AB65" s="178"/>
      <c r="AC65" s="178"/>
      <c r="AD65" s="180"/>
      <c r="AE65" s="180"/>
      <c r="AF65" s="176"/>
      <c r="AG65" s="176"/>
      <c r="AH65" s="175"/>
      <c r="AI65" s="176"/>
      <c r="AJ65" s="176"/>
      <c r="AK65" s="176"/>
      <c r="AL65" s="176"/>
      <c r="AM65" s="176"/>
      <c r="AN65" s="176"/>
      <c r="AO65" s="176"/>
    </row>
    <row r="66" spans="1:44" s="38" customFormat="1" ht="10.8" thickBot="1">
      <c r="B66" s="187">
        <f>SUM(B12:B65)</f>
        <v>276215373.47102141</v>
      </c>
      <c r="C66" s="187">
        <f>SUM(C12:C65)</f>
        <v>295621808.51793879</v>
      </c>
      <c r="D66" s="187">
        <f t="shared" ref="D66:I66" si="44">SUM(D12:D65)</f>
        <v>25647017.427667931</v>
      </c>
      <c r="E66" s="187">
        <f t="shared" si="44"/>
        <v>-137259168.61671227</v>
      </c>
      <c r="F66" s="187">
        <f>SUM(F12:F65)</f>
        <v>467245134.91991603</v>
      </c>
      <c r="G66" s="187">
        <f>SUM(G12:G65)</f>
        <v>-7020104.1200000001</v>
      </c>
      <c r="H66" s="187">
        <f>SUM(H12:H65)</f>
        <v>460225030.79991597</v>
      </c>
      <c r="I66" s="187">
        <f t="shared" si="44"/>
        <v>473756137.48025644</v>
      </c>
      <c r="J66" s="187">
        <f>SUM(J12:J65)</f>
        <v>316259490.75999999</v>
      </c>
      <c r="K66" s="187">
        <f>SUM(K12:K65)</f>
        <v>15644577</v>
      </c>
      <c r="L66" s="187">
        <f>SUM(L12:L65)</f>
        <v>-7020104.1200000001</v>
      </c>
      <c r="M66" s="187">
        <f>SUM(M12:M65)</f>
        <v>324883963.63999999</v>
      </c>
      <c r="N66" s="187">
        <f t="shared" ref="N66:X66" si="45">SUM(N12:N65)</f>
        <v>-51518654.660272591</v>
      </c>
      <c r="O66" s="187">
        <f t="shared" si="45"/>
        <v>-44827465.089727417</v>
      </c>
      <c r="P66" s="187">
        <f t="shared" si="45"/>
        <v>477991283.01614738</v>
      </c>
      <c r="Q66" s="187">
        <f t="shared" si="45"/>
        <v>-249453439.1261473</v>
      </c>
      <c r="R66" s="187">
        <f t="shared" si="45"/>
        <v>3.4924596548080444E-9</v>
      </c>
      <c r="S66" s="187">
        <f t="shared" si="45"/>
        <v>-249453439.1261473</v>
      </c>
      <c r="T66" s="20">
        <f t="shared" si="45"/>
        <v>3.4924596548080461E-9</v>
      </c>
      <c r="U66" s="20">
        <f t="shared" si="45"/>
        <v>-3.4924596548080461E-9</v>
      </c>
      <c r="V66" s="20"/>
      <c r="W66" s="41"/>
      <c r="X66" s="187">
        <f t="shared" si="45"/>
        <v>228537843.88999999</v>
      </c>
      <c r="Y66" s="20"/>
      <c r="Z66" s="20"/>
      <c r="AA66" s="20"/>
      <c r="AB66" s="20"/>
      <c r="AC66" s="20"/>
      <c r="AD66" s="187">
        <f t="shared" ref="AD66:AG66" si="46">SUM(AD12:AD65)</f>
        <v>361934434.66085416</v>
      </c>
      <c r="AE66" s="187">
        <f t="shared" si="46"/>
        <v>872054498.57394826</v>
      </c>
      <c r="AF66" s="187">
        <f t="shared" si="46"/>
        <v>1233988933.2348027</v>
      </c>
      <c r="AG66" s="187">
        <f t="shared" si="46"/>
        <v>1005451089.344802</v>
      </c>
      <c r="AH66" s="20"/>
      <c r="AI66" s="187">
        <f t="shared" ref="AI66" si="47">SUM(AI12:AI65)</f>
        <v>360596861.56617075</v>
      </c>
      <c r="AJ66" s="176"/>
      <c r="AK66" s="187">
        <f t="shared" ref="AK66:AN66" si="48">SUM(AK12:AK65)</f>
        <v>24580801.800550949</v>
      </c>
      <c r="AL66" s="187">
        <f t="shared" si="48"/>
        <v>23833385.538213134</v>
      </c>
      <c r="AM66" s="187">
        <f t="shared" si="48"/>
        <v>25391148.886137299</v>
      </c>
      <c r="AN66" s="187">
        <f t="shared" si="48"/>
        <v>26399286.840238556</v>
      </c>
      <c r="AO66" s="187">
        <f>SUM(AO12:AO65)</f>
        <v>25051155.766284972</v>
      </c>
    </row>
    <row r="67" spans="1:44" s="38" customFormat="1" ht="10.8" thickTop="1"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36"/>
      <c r="U67" s="36"/>
      <c r="V67" s="36"/>
      <c r="W67" s="91"/>
      <c r="X67" s="176"/>
      <c r="Y67" s="92"/>
      <c r="AD67" s="176"/>
      <c r="AE67" s="176"/>
      <c r="AF67" s="176"/>
      <c r="AG67" s="176"/>
      <c r="AI67" s="176"/>
      <c r="AJ67" s="176"/>
      <c r="AK67" s="176"/>
      <c r="AL67" s="176"/>
      <c r="AM67" s="176"/>
      <c r="AN67" s="176"/>
      <c r="AO67" s="176"/>
      <c r="AQ67" s="93"/>
    </row>
    <row r="68" spans="1:44" s="38" customFormat="1" ht="10.199999999999999">
      <c r="A68" s="94" t="s">
        <v>107</v>
      </c>
      <c r="B68" s="95">
        <v>0</v>
      </c>
      <c r="C68" s="87">
        <v>0</v>
      </c>
      <c r="D68" s="87">
        <v>0</v>
      </c>
      <c r="E68" s="87">
        <v>0</v>
      </c>
      <c r="F68" s="96">
        <v>4520250</v>
      </c>
      <c r="G68" s="96">
        <v>0</v>
      </c>
      <c r="H68" s="96">
        <v>4520250</v>
      </c>
      <c r="I68" s="96">
        <v>4520250</v>
      </c>
      <c r="J68" s="97" t="s">
        <v>122</v>
      </c>
      <c r="K68" s="97" t="s">
        <v>122</v>
      </c>
      <c r="L68" s="97" t="s">
        <v>122</v>
      </c>
      <c r="M68" s="97" t="s">
        <v>122</v>
      </c>
      <c r="N68" s="97" t="s">
        <v>122</v>
      </c>
      <c r="O68" s="97" t="s">
        <v>122</v>
      </c>
      <c r="P68" s="97" t="s">
        <v>122</v>
      </c>
      <c r="Q68" s="97" t="s">
        <v>122</v>
      </c>
      <c r="R68" s="97" t="s">
        <v>122</v>
      </c>
      <c r="S68" s="97" t="s">
        <v>122</v>
      </c>
      <c r="T68" s="98" t="s">
        <v>122</v>
      </c>
      <c r="U68" s="98" t="s">
        <v>122</v>
      </c>
      <c r="V68" s="98" t="s">
        <v>122</v>
      </c>
      <c r="W68" s="98" t="s">
        <v>122</v>
      </c>
      <c r="X68" s="97">
        <v>0</v>
      </c>
      <c r="Y68" s="98" t="s">
        <v>122</v>
      </c>
      <c r="Z68" s="62">
        <v>2016</v>
      </c>
      <c r="AA68" s="62">
        <v>0</v>
      </c>
      <c r="AB68" s="98" t="s">
        <v>122</v>
      </c>
      <c r="AC68" s="98" t="s">
        <v>122</v>
      </c>
      <c r="AD68" s="97" t="s">
        <v>122</v>
      </c>
      <c r="AE68" s="99" t="s">
        <v>122</v>
      </c>
      <c r="AF68" s="100">
        <v>4520250</v>
      </c>
      <c r="AG68" s="89">
        <f t="shared" ref="AG68" si="49">AF68-X68</f>
        <v>4520250</v>
      </c>
      <c r="AH68" s="101" t="s">
        <v>122</v>
      </c>
      <c r="AI68" s="100">
        <v>4520250</v>
      </c>
      <c r="AJ68" s="176"/>
      <c r="AK68" s="96">
        <v>4520250</v>
      </c>
      <c r="AL68" s="89">
        <v>0</v>
      </c>
      <c r="AM68" s="89">
        <v>0</v>
      </c>
      <c r="AN68" s="89">
        <v>0</v>
      </c>
      <c r="AO68" s="89">
        <f t="shared" ref="AO68" si="50">SUM(AK68:AN68)/4</f>
        <v>1130062.5</v>
      </c>
      <c r="AQ68" s="93"/>
    </row>
    <row r="69" spans="1:44" s="38" customFormat="1" ht="10.199999999999999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36"/>
      <c r="U69" s="36"/>
      <c r="V69" s="36"/>
      <c r="W69" s="91"/>
      <c r="X69" s="176"/>
      <c r="Y69" s="92"/>
      <c r="AD69" s="176"/>
      <c r="AE69" s="176"/>
      <c r="AF69" s="176"/>
      <c r="AG69" s="176"/>
      <c r="AI69" s="176"/>
      <c r="AJ69" s="176"/>
      <c r="AK69" s="176"/>
      <c r="AL69" s="176"/>
      <c r="AM69" s="176"/>
      <c r="AN69" s="176"/>
      <c r="AO69" s="176"/>
      <c r="AQ69" s="93"/>
    </row>
    <row r="70" spans="1:44" s="38" customFormat="1" ht="10.8" thickBot="1">
      <c r="A70" s="102" t="s">
        <v>123</v>
      </c>
      <c r="B70" s="103">
        <f>B66+B68</f>
        <v>276215373.47102141</v>
      </c>
      <c r="C70" s="103">
        <f t="shared" ref="C70:I70" si="51">C66+C68</f>
        <v>295621808.51793879</v>
      </c>
      <c r="D70" s="103">
        <f t="shared" si="51"/>
        <v>25647017.427667931</v>
      </c>
      <c r="E70" s="103">
        <f t="shared" si="51"/>
        <v>-137259168.61671227</v>
      </c>
      <c r="F70" s="103">
        <f t="shared" si="51"/>
        <v>471765384.91991603</v>
      </c>
      <c r="G70" s="103">
        <f>G66+G68</f>
        <v>-7020104.1200000001</v>
      </c>
      <c r="H70" s="103">
        <f t="shared" ref="H70" si="52">H66+H68</f>
        <v>464745280.79991597</v>
      </c>
      <c r="I70" s="103">
        <f t="shared" si="51"/>
        <v>478276387.48025644</v>
      </c>
      <c r="J70" s="103">
        <f>J66</f>
        <v>316259490.75999999</v>
      </c>
      <c r="K70" s="103">
        <f t="shared" ref="K70:X70" si="53">K66</f>
        <v>15644577</v>
      </c>
      <c r="L70" s="103">
        <f t="shared" si="53"/>
        <v>-7020104.1200000001</v>
      </c>
      <c r="M70" s="103">
        <f t="shared" si="53"/>
        <v>324883963.63999999</v>
      </c>
      <c r="N70" s="103">
        <f t="shared" si="53"/>
        <v>-51518654.660272591</v>
      </c>
      <c r="O70" s="103">
        <f t="shared" si="53"/>
        <v>-44827465.089727417</v>
      </c>
      <c r="P70" s="103">
        <f t="shared" si="53"/>
        <v>477991283.01614738</v>
      </c>
      <c r="Q70" s="103">
        <f>Q66</f>
        <v>-249453439.1261473</v>
      </c>
      <c r="R70" s="103">
        <f>R66</f>
        <v>3.4924596548080444E-9</v>
      </c>
      <c r="S70" s="103">
        <f>S66</f>
        <v>-249453439.1261473</v>
      </c>
      <c r="T70" s="104">
        <f>T66</f>
        <v>3.4924596548080461E-9</v>
      </c>
      <c r="U70" s="104">
        <f t="shared" si="53"/>
        <v>-3.4924596548080461E-9</v>
      </c>
      <c r="V70" s="104"/>
      <c r="W70" s="104"/>
      <c r="X70" s="103">
        <f t="shared" si="53"/>
        <v>228537843.88999999</v>
      </c>
      <c r="Y70" s="104"/>
      <c r="Z70" s="104"/>
      <c r="AA70" s="104"/>
      <c r="AB70" s="104"/>
      <c r="AC70" s="104"/>
      <c r="AD70" s="103">
        <f>AD66</f>
        <v>361934434.66085416</v>
      </c>
      <c r="AE70" s="103">
        <f>AE66</f>
        <v>872054498.57394826</v>
      </c>
      <c r="AF70" s="103">
        <f>AF66+AF68</f>
        <v>1238509183.2348027</v>
      </c>
      <c r="AG70" s="103">
        <f t="shared" ref="AG70:AO70" si="54">AG66+AG68</f>
        <v>1009971339.344802</v>
      </c>
      <c r="AH70" s="104"/>
      <c r="AI70" s="103">
        <f t="shared" si="54"/>
        <v>365117111.56617075</v>
      </c>
      <c r="AJ70" s="103"/>
      <c r="AK70" s="103">
        <f t="shared" si="54"/>
        <v>29101051.800550949</v>
      </c>
      <c r="AL70" s="103">
        <f t="shared" si="54"/>
        <v>23833385.538213134</v>
      </c>
      <c r="AM70" s="103">
        <f t="shared" si="54"/>
        <v>25391148.886137299</v>
      </c>
      <c r="AN70" s="103">
        <f t="shared" si="54"/>
        <v>26399286.840238556</v>
      </c>
      <c r="AO70" s="103">
        <f t="shared" si="54"/>
        <v>26181218.266284972</v>
      </c>
    </row>
    <row r="71" spans="1:44" s="38" customFormat="1" ht="10.8" thickTop="1">
      <c r="L71" s="36"/>
      <c r="N71" s="36"/>
      <c r="O71" s="36"/>
      <c r="P71" s="36"/>
      <c r="Q71" s="36"/>
      <c r="R71" s="36"/>
      <c r="S71" s="36"/>
      <c r="T71" s="36"/>
      <c r="U71" s="36"/>
      <c r="V71" s="36"/>
      <c r="W71" s="91"/>
      <c r="Y71" s="92"/>
      <c r="AQ71" s="93"/>
    </row>
    <row r="72" spans="1:44" s="38" customFormat="1" ht="10.199999999999999">
      <c r="A72" s="236" t="s">
        <v>139</v>
      </c>
      <c r="B72" s="237">
        <v>-245193.68929821294</v>
      </c>
      <c r="C72" s="237">
        <v>-230997.22476229433</v>
      </c>
      <c r="D72" s="238">
        <v>-10780.945939492685</v>
      </c>
      <c r="E72" s="165"/>
      <c r="L72" s="36"/>
      <c r="N72" s="36"/>
      <c r="O72" s="36"/>
      <c r="P72" s="36"/>
      <c r="Q72" s="36"/>
      <c r="R72" s="36"/>
      <c r="S72" s="36"/>
      <c r="T72" s="36"/>
      <c r="U72" s="36"/>
      <c r="V72" s="36"/>
      <c r="W72" s="91"/>
      <c r="Y72" s="92"/>
      <c r="AQ72" s="93"/>
    </row>
    <row r="73" spans="1:44" s="38" customFormat="1" ht="10.199999999999999">
      <c r="A73" s="239" t="s">
        <v>140</v>
      </c>
      <c r="B73" s="240">
        <v>-3289477.1404297813</v>
      </c>
      <c r="C73" s="240">
        <v>-3099019.768955471</v>
      </c>
      <c r="D73" s="241">
        <v>-144635.35061474738</v>
      </c>
      <c r="E73" s="165"/>
      <c r="L73" s="36"/>
      <c r="N73" s="36"/>
      <c r="O73" s="36"/>
      <c r="P73" s="36"/>
      <c r="Q73" s="36"/>
      <c r="R73" s="36"/>
      <c r="S73" s="36"/>
      <c r="T73" s="36"/>
      <c r="U73" s="36"/>
      <c r="V73" s="36"/>
      <c r="W73" s="91"/>
      <c r="Y73" s="92"/>
      <c r="AQ73" s="93"/>
    </row>
    <row r="74" spans="1:44" s="38" customFormat="1" ht="10.199999999999999">
      <c r="L74" s="36"/>
      <c r="N74" s="36"/>
      <c r="O74" s="36"/>
      <c r="P74" s="36"/>
      <c r="Q74" s="36"/>
      <c r="R74" s="36"/>
      <c r="S74" s="36"/>
      <c r="T74" s="36"/>
      <c r="U74" s="36"/>
      <c r="V74" s="36"/>
      <c r="W74" s="91"/>
      <c r="Y74" s="92"/>
      <c r="AQ74" s="93"/>
    </row>
    <row r="75" spans="1:44" s="38" customFormat="1" ht="10.199999999999999">
      <c r="L75" s="36"/>
      <c r="N75" s="36"/>
      <c r="O75" s="36"/>
      <c r="P75" s="36"/>
      <c r="Q75" s="36"/>
      <c r="R75" s="36"/>
      <c r="S75" s="36"/>
      <c r="T75" s="36"/>
      <c r="U75" s="36"/>
      <c r="V75" s="36"/>
      <c r="W75" s="91"/>
      <c r="Y75" s="92"/>
      <c r="AQ75" s="93"/>
    </row>
    <row r="76" spans="1:44" s="38" customFormat="1">
      <c r="A76" s="105" t="s">
        <v>155</v>
      </c>
      <c r="G76" s="171"/>
      <c r="H76" s="171"/>
      <c r="I76" s="171" t="s">
        <v>89</v>
      </c>
      <c r="J76" s="137">
        <v>3548353.07</v>
      </c>
      <c r="K76" s="137">
        <v>273208</v>
      </c>
      <c r="L76" s="148"/>
      <c r="M76" s="176">
        <f t="shared" ref="M76:M81" si="55">J76+K76+L76</f>
        <v>3821561.07</v>
      </c>
      <c r="N76" s="148">
        <f>-M76</f>
        <v>-3821561.07</v>
      </c>
      <c r="O76" s="148"/>
      <c r="P76" s="75"/>
      <c r="Q76" s="75"/>
      <c r="R76" s="75"/>
      <c r="S76" s="75"/>
      <c r="T76" s="75"/>
      <c r="U76" s="75"/>
      <c r="V76" s="75"/>
      <c r="W76" s="106"/>
      <c r="X76" s="148"/>
      <c r="Y76" s="107"/>
      <c r="AG76" s="17"/>
      <c r="AK76" s="108"/>
      <c r="AL76" s="109" t="s">
        <v>13</v>
      </c>
      <c r="AM76" s="110"/>
      <c r="AN76" s="110"/>
      <c r="AO76" s="111"/>
      <c r="AQ76" s="112"/>
      <c r="AR76" s="113"/>
    </row>
    <row r="77" spans="1:44" s="38" customFormat="1">
      <c r="A77" s="105" t="s">
        <v>77</v>
      </c>
      <c r="G77" s="170"/>
      <c r="H77" s="170"/>
      <c r="I77" s="170" t="s">
        <v>91</v>
      </c>
      <c r="J77" s="137">
        <v>5752698.1600000001</v>
      </c>
      <c r="K77" s="137">
        <v>361621</v>
      </c>
      <c r="L77" s="176"/>
      <c r="M77" s="176">
        <f t="shared" si="55"/>
        <v>6114319.1600000001</v>
      </c>
      <c r="N77" s="148">
        <f t="shared" ref="N77:N81" si="56">-M77</f>
        <v>-6114319.1600000001</v>
      </c>
      <c r="O77" s="143"/>
      <c r="P77" s="75"/>
      <c r="Q77" s="75"/>
      <c r="R77" s="75"/>
      <c r="S77" s="75"/>
      <c r="T77" s="75"/>
      <c r="U77" s="75"/>
      <c r="V77" s="75"/>
      <c r="W77" s="106"/>
      <c r="X77" s="188"/>
      <c r="Y77" s="33"/>
      <c r="AK77" s="114"/>
      <c r="AL77" s="115"/>
      <c r="AM77" s="116" t="s">
        <v>12</v>
      </c>
      <c r="AN77" s="117">
        <f>AVERAGE(AK66:AN66)+AVERAGE(AK68:AN68)</f>
        <v>26181218.266284984</v>
      </c>
      <c r="AO77" s="118"/>
      <c r="AQ77" s="93"/>
      <c r="AR77" s="113"/>
    </row>
    <row r="78" spans="1:44" s="38" customFormat="1">
      <c r="A78" s="105" t="s">
        <v>104</v>
      </c>
      <c r="G78" s="169"/>
      <c r="H78" s="169"/>
      <c r="I78" s="169" t="s">
        <v>90</v>
      </c>
      <c r="J78" s="137">
        <v>34167539.129999995</v>
      </c>
      <c r="K78" s="137">
        <v>3022617</v>
      </c>
      <c r="L78" s="176">
        <v>-300150</v>
      </c>
      <c r="M78" s="176">
        <f t="shared" si="55"/>
        <v>36890006.129999995</v>
      </c>
      <c r="N78" s="148">
        <f t="shared" si="56"/>
        <v>-36890006.129999995</v>
      </c>
      <c r="O78" s="148"/>
      <c r="P78" s="75"/>
      <c r="Q78" s="75"/>
      <c r="R78" s="75"/>
      <c r="S78" s="75"/>
      <c r="T78" s="75"/>
      <c r="U78" s="75"/>
      <c r="V78" s="75"/>
      <c r="W78" s="106"/>
      <c r="Y78" s="92"/>
      <c r="AK78" s="114"/>
      <c r="AL78" s="115"/>
      <c r="AM78" s="115"/>
      <c r="AN78" s="119"/>
      <c r="AO78" s="118"/>
      <c r="AQ78" s="93"/>
      <c r="AR78" s="113"/>
    </row>
    <row r="79" spans="1:44" s="38" customFormat="1" ht="12.6">
      <c r="A79" s="38" t="s">
        <v>85</v>
      </c>
      <c r="G79" s="168"/>
      <c r="H79" s="168"/>
      <c r="I79" s="168" t="s">
        <v>92</v>
      </c>
      <c r="J79" s="137">
        <v>5743621.75</v>
      </c>
      <c r="K79" s="137">
        <v>439075</v>
      </c>
      <c r="L79" s="176">
        <v>-4031999.99</v>
      </c>
      <c r="M79" s="176">
        <f t="shared" si="55"/>
        <v>2150696.7599999998</v>
      </c>
      <c r="N79" s="148">
        <f t="shared" si="56"/>
        <v>-2150696.7599999998</v>
      </c>
      <c r="O79" s="148"/>
      <c r="P79" s="75"/>
      <c r="Q79" s="75"/>
      <c r="R79" s="75"/>
      <c r="S79" s="75"/>
      <c r="T79" s="75"/>
      <c r="U79" s="75"/>
      <c r="V79" s="75"/>
      <c r="W79" s="106"/>
      <c r="Y79" s="92"/>
      <c r="AG79" s="17"/>
      <c r="AK79" s="114"/>
      <c r="AL79" s="115"/>
      <c r="AM79" s="116" t="s">
        <v>11</v>
      </c>
      <c r="AN79" s="121">
        <v>18468386.57</v>
      </c>
      <c r="AO79" s="118"/>
      <c r="AQ79" s="93"/>
      <c r="AR79" s="113"/>
    </row>
    <row r="80" spans="1:44" s="38" customFormat="1">
      <c r="G80" s="167"/>
      <c r="H80" s="167"/>
      <c r="I80" s="167" t="s">
        <v>93</v>
      </c>
      <c r="J80" s="137">
        <v>4277511.21</v>
      </c>
      <c r="K80" s="137">
        <v>96616</v>
      </c>
      <c r="L80" s="176"/>
      <c r="M80" s="176">
        <f t="shared" si="55"/>
        <v>4374127.21</v>
      </c>
      <c r="N80" s="148">
        <f t="shared" si="56"/>
        <v>-4374127.21</v>
      </c>
      <c r="O80" s="148"/>
      <c r="P80" s="75"/>
      <c r="Q80" s="75"/>
      <c r="R80" s="75"/>
      <c r="S80" s="75"/>
      <c r="T80" s="75"/>
      <c r="U80" s="75"/>
      <c r="V80" s="75"/>
      <c r="W80" s="106"/>
      <c r="Y80" s="92"/>
      <c r="AG80" s="122"/>
      <c r="AK80" s="114"/>
      <c r="AL80" s="115"/>
      <c r="AM80" s="120"/>
      <c r="AN80" s="121"/>
      <c r="AO80" s="118"/>
      <c r="AQ80" s="93"/>
      <c r="AR80" s="113"/>
    </row>
    <row r="81" spans="7:44" s="38" customFormat="1">
      <c r="G81" s="166"/>
      <c r="H81" s="166"/>
      <c r="I81" s="166" t="s">
        <v>88</v>
      </c>
      <c r="J81" s="137">
        <v>-3819732.77</v>
      </c>
      <c r="K81" s="137">
        <v>137137</v>
      </c>
      <c r="L81" s="176"/>
      <c r="M81" s="176">
        <f t="shared" si="55"/>
        <v>-3682595.77</v>
      </c>
      <c r="N81" s="148">
        <f t="shared" si="56"/>
        <v>3682595.77</v>
      </c>
      <c r="O81" s="148"/>
      <c r="P81" s="75"/>
      <c r="Q81" s="75"/>
      <c r="R81" s="75"/>
      <c r="S81" s="75"/>
      <c r="T81" s="75"/>
      <c r="U81" s="75"/>
      <c r="V81" s="75"/>
      <c r="W81" s="106"/>
      <c r="X81" s="123"/>
      <c r="Y81" s="124"/>
      <c r="AK81" s="125"/>
      <c r="AL81" s="126"/>
      <c r="AM81" s="127" t="s">
        <v>14</v>
      </c>
      <c r="AN81" s="128">
        <f>AN77-AN79</f>
        <v>7712831.6962849833</v>
      </c>
      <c r="AO81" s="129">
        <f>AN81/AN79</f>
        <v>0.41762347062919331</v>
      </c>
      <c r="AQ81" s="93"/>
      <c r="AR81" s="113"/>
    </row>
    <row r="82" spans="7:44" s="38" customFormat="1" ht="10.8" thickBot="1">
      <c r="J82" s="103">
        <f>SUM(J76:J81)</f>
        <v>49669990.549999997</v>
      </c>
      <c r="K82" s="103">
        <f>SUM(K76:K81)</f>
        <v>4330274</v>
      </c>
      <c r="L82" s="103">
        <f>SUM(L76:L81)</f>
        <v>-4332149.99</v>
      </c>
      <c r="M82" s="103">
        <f>SUM(M76:M81)</f>
        <v>49668114.559999995</v>
      </c>
      <c r="N82" s="103">
        <f>SUM(N76:N81)</f>
        <v>-49668114.559999995</v>
      </c>
      <c r="O82" s="138"/>
      <c r="P82" s="131"/>
      <c r="Q82" s="131"/>
      <c r="R82" s="131"/>
      <c r="S82" s="131"/>
      <c r="T82" s="131"/>
      <c r="U82" s="131"/>
      <c r="V82" s="131"/>
      <c r="W82" s="132"/>
      <c r="X82" s="28"/>
      <c r="Y82" s="31"/>
      <c r="AQ82" s="93"/>
    </row>
    <row r="83" spans="7:44" s="38" customFormat="1" ht="12.6" thickTop="1">
      <c r="J83" s="176"/>
      <c r="K83" s="176"/>
      <c r="L83" s="176"/>
      <c r="M83" s="176"/>
      <c r="N83" s="176"/>
      <c r="O83" s="176"/>
      <c r="P83" s="36"/>
      <c r="Q83" s="36"/>
      <c r="R83" s="36"/>
      <c r="S83" s="36"/>
      <c r="T83" s="36"/>
      <c r="U83" s="36"/>
      <c r="V83" s="36"/>
      <c r="W83" s="91"/>
      <c r="X83" s="93"/>
      <c r="Y83" s="133"/>
      <c r="AI83" s="113"/>
      <c r="AJ83" s="113"/>
      <c r="AK83" s="113"/>
      <c r="AL83" s="113"/>
      <c r="AM83" s="113"/>
      <c r="AN83" s="113"/>
      <c r="AO83" s="113"/>
      <c r="AQ83" s="93"/>
    </row>
    <row r="84" spans="7:44" s="38" customFormat="1">
      <c r="J84" s="176">
        <f>J66+J82</f>
        <v>365929481.31</v>
      </c>
      <c r="K84" s="176">
        <f>K66+K82</f>
        <v>19974851</v>
      </c>
      <c r="L84" s="192">
        <f>L66+L82</f>
        <v>-11352254.109999999</v>
      </c>
      <c r="M84" s="176">
        <f>M66+M82</f>
        <v>374552078.19999999</v>
      </c>
      <c r="N84" s="176">
        <f>176014234.31-30000000</f>
        <v>146014234.31</v>
      </c>
      <c r="O84" s="176"/>
      <c r="P84" s="36"/>
      <c r="Q84" s="36"/>
      <c r="R84" s="36"/>
      <c r="S84" s="36"/>
      <c r="T84" s="36"/>
      <c r="U84" s="36"/>
      <c r="V84" s="36"/>
      <c r="W84" s="91"/>
      <c r="X84" s="130"/>
      <c r="Y84" s="134"/>
      <c r="AI84" s="113"/>
      <c r="AJ84" s="113"/>
      <c r="AK84" s="113"/>
      <c r="AL84" s="113"/>
      <c r="AM84" s="113"/>
      <c r="AN84" s="113"/>
      <c r="AO84" s="113"/>
    </row>
    <row r="85" spans="7:44">
      <c r="J85" s="139"/>
      <c r="K85" s="139"/>
      <c r="L85" s="139"/>
      <c r="M85" s="139"/>
      <c r="N85" s="176"/>
      <c r="O85" s="176"/>
      <c r="P85" s="36"/>
      <c r="Q85" s="36"/>
      <c r="R85" s="36"/>
      <c r="S85" s="36"/>
      <c r="T85" s="36"/>
      <c r="U85" s="36"/>
      <c r="V85" s="36"/>
      <c r="AP85" s="38"/>
      <c r="AQ85" s="38"/>
    </row>
    <row r="86" spans="7:44">
      <c r="J86" s="176" t="s">
        <v>97</v>
      </c>
      <c r="K86" s="137">
        <f>J84+K84</f>
        <v>385904332.31</v>
      </c>
      <c r="L86" s="139"/>
      <c r="M86" s="139"/>
      <c r="N86" s="139"/>
      <c r="O86" s="139"/>
    </row>
    <row r="87" spans="7:44">
      <c r="J87" s="139"/>
      <c r="K87" s="139"/>
      <c r="L87" s="139"/>
      <c r="M87" s="139"/>
      <c r="N87" s="139"/>
      <c r="O87" s="139"/>
    </row>
    <row r="90" spans="7:44">
      <c r="AQ90" s="235"/>
    </row>
  </sheetData>
  <autoFilter ref="A11:AO64">
    <sortState ref="A6:AO58">
      <sortCondition ref="A5:A58"/>
    </sortState>
  </autoFilter>
  <mergeCells count="5">
    <mergeCell ref="Z7:AC7"/>
    <mergeCell ref="AD7:AG7"/>
    <mergeCell ref="B9:F9"/>
    <mergeCell ref="B10:F10"/>
    <mergeCell ref="AK10:AO10"/>
  </mergeCells>
  <pageMargins left="0.7" right="0.7" top="0.75" bottom="0.75" header="0.3" footer="0.3"/>
  <pageSetup paperSize="17" scale="41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selection activeCell="A2" sqref="A1:A2"/>
    </sheetView>
  </sheetViews>
  <sheetFormatPr defaultColWidth="8.88671875" defaultRowHeight="12"/>
  <cols>
    <col min="1" max="1" width="7.33203125" style="268" customWidth="1"/>
    <col min="2" max="2" width="2.33203125" style="5" customWidth="1"/>
    <col min="3" max="4" width="14.44140625" style="5" customWidth="1"/>
    <col min="5" max="5" width="2.33203125" style="5" customWidth="1"/>
    <col min="6" max="7" width="14.44140625" style="5" customWidth="1"/>
    <col min="8" max="8" width="2.33203125" style="5" customWidth="1"/>
    <col min="9" max="10" width="14.44140625" style="5" customWidth="1"/>
    <col min="11" max="11" width="2.33203125" style="5" customWidth="1"/>
    <col min="12" max="13" width="14.44140625" style="5" customWidth="1"/>
    <col min="14" max="16384" width="8.88671875" style="6"/>
  </cols>
  <sheetData>
    <row r="1" spans="1:16" ht="12.6">
      <c r="A1" s="288" t="s">
        <v>159</v>
      </c>
    </row>
    <row r="2" spans="1:16" ht="12.6">
      <c r="A2" s="288" t="s">
        <v>157</v>
      </c>
    </row>
    <row r="7" spans="1:16" ht="13.8">
      <c r="A7" s="242" t="s">
        <v>1</v>
      </c>
      <c r="B7" s="243"/>
      <c r="C7" s="11"/>
      <c r="D7" s="243"/>
      <c r="E7" s="243"/>
      <c r="F7" s="243"/>
      <c r="G7" s="243"/>
      <c r="H7" s="243"/>
      <c r="I7" s="243"/>
      <c r="J7" s="243"/>
      <c r="K7" s="243"/>
      <c r="L7" s="243"/>
      <c r="M7" s="243"/>
      <c r="O7" s="244"/>
      <c r="P7" s="245"/>
    </row>
    <row r="8" spans="1:16" ht="13.8">
      <c r="A8" s="246" t="s">
        <v>2</v>
      </c>
      <c r="B8" s="243"/>
      <c r="C8" s="11"/>
      <c r="D8" s="243"/>
      <c r="E8" s="243"/>
      <c r="F8" s="243"/>
      <c r="G8" s="243"/>
      <c r="H8" s="243"/>
      <c r="I8" s="243"/>
      <c r="J8" s="243"/>
      <c r="K8" s="243"/>
      <c r="L8" s="243"/>
      <c r="M8" s="243"/>
    </row>
    <row r="9" spans="1:16" ht="13.8">
      <c r="A9" s="247" t="s">
        <v>3</v>
      </c>
      <c r="B9" s="243"/>
      <c r="C9" s="11"/>
      <c r="D9" s="11"/>
      <c r="E9" s="243"/>
      <c r="F9" s="243"/>
      <c r="G9" s="243"/>
      <c r="H9" s="243"/>
      <c r="I9" s="243"/>
      <c r="J9" s="243"/>
      <c r="K9" s="243"/>
      <c r="L9" s="243"/>
      <c r="M9" s="243"/>
    </row>
    <row r="10" spans="1:16" ht="13.8">
      <c r="A10" s="248" t="s">
        <v>125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</row>
    <row r="11" spans="1:16" ht="12" customHeight="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50"/>
    </row>
    <row r="12" spans="1:16" ht="13.8">
      <c r="A12" s="251"/>
      <c r="B12" s="252"/>
      <c r="C12" s="284" t="s">
        <v>79</v>
      </c>
      <c r="D12" s="284"/>
      <c r="E12" s="252"/>
      <c r="F12" s="284" t="s">
        <v>80</v>
      </c>
      <c r="G12" s="284"/>
      <c r="H12" s="252"/>
      <c r="I12" s="284" t="s">
        <v>81</v>
      </c>
      <c r="J12" s="284"/>
      <c r="K12" s="252"/>
      <c r="L12" s="284" t="s">
        <v>82</v>
      </c>
      <c r="M12" s="284"/>
    </row>
    <row r="13" spans="1:16">
      <c r="A13" s="253"/>
      <c r="B13" s="11"/>
      <c r="C13" s="285" t="s">
        <v>83</v>
      </c>
      <c r="D13" s="285"/>
      <c r="E13" s="11"/>
      <c r="F13" s="285" t="s">
        <v>22</v>
      </c>
      <c r="G13" s="285"/>
      <c r="H13" s="11"/>
      <c r="I13" s="285" t="s">
        <v>23</v>
      </c>
      <c r="J13" s="285"/>
      <c r="K13" s="11"/>
      <c r="L13" s="285" t="s">
        <v>24</v>
      </c>
      <c r="M13" s="285"/>
    </row>
    <row r="14" spans="1:16">
      <c r="A14" s="25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6">
      <c r="A15" s="254" t="s">
        <v>25</v>
      </c>
      <c r="B15" s="11"/>
      <c r="C15" s="255" t="s">
        <v>26</v>
      </c>
      <c r="D15" s="256" t="s">
        <v>27</v>
      </c>
      <c r="E15" s="11"/>
      <c r="F15" s="255" t="s">
        <v>26</v>
      </c>
      <c r="G15" s="256" t="s">
        <v>27</v>
      </c>
      <c r="H15" s="11"/>
      <c r="I15" s="255" t="s">
        <v>26</v>
      </c>
      <c r="J15" s="256" t="s">
        <v>27</v>
      </c>
      <c r="K15" s="11"/>
      <c r="L15" s="255" t="s">
        <v>26</v>
      </c>
      <c r="M15" s="256" t="s">
        <v>27</v>
      </c>
    </row>
    <row r="16" spans="1:16">
      <c r="A16" s="257"/>
      <c r="B16" s="11"/>
      <c r="C16" s="258" t="s">
        <v>28</v>
      </c>
      <c r="D16" s="259" t="s">
        <v>29</v>
      </c>
      <c r="E16" s="11"/>
      <c r="F16" s="258" t="s">
        <v>28</v>
      </c>
      <c r="G16" s="259" t="s">
        <v>29</v>
      </c>
      <c r="H16" s="11"/>
      <c r="I16" s="258" t="s">
        <v>28</v>
      </c>
      <c r="J16" s="259" t="s">
        <v>29</v>
      </c>
      <c r="K16" s="11"/>
      <c r="L16" s="258" t="s">
        <v>28</v>
      </c>
      <c r="M16" s="259" t="s">
        <v>29</v>
      </c>
    </row>
    <row r="17" spans="1:13">
      <c r="A17" s="260" t="s">
        <v>7</v>
      </c>
      <c r="B17" s="261"/>
      <c r="C17" s="262" t="s">
        <v>30</v>
      </c>
      <c r="D17" s="263" t="s">
        <v>84</v>
      </c>
      <c r="E17" s="261"/>
      <c r="F17" s="262" t="s">
        <v>30</v>
      </c>
      <c r="G17" s="263" t="s">
        <v>84</v>
      </c>
      <c r="H17" s="261"/>
      <c r="I17" s="262" t="s">
        <v>30</v>
      </c>
      <c r="J17" s="263" t="s">
        <v>84</v>
      </c>
      <c r="K17" s="261"/>
      <c r="L17" s="262" t="s">
        <v>30</v>
      </c>
      <c r="M17" s="263" t="s">
        <v>84</v>
      </c>
    </row>
    <row r="18" spans="1:13">
      <c r="A18" s="10">
        <v>2015</v>
      </c>
      <c r="B18" s="11"/>
      <c r="C18" s="12">
        <v>2.6559291740199553E-2</v>
      </c>
      <c r="D18" s="9">
        <v>1</v>
      </c>
      <c r="E18" s="11"/>
      <c r="F18" s="12">
        <v>-7.2742768722919959E-2</v>
      </c>
      <c r="G18" s="9">
        <v>1</v>
      </c>
      <c r="H18" s="11"/>
      <c r="I18" s="12">
        <v>1.0544245163047306E-2</v>
      </c>
      <c r="J18" s="9">
        <v>1</v>
      </c>
      <c r="K18" s="11"/>
      <c r="L18" s="12">
        <v>-4.9713993396270251E-2</v>
      </c>
      <c r="M18" s="9">
        <v>1</v>
      </c>
    </row>
    <row r="19" spans="1:13">
      <c r="A19" s="10">
        <v>2016</v>
      </c>
      <c r="B19" s="11"/>
      <c r="C19" s="12">
        <v>3.4593385014100031E-2</v>
      </c>
      <c r="D19" s="13">
        <f t="shared" ref="D19:D78" si="0">D18*(1+C19)</f>
        <v>1.0345933850141</v>
      </c>
      <c r="E19" s="11"/>
      <c r="F19" s="12">
        <v>9.18780144907827E-3</v>
      </c>
      <c r="G19" s="13">
        <f t="shared" ref="G19:G78" si="1">G18*(1+F19)</f>
        <v>1.0091878014490783</v>
      </c>
      <c r="H19" s="11"/>
      <c r="I19" s="12">
        <v>1.9523688150854257E-2</v>
      </c>
      <c r="J19" s="13">
        <f t="shared" ref="J19:J78" si="2">J18*(1+I19)</f>
        <v>1.0195236881508543</v>
      </c>
      <c r="K19" s="11"/>
      <c r="L19" s="12">
        <v>-5.5299990212392958E-3</v>
      </c>
      <c r="M19" s="13">
        <f t="shared" ref="M19:M78" si="3">M18*(1+L19)</f>
        <v>0.9944700009787607</v>
      </c>
    </row>
    <row r="20" spans="1:13">
      <c r="A20" s="10">
        <v>2017</v>
      </c>
      <c r="B20" s="11"/>
      <c r="C20" s="12">
        <v>3.7070677146157971E-2</v>
      </c>
      <c r="D20" s="13">
        <f t="shared" si="0"/>
        <v>1.0729464623675085</v>
      </c>
      <c r="E20" s="11"/>
      <c r="F20" s="12">
        <v>2.6233557809785646E-2</v>
      </c>
      <c r="G20" s="13">
        <f t="shared" si="1"/>
        <v>1.0356623879793232</v>
      </c>
      <c r="H20" s="11"/>
      <c r="I20" s="12">
        <v>1.9803044830150718E-2</v>
      </c>
      <c r="J20" s="13">
        <f t="shared" si="2"/>
        <v>1.0397133614527063</v>
      </c>
      <c r="K20" s="11"/>
      <c r="L20" s="12">
        <v>1.8158555189213166E-2</v>
      </c>
      <c r="M20" s="13">
        <f t="shared" si="3"/>
        <v>1.0125281393755503</v>
      </c>
    </row>
    <row r="21" spans="1:13">
      <c r="A21" s="10">
        <v>2018</v>
      </c>
      <c r="B21" s="11"/>
      <c r="C21" s="12">
        <v>3.9061796584809239E-2</v>
      </c>
      <c r="D21" s="13">
        <f t="shared" si="0"/>
        <v>1.1148576788268987</v>
      </c>
      <c r="E21" s="11"/>
      <c r="F21" s="12">
        <v>2.440992189954172E-2</v>
      </c>
      <c r="G21" s="13">
        <f t="shared" si="1"/>
        <v>1.0609428259841913</v>
      </c>
      <c r="H21" s="11"/>
      <c r="I21" s="12">
        <v>1.9355894525037609E-2</v>
      </c>
      <c r="J21" s="13">
        <f t="shared" si="2"/>
        <v>1.0598379436132572</v>
      </c>
      <c r="K21" s="11"/>
      <c r="L21" s="12">
        <v>2.7839536007733034E-2</v>
      </c>
      <c r="M21" s="13">
        <f t="shared" si="3"/>
        <v>1.0407164529705388</v>
      </c>
    </row>
    <row r="22" spans="1:13">
      <c r="A22" s="10">
        <v>2019</v>
      </c>
      <c r="B22" s="11"/>
      <c r="C22" s="12">
        <v>3.8906510387844095E-2</v>
      </c>
      <c r="D22" s="13">
        <f t="shared" si="0"/>
        <v>1.1582329006891452</v>
      </c>
      <c r="E22" s="11"/>
      <c r="F22" s="12">
        <v>1.9807738502015226E-2</v>
      </c>
      <c r="G22" s="13">
        <f t="shared" si="1"/>
        <v>1.0819577040468753</v>
      </c>
      <c r="H22" s="11"/>
      <c r="I22" s="12">
        <v>1.9601010672398722E-2</v>
      </c>
      <c r="J22" s="13">
        <f t="shared" si="2"/>
        <v>1.0806118384570338</v>
      </c>
      <c r="K22" s="11"/>
      <c r="L22" s="12">
        <v>1.6552243017022628E-2</v>
      </c>
      <c r="M22" s="13">
        <f t="shared" si="3"/>
        <v>1.0579426446119209</v>
      </c>
    </row>
    <row r="23" spans="1:13">
      <c r="A23" s="10">
        <v>2020</v>
      </c>
      <c r="B23" s="11"/>
      <c r="C23" s="12">
        <v>3.8717272127567703E-2</v>
      </c>
      <c r="D23" s="13">
        <f t="shared" si="0"/>
        <v>1.203076519092229</v>
      </c>
      <c r="E23" s="11"/>
      <c r="F23" s="12">
        <v>5.4803357051100843E-3</v>
      </c>
      <c r="G23" s="13">
        <f t="shared" si="1"/>
        <v>1.0878871954837823</v>
      </c>
      <c r="H23" s="11"/>
      <c r="I23" s="12">
        <v>1.9326491572426496E-2</v>
      </c>
      <c r="J23" s="13">
        <f t="shared" si="2"/>
        <v>1.1014962740460379</v>
      </c>
      <c r="K23" s="11"/>
      <c r="L23" s="12">
        <v>1.3923582200018547E-2</v>
      </c>
      <c r="M23" s="13">
        <f t="shared" si="3"/>
        <v>1.07267299598708</v>
      </c>
    </row>
    <row r="24" spans="1:13">
      <c r="A24" s="10">
        <v>2021</v>
      </c>
      <c r="B24" s="11"/>
      <c r="C24" s="12">
        <v>3.8522576423023258E-2</v>
      </c>
      <c r="D24" s="13">
        <f t="shared" si="0"/>
        <v>1.2494221262417042</v>
      </c>
      <c r="E24" s="11"/>
      <c r="F24" s="12">
        <v>1.0928786730296292E-2</v>
      </c>
      <c r="G24" s="13">
        <f t="shared" si="1"/>
        <v>1.0997764826298446</v>
      </c>
      <c r="H24" s="11"/>
      <c r="I24" s="12">
        <v>2.0044475546225016E-2</v>
      </c>
      <c r="J24" s="13">
        <f t="shared" si="2"/>
        <v>1.1235751891754118</v>
      </c>
      <c r="K24" s="11"/>
      <c r="L24" s="12">
        <v>1.4462338610337966E-2</v>
      </c>
      <c r="M24" s="13">
        <f t="shared" si="3"/>
        <v>1.0881863560732108</v>
      </c>
    </row>
    <row r="25" spans="1:13">
      <c r="A25" s="10">
        <v>2022</v>
      </c>
      <c r="B25" s="11"/>
      <c r="C25" s="12">
        <v>3.8789924460338687E-2</v>
      </c>
      <c r="D25" s="13">
        <f t="shared" si="0"/>
        <v>1.2978871161376957</v>
      </c>
      <c r="E25" s="11"/>
      <c r="F25" s="12">
        <v>1.9001132301573076E-2</v>
      </c>
      <c r="G25" s="13">
        <f t="shared" si="1"/>
        <v>1.1206734810784529</v>
      </c>
      <c r="H25" s="11"/>
      <c r="I25" s="12">
        <v>2.1086697616670813E-2</v>
      </c>
      <c r="J25" s="13">
        <f t="shared" si="2"/>
        <v>1.1472676794391474</v>
      </c>
      <c r="K25" s="11"/>
      <c r="L25" s="12">
        <v>1.3941356359057355E-2</v>
      </c>
      <c r="M25" s="13">
        <f t="shared" si="3"/>
        <v>1.1033571498482915</v>
      </c>
    </row>
    <row r="26" spans="1:13">
      <c r="A26" s="10">
        <v>2023</v>
      </c>
      <c r="B26" s="11"/>
      <c r="C26" s="12">
        <v>3.9296152362057413E-2</v>
      </c>
      <c r="D26" s="13">
        <f t="shared" si="0"/>
        <v>1.3488890860021938</v>
      </c>
      <c r="E26" s="11"/>
      <c r="F26" s="12">
        <v>2.0324919969585187E-2</v>
      </c>
      <c r="G26" s="13">
        <f t="shared" si="1"/>
        <v>1.1434510798934088</v>
      </c>
      <c r="H26" s="11"/>
      <c r="I26" s="12">
        <v>2.155084203879376E-2</v>
      </c>
      <c r="J26" s="13">
        <f t="shared" si="2"/>
        <v>1.171992263974954</v>
      </c>
      <c r="K26" s="11"/>
      <c r="L26" s="12">
        <v>1.3882728643661801E-2</v>
      </c>
      <c r="M26" s="13">
        <f t="shared" si="3"/>
        <v>1.1186747577566793</v>
      </c>
    </row>
    <row r="27" spans="1:13">
      <c r="A27" s="10">
        <v>2024</v>
      </c>
      <c r="B27" s="11"/>
      <c r="C27" s="12">
        <v>3.9500866580464367E-2</v>
      </c>
      <c r="D27" s="13">
        <f t="shared" si="0"/>
        <v>1.4021713738202111</v>
      </c>
      <c r="E27" s="11"/>
      <c r="F27" s="12">
        <v>1.4319737179607772E-2</v>
      </c>
      <c r="G27" s="13">
        <f t="shared" si="1"/>
        <v>1.1598249988352212</v>
      </c>
      <c r="H27" s="11"/>
      <c r="I27" s="12">
        <v>2.1202796821227166E-2</v>
      </c>
      <c r="J27" s="13">
        <f t="shared" si="2"/>
        <v>1.196841777824065</v>
      </c>
      <c r="K27" s="11"/>
      <c r="L27" s="12">
        <v>1.2730215669976896E-2</v>
      </c>
      <c r="M27" s="13">
        <f t="shared" si="3"/>
        <v>1.1329157286874811</v>
      </c>
    </row>
    <row r="28" spans="1:13">
      <c r="A28" s="10">
        <v>2025</v>
      </c>
      <c r="B28" s="11"/>
      <c r="C28" s="12">
        <v>3.9805247708048164E-2</v>
      </c>
      <c r="D28" s="13">
        <f t="shared" si="0"/>
        <v>1.4579851526842587</v>
      </c>
      <c r="E28" s="11"/>
      <c r="F28" s="12">
        <v>8.84575811419408E-3</v>
      </c>
      <c r="G28" s="13">
        <f t="shared" si="1"/>
        <v>1.1700845302297129</v>
      </c>
      <c r="H28" s="11"/>
      <c r="I28" s="12">
        <v>2.1006067732589173E-2</v>
      </c>
      <c r="J28" s="13">
        <f t="shared" si="2"/>
        <v>1.2219827172742297</v>
      </c>
      <c r="K28" s="11"/>
      <c r="L28" s="12">
        <v>1.3520518358531186E-2</v>
      </c>
      <c r="M28" s="13">
        <f t="shared" si="3"/>
        <v>1.148233336595869</v>
      </c>
    </row>
    <row r="29" spans="1:13">
      <c r="A29" s="10">
        <v>2026</v>
      </c>
      <c r="B29" s="11"/>
      <c r="C29" s="12">
        <v>3.8957139286026177E-2</v>
      </c>
      <c r="D29" s="13">
        <f t="shared" si="0"/>
        <v>1.5147840833543376</v>
      </c>
      <c r="E29" s="11"/>
      <c r="F29" s="12">
        <v>7.7536776887037195E-3</v>
      </c>
      <c r="G29" s="13">
        <f t="shared" si="1"/>
        <v>1.1791569885456523</v>
      </c>
      <c r="H29" s="11"/>
      <c r="I29" s="12">
        <v>2.0789762003819545E-2</v>
      </c>
      <c r="J29" s="13">
        <f t="shared" si="2"/>
        <v>1.2473874471391417</v>
      </c>
      <c r="K29" s="11"/>
      <c r="L29" s="12">
        <v>1.7133358905510709E-2</v>
      </c>
      <c r="M29" s="13">
        <f t="shared" si="3"/>
        <v>1.1679064304590381</v>
      </c>
    </row>
    <row r="30" spans="1:13">
      <c r="A30" s="10">
        <v>2027</v>
      </c>
      <c r="B30" s="11"/>
      <c r="C30" s="12">
        <v>3.8758693300951164E-2</v>
      </c>
      <c r="D30" s="13">
        <f t="shared" si="0"/>
        <v>1.5734951350582307</v>
      </c>
      <c r="E30" s="11"/>
      <c r="F30" s="12">
        <v>9.8725158085808395E-3</v>
      </c>
      <c r="G30" s="13">
        <f t="shared" si="1"/>
        <v>1.1907982345558679</v>
      </c>
      <c r="H30" s="11"/>
      <c r="I30" s="12">
        <v>2.0582585208588799E-2</v>
      </c>
      <c r="J30" s="13">
        <f t="shared" si="2"/>
        <v>1.2730619055580072</v>
      </c>
      <c r="K30" s="11"/>
      <c r="L30" s="12">
        <v>2.0657867169495026E-2</v>
      </c>
      <c r="M30" s="13">
        <f t="shared" si="3"/>
        <v>1.19203288636586</v>
      </c>
    </row>
    <row r="31" spans="1:13">
      <c r="A31" s="10">
        <v>2028</v>
      </c>
      <c r="B31" s="11"/>
      <c r="C31" s="12">
        <v>3.8633622100036513E-2</v>
      </c>
      <c r="D31" s="13">
        <f t="shared" si="0"/>
        <v>1.6342849514823163</v>
      </c>
      <c r="E31" s="11"/>
      <c r="F31" s="12">
        <v>1.1846764270108556E-2</v>
      </c>
      <c r="G31" s="13">
        <f t="shared" si="1"/>
        <v>1.2049053405339127</v>
      </c>
      <c r="H31" s="11"/>
      <c r="I31" s="12">
        <v>2.0718250628669832E-2</v>
      </c>
      <c r="J31" s="13">
        <f t="shared" si="2"/>
        <v>1.2994375211831701</v>
      </c>
      <c r="K31" s="11"/>
      <c r="L31" s="12">
        <v>2.1881927908695253E-2</v>
      </c>
      <c r="M31" s="13">
        <f t="shared" si="3"/>
        <v>1.2181168640501117</v>
      </c>
    </row>
    <row r="32" spans="1:13">
      <c r="A32" s="10">
        <v>2029</v>
      </c>
      <c r="B32" s="11"/>
      <c r="C32" s="12">
        <v>3.8493677756342493E-2</v>
      </c>
      <c r="D32" s="13">
        <f t="shared" si="0"/>
        <v>1.6971945897667164</v>
      </c>
      <c r="E32" s="11"/>
      <c r="F32" s="12">
        <v>1.0746682538599339E-2</v>
      </c>
      <c r="G32" s="13">
        <f t="shared" si="1"/>
        <v>1.2178540757176937</v>
      </c>
      <c r="H32" s="11"/>
      <c r="I32" s="12">
        <v>2.1138204808951677E-2</v>
      </c>
      <c r="J32" s="13">
        <f t="shared" si="2"/>
        <v>1.3269052976423765</v>
      </c>
      <c r="K32" s="11"/>
      <c r="L32" s="12">
        <v>2.2056164878871964E-2</v>
      </c>
      <c r="M32" s="13">
        <f t="shared" si="3"/>
        <v>1.2449838504453354</v>
      </c>
    </row>
    <row r="33" spans="1:13">
      <c r="A33" s="10">
        <v>2030</v>
      </c>
      <c r="B33" s="11"/>
      <c r="C33" s="12">
        <v>3.8487520843871081E-2</v>
      </c>
      <c r="D33" s="13">
        <f t="shared" si="0"/>
        <v>1.7625154019164682</v>
      </c>
      <c r="E33" s="11"/>
      <c r="F33" s="12">
        <v>9.6923334441574305E-3</v>
      </c>
      <c r="G33" s="13">
        <f t="shared" si="1"/>
        <v>1.2296579235058758</v>
      </c>
      <c r="H33" s="11"/>
      <c r="I33" s="12">
        <v>2.1451944405191048E-2</v>
      </c>
      <c r="J33" s="13">
        <f t="shared" si="2"/>
        <v>1.3553699963183543</v>
      </c>
      <c r="K33" s="11"/>
      <c r="L33" s="12">
        <v>2.1422955974842672E-2</v>
      </c>
      <c r="M33" s="13">
        <f t="shared" si="3"/>
        <v>1.2716550846628161</v>
      </c>
    </row>
    <row r="34" spans="1:13">
      <c r="A34" s="10">
        <v>2031</v>
      </c>
      <c r="B34" s="11"/>
      <c r="C34" s="12">
        <v>3.8691006355322521E-2</v>
      </c>
      <c r="D34" s="13">
        <f t="shared" si="0"/>
        <v>1.830708896533372</v>
      </c>
      <c r="E34" s="11"/>
      <c r="F34" s="12">
        <v>1.1963969128182539E-2</v>
      </c>
      <c r="G34" s="13">
        <f t="shared" si="1"/>
        <v>1.2443695129409251</v>
      </c>
      <c r="H34" s="11"/>
      <c r="I34" s="12">
        <v>2.2149127426191573E-2</v>
      </c>
      <c r="J34" s="13">
        <f t="shared" si="2"/>
        <v>1.3853902590764464</v>
      </c>
      <c r="K34" s="11"/>
      <c r="L34" s="12">
        <v>2.2089667115643641E-2</v>
      </c>
      <c r="M34" s="13">
        <f t="shared" si="3"/>
        <v>1.2997455221689334</v>
      </c>
    </row>
    <row r="35" spans="1:13">
      <c r="A35" s="10">
        <v>2032</v>
      </c>
      <c r="B35" s="11"/>
      <c r="C35" s="12">
        <v>3.870956290555827E-2</v>
      </c>
      <c r="D35" s="13">
        <f t="shared" si="0"/>
        <v>1.9015748377254957</v>
      </c>
      <c r="E35" s="11"/>
      <c r="F35" s="12">
        <v>9.4439658455627296E-3</v>
      </c>
      <c r="G35" s="13">
        <f t="shared" si="1"/>
        <v>1.2561212961203987</v>
      </c>
      <c r="H35" s="11"/>
      <c r="I35" s="12">
        <v>2.2070598615407055E-2</v>
      </c>
      <c r="J35" s="13">
        <f t="shared" si="2"/>
        <v>1.4159666514102174</v>
      </c>
      <c r="K35" s="11"/>
      <c r="L35" s="12">
        <v>2.0934523137166261E-2</v>
      </c>
      <c r="M35" s="13">
        <f t="shared" si="3"/>
        <v>1.326955074875207</v>
      </c>
    </row>
    <row r="36" spans="1:13">
      <c r="A36" s="10">
        <v>2033</v>
      </c>
      <c r="B36" s="11"/>
      <c r="C36" s="12">
        <v>3.8738865849375248E-2</v>
      </c>
      <c r="D36" s="13">
        <f t="shared" si="0"/>
        <v>1.9752396902666913</v>
      </c>
      <c r="E36" s="11"/>
      <c r="F36" s="12">
        <v>9.9434395139490483E-3</v>
      </c>
      <c r="G36" s="13">
        <f t="shared" si="1"/>
        <v>1.2686114622505551</v>
      </c>
      <c r="H36" s="11"/>
      <c r="I36" s="12">
        <v>2.222628688520345E-2</v>
      </c>
      <c r="J36" s="13">
        <f t="shared" si="2"/>
        <v>1.4474383324243418</v>
      </c>
      <c r="K36" s="11"/>
      <c r="L36" s="12">
        <v>2.0689655172413834E-2</v>
      </c>
      <c r="M36" s="13">
        <f t="shared" si="3"/>
        <v>1.3544093178036596</v>
      </c>
    </row>
    <row r="37" spans="1:13">
      <c r="A37" s="10">
        <v>2034</v>
      </c>
      <c r="B37" s="11"/>
      <c r="C37" s="12">
        <v>3.8844517223510122E-2</v>
      </c>
      <c r="D37" s="13">
        <f t="shared" si="0"/>
        <v>2.0519669224358168</v>
      </c>
      <c r="E37" s="11"/>
      <c r="F37" s="12">
        <v>1.1105277729809293E-2</v>
      </c>
      <c r="G37" s="13">
        <f t="shared" si="1"/>
        <v>1.282699744870067</v>
      </c>
      <c r="H37" s="11"/>
      <c r="I37" s="12">
        <v>2.2379383656901064E-2</v>
      </c>
      <c r="J37" s="13">
        <f t="shared" si="2"/>
        <v>1.4798311101853712</v>
      </c>
      <c r="K37" s="11"/>
      <c r="L37" s="12">
        <v>2.0487064604711724E-2</v>
      </c>
      <c r="M37" s="13">
        <f t="shared" si="3"/>
        <v>1.3821571889987267</v>
      </c>
    </row>
    <row r="38" spans="1:13">
      <c r="A38" s="10">
        <v>2035</v>
      </c>
      <c r="B38" s="11"/>
      <c r="C38" s="12">
        <v>3.8751347375642897E-2</v>
      </c>
      <c r="D38" s="13">
        <f t="shared" si="0"/>
        <v>2.1314834054504561</v>
      </c>
      <c r="E38" s="11"/>
      <c r="F38" s="12">
        <v>1.012737932060892E-2</v>
      </c>
      <c r="G38" s="13">
        <f t="shared" si="1"/>
        <v>1.2956901317408145</v>
      </c>
      <c r="H38" s="11"/>
      <c r="I38" s="12">
        <v>2.2105733473984035E-2</v>
      </c>
      <c r="J38" s="13">
        <f t="shared" si="2"/>
        <v>1.5125438622936389</v>
      </c>
      <c r="K38" s="11"/>
      <c r="L38" s="12">
        <v>1.9650886945437707E-2</v>
      </c>
      <c r="M38" s="13">
        <f t="shared" si="3"/>
        <v>1.4093178036605647</v>
      </c>
    </row>
    <row r="39" spans="1:13">
      <c r="A39" s="10">
        <v>2036</v>
      </c>
      <c r="B39" s="11"/>
      <c r="C39" s="12">
        <v>3.8744600650548522E-2</v>
      </c>
      <c r="D39" s="13">
        <f t="shared" si="0"/>
        <v>2.2140668787879054</v>
      </c>
      <c r="E39" s="11"/>
      <c r="F39" s="12">
        <v>1.0245407375955473E-2</v>
      </c>
      <c r="G39" s="13">
        <f t="shared" si="1"/>
        <v>1.3089650049735047</v>
      </c>
      <c r="H39" s="11"/>
      <c r="I39" s="12">
        <v>2.2168661818547486E-2</v>
      </c>
      <c r="J39" s="13">
        <f t="shared" si="2"/>
        <v>1.5460749356625463</v>
      </c>
      <c r="K39" s="11"/>
      <c r="L39" s="12">
        <v>1.9480519480519654E-2</v>
      </c>
      <c r="M39" s="13">
        <f t="shared" si="3"/>
        <v>1.4367720465890175</v>
      </c>
    </row>
    <row r="40" spans="1:13">
      <c r="A40" s="10">
        <v>2037</v>
      </c>
      <c r="B40" s="11"/>
      <c r="C40" s="12">
        <v>3.8802485182092283E-2</v>
      </c>
      <c r="D40" s="13">
        <f t="shared" si="0"/>
        <v>2.2999781760442346</v>
      </c>
      <c r="E40" s="11"/>
      <c r="F40" s="12">
        <v>1.0860724391653198E-2</v>
      </c>
      <c r="G40" s="13">
        <f t="shared" si="1"/>
        <v>1.3231813131308408</v>
      </c>
      <c r="H40" s="11"/>
      <c r="I40" s="12">
        <v>2.2254829489890771E-2</v>
      </c>
      <c r="J40" s="13">
        <f t="shared" si="2"/>
        <v>1.5804825697343101</v>
      </c>
      <c r="K40" s="11"/>
      <c r="L40" s="12">
        <v>1.9414830205388478E-2</v>
      </c>
      <c r="M40" s="13">
        <f t="shared" si="3"/>
        <v>1.4646667319173918</v>
      </c>
    </row>
    <row r="41" spans="1:13">
      <c r="A41" s="10">
        <v>2038</v>
      </c>
      <c r="B41" s="11"/>
      <c r="C41" s="12">
        <v>3.8938212761245428E-2</v>
      </c>
      <c r="D41" s="13">
        <f t="shared" si="0"/>
        <v>2.3895352156092664</v>
      </c>
      <c r="E41" s="11"/>
      <c r="F41" s="12">
        <v>1.1193310427385361E-2</v>
      </c>
      <c r="G41" s="13">
        <f t="shared" si="1"/>
        <v>1.3379920923204296</v>
      </c>
      <c r="H41" s="11"/>
      <c r="I41" s="12">
        <v>2.2474514476297669E-2</v>
      </c>
      <c r="J41" s="13">
        <f t="shared" si="2"/>
        <v>1.61600314812734</v>
      </c>
      <c r="K41" s="11"/>
      <c r="L41" s="12">
        <v>1.9312372615189144E-2</v>
      </c>
      <c r="M41" s="13">
        <f t="shared" si="3"/>
        <v>1.4929529216012518</v>
      </c>
    </row>
    <row r="42" spans="1:13">
      <c r="A42" s="10">
        <v>2039</v>
      </c>
      <c r="B42" s="11"/>
      <c r="C42" s="12">
        <v>3.8851672319901498E-2</v>
      </c>
      <c r="D42" s="13">
        <f t="shared" si="0"/>
        <v>2.4823726548029827</v>
      </c>
      <c r="E42" s="11"/>
      <c r="F42" s="12">
        <v>1.188307733568772E-2</v>
      </c>
      <c r="G42" s="13">
        <f t="shared" si="1"/>
        <v>1.3538915558280118</v>
      </c>
      <c r="H42" s="11"/>
      <c r="I42" s="12">
        <v>2.2728290946772089E-2</v>
      </c>
      <c r="J42" s="13">
        <f t="shared" si="2"/>
        <v>1.6527321378488777</v>
      </c>
      <c r="K42" s="11"/>
      <c r="L42" s="12">
        <v>1.9241485560691052E-2</v>
      </c>
      <c r="M42" s="13">
        <f t="shared" si="3"/>
        <v>1.5216795536850338</v>
      </c>
    </row>
    <row r="43" spans="1:13">
      <c r="A43" s="10">
        <v>2040</v>
      </c>
      <c r="B43" s="11"/>
      <c r="C43" s="12">
        <v>3.8887224131288312E-2</v>
      </c>
      <c r="D43" s="13">
        <f t="shared" si="0"/>
        <v>2.5789052366076874</v>
      </c>
      <c r="E43" s="11"/>
      <c r="F43" s="12">
        <v>1.165912313912254E-2</v>
      </c>
      <c r="G43" s="13">
        <f t="shared" si="1"/>
        <v>1.3696767441944289</v>
      </c>
      <c r="H43" s="11"/>
      <c r="I43" s="12">
        <v>2.2741129349647782E-2</v>
      </c>
      <c r="J43" s="13">
        <f t="shared" si="2"/>
        <v>1.6903171331760189</v>
      </c>
      <c r="K43" s="11"/>
      <c r="L43" s="12">
        <v>1.881391908406771E-2</v>
      </c>
      <c r="M43" s="13">
        <f t="shared" si="3"/>
        <v>1.5503083096799444</v>
      </c>
    </row>
    <row r="44" spans="1:13">
      <c r="A44" s="10">
        <v>2041</v>
      </c>
      <c r="B44" s="11"/>
      <c r="C44" s="12">
        <v>3.905072333843651E-2</v>
      </c>
      <c r="D44" s="13">
        <f t="shared" si="0"/>
        <v>2.6796133515184994</v>
      </c>
      <c r="E44" s="11"/>
      <c r="F44" s="12">
        <v>1.1725927569156136E-2</v>
      </c>
      <c r="G44" s="13">
        <f t="shared" si="1"/>
        <v>1.3857374744900104</v>
      </c>
      <c r="H44" s="11"/>
      <c r="I44" s="12">
        <v>2.3003877982649135E-2</v>
      </c>
      <c r="J44" s="13">
        <f t="shared" si="2"/>
        <v>1.7292009822595813</v>
      </c>
      <c r="K44" s="11"/>
      <c r="L44" s="12">
        <v>1.8939991792670252E-2</v>
      </c>
      <c r="M44" s="13">
        <f t="shared" si="3"/>
        <v>1.5796711363413911</v>
      </c>
    </row>
    <row r="45" spans="1:13">
      <c r="A45" s="10">
        <v>2042</v>
      </c>
      <c r="B45" s="11"/>
      <c r="C45" s="12">
        <v>3.8978365772629697E-2</v>
      </c>
      <c r="D45" s="13">
        <f t="shared" si="0"/>
        <v>2.7840603008632097</v>
      </c>
      <c r="E45" s="11"/>
      <c r="F45" s="12">
        <v>1.1638770751899896E-2</v>
      </c>
      <c r="G45" s="13">
        <f t="shared" si="1"/>
        <v>1.4018657552779163</v>
      </c>
      <c r="H45" s="11"/>
      <c r="I45" s="12">
        <v>2.3201935211619285E-2</v>
      </c>
      <c r="J45" s="13">
        <f t="shared" si="2"/>
        <v>1.7693217914178365</v>
      </c>
      <c r="K45" s="11"/>
      <c r="L45" s="12">
        <v>1.8587936429257379E-2</v>
      </c>
      <c r="M45" s="13">
        <f t="shared" si="3"/>
        <v>1.6090339630028376</v>
      </c>
    </row>
    <row r="46" spans="1:13">
      <c r="A46" s="10">
        <v>2043</v>
      </c>
      <c r="B46" s="11"/>
      <c r="C46" s="12">
        <v>3.8986120187922024E-2</v>
      </c>
      <c r="D46" s="13">
        <f t="shared" si="0"/>
        <v>2.8926000103630849</v>
      </c>
      <c r="E46" s="11"/>
      <c r="F46" s="12">
        <v>1.1824458482121436E-2</v>
      </c>
      <c r="G46" s="13">
        <f t="shared" si="1"/>
        <v>1.4184420586987079</v>
      </c>
      <c r="H46" s="11"/>
      <c r="I46" s="12">
        <v>2.3367182858041957E-2</v>
      </c>
      <c r="J46" s="13">
        <f t="shared" si="2"/>
        <v>1.8106658572526155</v>
      </c>
      <c r="K46" s="11"/>
      <c r="L46" s="12">
        <v>1.8431217494449426E-2</v>
      </c>
      <c r="M46" s="13">
        <f t="shared" si="3"/>
        <v>1.6386904179308988</v>
      </c>
    </row>
    <row r="47" spans="1:13">
      <c r="A47" s="10">
        <v>2044</v>
      </c>
      <c r="B47" s="11"/>
      <c r="C47" s="12">
        <v>3.8994993213137041E-2</v>
      </c>
      <c r="D47" s="13">
        <f t="shared" si="0"/>
        <v>3.0053969281355135</v>
      </c>
      <c r="E47" s="11"/>
      <c r="F47" s="12">
        <v>1.2085705621605713E-2</v>
      </c>
      <c r="G47" s="13">
        <f t="shared" si="1"/>
        <v>1.4355849318614449</v>
      </c>
      <c r="H47" s="11"/>
      <c r="I47" s="12">
        <v>2.3515516040261142E-2</v>
      </c>
      <c r="J47" s="13">
        <f t="shared" si="2"/>
        <v>1.8532445992623927</v>
      </c>
      <c r="K47" s="11"/>
      <c r="L47" s="12">
        <v>1.8187248021502178E-2</v>
      </c>
      <c r="M47" s="13">
        <f t="shared" si="3"/>
        <v>1.6684936869922671</v>
      </c>
    </row>
    <row r="48" spans="1:13" s="264" customFormat="1">
      <c r="A48" s="10">
        <v>2045</v>
      </c>
      <c r="B48" s="11"/>
      <c r="C48" s="12">
        <v>3.8977197224086213E-2</v>
      </c>
      <c r="D48" s="13">
        <f t="shared" si="0"/>
        <v>3.1225388769401143</v>
      </c>
      <c r="E48" s="11"/>
      <c r="F48" s="12">
        <v>1.1859272949170219E-2</v>
      </c>
      <c r="G48" s="13">
        <f t="shared" si="1"/>
        <v>1.4526099254101057</v>
      </c>
      <c r="H48" s="11"/>
      <c r="I48" s="12">
        <v>2.3574793758296186E-2</v>
      </c>
      <c r="J48" s="13">
        <f t="shared" si="2"/>
        <v>1.8969344584736798</v>
      </c>
      <c r="K48" s="11"/>
      <c r="L48" s="12">
        <v>1.7803719129465545E-2</v>
      </c>
      <c r="M48" s="13">
        <f t="shared" si="3"/>
        <v>1.6981990799647637</v>
      </c>
    </row>
    <row r="49" spans="1:13">
      <c r="A49" s="10">
        <v>2046</v>
      </c>
      <c r="B49" s="11"/>
      <c r="C49" s="12">
        <f>C48</f>
        <v>3.8977197224086213E-2</v>
      </c>
      <c r="D49" s="13">
        <f t="shared" si="0"/>
        <v>3.2442466905864857</v>
      </c>
      <c r="E49" s="11"/>
      <c r="F49" s="12">
        <f>F48</f>
        <v>1.1859272949170219E-2</v>
      </c>
      <c r="G49" s="13">
        <f t="shared" si="1"/>
        <v>1.469836823004218</v>
      </c>
      <c r="H49" s="11"/>
      <c r="I49" s="12">
        <f>I48</f>
        <v>2.3574793758296186E-2</v>
      </c>
      <c r="J49" s="13">
        <f t="shared" si="2"/>
        <v>1.941654297105202</v>
      </c>
      <c r="K49" s="11"/>
      <c r="L49" s="12">
        <f>L48</f>
        <v>1.7803719129465545E-2</v>
      </c>
      <c r="M49" s="13">
        <f t="shared" si="3"/>
        <v>1.7284333394103732</v>
      </c>
    </row>
    <row r="50" spans="1:13">
      <c r="A50" s="10">
        <v>2047</v>
      </c>
      <c r="B50" s="11"/>
      <c r="C50" s="12">
        <f t="shared" ref="C50:C78" si="4">C49</f>
        <v>3.8977197224086213E-2</v>
      </c>
      <c r="D50" s="13">
        <f t="shared" si="0"/>
        <v>3.3706983336890644</v>
      </c>
      <c r="E50" s="11"/>
      <c r="F50" s="12">
        <f t="shared" ref="F50:F78" si="5">F49</f>
        <v>1.1859272949170219E-2</v>
      </c>
      <c r="G50" s="13">
        <f t="shared" si="1"/>
        <v>1.4872680190789662</v>
      </c>
      <c r="H50" s="11"/>
      <c r="I50" s="12">
        <f t="shared" ref="I50:I78" si="6">I49</f>
        <v>2.3574793758296186E-2</v>
      </c>
      <c r="J50" s="13">
        <f t="shared" si="2"/>
        <v>1.9874283967093667</v>
      </c>
      <c r="K50" s="11"/>
      <c r="L50" s="12">
        <f t="shared" ref="L50:L78" si="7">L49</f>
        <v>1.7803719129465545E-2</v>
      </c>
      <c r="M50" s="13">
        <f t="shared" si="3"/>
        <v>1.7592058811192397</v>
      </c>
    </row>
    <row r="51" spans="1:13">
      <c r="A51" s="10">
        <v>2048</v>
      </c>
      <c r="B51" s="11"/>
      <c r="C51" s="12">
        <f t="shared" si="4"/>
        <v>3.8977197224086213E-2</v>
      </c>
      <c r="D51" s="13">
        <f t="shared" si="0"/>
        <v>3.5020787074241619</v>
      </c>
      <c r="E51" s="11"/>
      <c r="F51" s="12">
        <f t="shared" si="5"/>
        <v>1.1859272949170219E-2</v>
      </c>
      <c r="G51" s="13">
        <f t="shared" si="1"/>
        <v>1.5049059364657953</v>
      </c>
      <c r="H51" s="11"/>
      <c r="I51" s="12">
        <f t="shared" si="6"/>
        <v>2.3574793758296186E-2</v>
      </c>
      <c r="J51" s="13">
        <f t="shared" si="2"/>
        <v>2.034281611271171</v>
      </c>
      <c r="K51" s="11"/>
      <c r="L51" s="12">
        <f t="shared" si="7"/>
        <v>1.7803719129465545E-2</v>
      </c>
      <c r="M51" s="13">
        <f t="shared" si="3"/>
        <v>1.7905262885175905</v>
      </c>
    </row>
    <row r="52" spans="1:13">
      <c r="A52" s="10">
        <v>2049</v>
      </c>
      <c r="B52" s="11"/>
      <c r="C52" s="12">
        <f t="shared" si="4"/>
        <v>3.8977197224086213E-2</v>
      </c>
      <c r="D52" s="13">
        <f t="shared" si="0"/>
        <v>3.6385799198977065</v>
      </c>
      <c r="E52" s="11"/>
      <c r="F52" s="12">
        <f t="shared" si="5"/>
        <v>1.1859272949170219E-2</v>
      </c>
      <c r="G52" s="13">
        <f t="shared" si="1"/>
        <v>1.5227530267291698</v>
      </c>
      <c r="H52" s="11"/>
      <c r="I52" s="12">
        <f t="shared" si="6"/>
        <v>2.3574793758296186E-2</v>
      </c>
      <c r="J52" s="13">
        <f t="shared" si="2"/>
        <v>2.0822393807031832</v>
      </c>
      <c r="K52" s="11"/>
      <c r="L52" s="12">
        <f t="shared" si="7"/>
        <v>1.7803719129465545E-2</v>
      </c>
      <c r="M52" s="13">
        <f t="shared" si="3"/>
        <v>1.8224043156522822</v>
      </c>
    </row>
    <row r="53" spans="1:13">
      <c r="A53" s="10">
        <v>2050</v>
      </c>
      <c r="B53" s="11"/>
      <c r="C53" s="12">
        <f t="shared" si="4"/>
        <v>3.8977197224086213E-2</v>
      </c>
      <c r="D53" s="13">
        <f t="shared" si="0"/>
        <v>3.7804015670511593</v>
      </c>
      <c r="E53" s="11"/>
      <c r="F53" s="12">
        <f t="shared" si="5"/>
        <v>1.1859272949170219E-2</v>
      </c>
      <c r="G53" s="13">
        <f t="shared" si="1"/>
        <v>1.5408117705073261</v>
      </c>
      <c r="H53" s="11"/>
      <c r="I53" s="12">
        <f t="shared" si="6"/>
        <v>2.3574793758296186E-2</v>
      </c>
      <c r="J53" s="13">
        <f t="shared" si="2"/>
        <v>2.1313277446586629</v>
      </c>
      <c r="K53" s="11"/>
      <c r="L53" s="12">
        <f t="shared" si="7"/>
        <v>1.7803719129465545E-2</v>
      </c>
      <c r="M53" s="13">
        <f t="shared" si="3"/>
        <v>1.8548498902284813</v>
      </c>
    </row>
    <row r="54" spans="1:13">
      <c r="A54" s="10">
        <v>2051</v>
      </c>
      <c r="B54" s="11"/>
      <c r="C54" s="12">
        <f t="shared" si="4"/>
        <v>3.8977197224086213E-2</v>
      </c>
      <c r="D54" s="13">
        <f t="shared" si="0"/>
        <v>3.9277510245163567</v>
      </c>
      <c r="E54" s="11"/>
      <c r="F54" s="12">
        <f t="shared" si="5"/>
        <v>1.1859272949170219E-2</v>
      </c>
      <c r="G54" s="13">
        <f t="shared" si="1"/>
        <v>1.5590846778570666</v>
      </c>
      <c r="H54" s="11"/>
      <c r="I54" s="12">
        <f t="shared" si="6"/>
        <v>2.3574793758296186E-2</v>
      </c>
      <c r="J54" s="13">
        <f t="shared" si="2"/>
        <v>2.1815733566703255</v>
      </c>
      <c r="K54" s="11"/>
      <c r="L54" s="12">
        <f t="shared" si="7"/>
        <v>1.7803719129465545E-2</v>
      </c>
      <c r="M54" s="13">
        <f t="shared" si="3"/>
        <v>1.8878731167014293</v>
      </c>
    </row>
    <row r="55" spans="1:13" s="265" customFormat="1">
      <c r="A55" s="10">
        <v>2052</v>
      </c>
      <c r="B55" s="11"/>
      <c r="C55" s="12">
        <f t="shared" si="4"/>
        <v>3.8977197224086213E-2</v>
      </c>
      <c r="D55" s="13">
        <f t="shared" si="0"/>
        <v>4.0808437508460376</v>
      </c>
      <c r="E55" s="11"/>
      <c r="F55" s="12">
        <f t="shared" si="5"/>
        <v>1.1859272949170219E-2</v>
      </c>
      <c r="G55" s="13">
        <f t="shared" si="1"/>
        <v>1.5775742886026427</v>
      </c>
      <c r="H55" s="11"/>
      <c r="I55" s="12">
        <f t="shared" si="6"/>
        <v>2.3574793758296186E-2</v>
      </c>
      <c r="J55" s="13">
        <f t="shared" si="2"/>
        <v>2.2330034986224225</v>
      </c>
      <c r="K55" s="11"/>
      <c r="L55" s="12">
        <f t="shared" si="7"/>
        <v>1.7803719129465545E-2</v>
      </c>
      <c r="M55" s="13">
        <f t="shared" si="3"/>
        <v>1.9214842794232503</v>
      </c>
    </row>
    <row r="56" spans="1:13">
      <c r="A56" s="10">
        <v>2053</v>
      </c>
      <c r="B56" s="11"/>
      <c r="C56" s="12">
        <f t="shared" si="4"/>
        <v>3.8977197224086213E-2</v>
      </c>
      <c r="D56" s="13">
        <f t="shared" si="0"/>
        <v>4.2399036025634436</v>
      </c>
      <c r="E56" s="11"/>
      <c r="F56" s="12">
        <f t="shared" si="5"/>
        <v>1.1859272949170219E-2</v>
      </c>
      <c r="G56" s="13">
        <f t="shared" si="1"/>
        <v>1.5962831726887745</v>
      </c>
      <c r="H56" s="11"/>
      <c r="I56" s="12">
        <f t="shared" si="6"/>
        <v>2.3574793758296186E-2</v>
      </c>
      <c r="J56" s="13">
        <f t="shared" si="2"/>
        <v>2.2856460955640001</v>
      </c>
      <c r="K56" s="11"/>
      <c r="L56" s="12">
        <f t="shared" si="7"/>
        <v>1.7803719129465545E-2</v>
      </c>
      <c r="M56" s="13">
        <f t="shared" si="3"/>
        <v>1.9556938458457853</v>
      </c>
    </row>
    <row r="57" spans="1:13">
      <c r="A57" s="10">
        <v>2054</v>
      </c>
      <c r="B57" s="11"/>
      <c r="C57" s="12">
        <f t="shared" si="4"/>
        <v>3.8977197224086213E-2</v>
      </c>
      <c r="D57" s="13">
        <f t="shared" si="0"/>
        <v>4.4051631614916724</v>
      </c>
      <c r="E57" s="11"/>
      <c r="F57" s="12">
        <f t="shared" si="5"/>
        <v>1.1859272949170219E-2</v>
      </c>
      <c r="G57" s="13">
        <f t="shared" si="1"/>
        <v>1.6152139305378581</v>
      </c>
      <c r="H57" s="11"/>
      <c r="I57" s="12">
        <f t="shared" si="6"/>
        <v>2.3574793758296186E-2</v>
      </c>
      <c r="J57" s="13">
        <f t="shared" si="2"/>
        <v>2.3395297308713765</v>
      </c>
      <c r="K57" s="11"/>
      <c r="L57" s="12">
        <f t="shared" si="7"/>
        <v>1.7803719129465545E-2</v>
      </c>
      <c r="M57" s="13">
        <f t="shared" si="3"/>
        <v>1.9905124697804479</v>
      </c>
    </row>
    <row r="58" spans="1:13">
      <c r="A58" s="10">
        <v>2055</v>
      </c>
      <c r="B58" s="11"/>
      <c r="C58" s="12">
        <f t="shared" si="4"/>
        <v>3.8977197224086213E-2</v>
      </c>
      <c r="D58" s="13">
        <f t="shared" si="0"/>
        <v>4.5768640748414127</v>
      </c>
      <c r="E58" s="11"/>
      <c r="F58" s="12">
        <f t="shared" si="5"/>
        <v>1.1859272949170219E-2</v>
      </c>
      <c r="G58" s="13">
        <f t="shared" si="1"/>
        <v>1.6343691934114086</v>
      </c>
      <c r="H58" s="11"/>
      <c r="I58" s="12">
        <f t="shared" si="6"/>
        <v>2.3574793758296186E-2</v>
      </c>
      <c r="J58" s="13">
        <f t="shared" si="2"/>
        <v>2.3946836617680716</v>
      </c>
      <c r="K58" s="11"/>
      <c r="L58" s="12">
        <f t="shared" si="7"/>
        <v>1.7803719129465545E-2</v>
      </c>
      <c r="M58" s="13">
        <f t="shared" si="3"/>
        <v>2.0259509947161178</v>
      </c>
    </row>
    <row r="59" spans="1:13">
      <c r="A59" s="10">
        <v>2056</v>
      </c>
      <c r="B59" s="11"/>
      <c r="C59" s="12">
        <f t="shared" si="4"/>
        <v>3.8977197224086213E-2</v>
      </c>
      <c r="D59" s="13">
        <f t="shared" si="0"/>
        <v>4.7552574085543409</v>
      </c>
      <c r="E59" s="11"/>
      <c r="F59" s="12">
        <f t="shared" si="5"/>
        <v>1.1859272949170219E-2</v>
      </c>
      <c r="G59" s="13">
        <f t="shared" si="1"/>
        <v>1.6537516237757897</v>
      </c>
      <c r="H59" s="11"/>
      <c r="I59" s="12">
        <f t="shared" si="6"/>
        <v>2.3574793758296186E-2</v>
      </c>
      <c r="J59" s="13">
        <f t="shared" si="2"/>
        <v>2.4511378352106155</v>
      </c>
      <c r="K59" s="11"/>
      <c r="L59" s="12">
        <f t="shared" si="7"/>
        <v>1.7803719129465545E-2</v>
      </c>
      <c r="M59" s="13">
        <f t="shared" si="3"/>
        <v>2.0620204571961049</v>
      </c>
    </row>
    <row r="60" spans="1:13">
      <c r="A60" s="10">
        <v>2057</v>
      </c>
      <c r="B60" s="11"/>
      <c r="C60" s="12">
        <f t="shared" si="4"/>
        <v>3.8977197224086213E-2</v>
      </c>
      <c r="D60" s="13">
        <f t="shared" si="0"/>
        <v>4.9406040144188603</v>
      </c>
      <c r="E60" s="11"/>
      <c r="F60" s="12">
        <f t="shared" si="5"/>
        <v>1.1859272949170219E-2</v>
      </c>
      <c r="G60" s="13">
        <f t="shared" si="1"/>
        <v>1.6733639156722802</v>
      </c>
      <c r="H60" s="11"/>
      <c r="I60" s="12">
        <f t="shared" si="6"/>
        <v>2.3574793758296186E-2</v>
      </c>
      <c r="J60" s="13">
        <f t="shared" si="2"/>
        <v>2.5089229041488621</v>
      </c>
      <c r="K60" s="11"/>
      <c r="L60" s="12">
        <f t="shared" si="7"/>
        <v>1.7803719129465545E-2</v>
      </c>
      <c r="M60" s="13">
        <f t="shared" si="3"/>
        <v>2.0987320902552367</v>
      </c>
    </row>
    <row r="61" spans="1:13">
      <c r="A61" s="10">
        <v>2058</v>
      </c>
      <c r="B61" s="11"/>
      <c r="C61" s="12">
        <f t="shared" si="4"/>
        <v>3.8977197224086213E-2</v>
      </c>
      <c r="D61" s="13">
        <f t="shared" si="0"/>
        <v>5.1331749114949767</v>
      </c>
      <c r="E61" s="11"/>
      <c r="F61" s="12">
        <f t="shared" si="5"/>
        <v>1.1859272949170219E-2</v>
      </c>
      <c r="G61" s="13">
        <f t="shared" si="1"/>
        <v>1.69320879509153</v>
      </c>
      <c r="H61" s="11"/>
      <c r="I61" s="12">
        <f t="shared" si="6"/>
        <v>2.3574793758296186E-2</v>
      </c>
      <c r="J61" s="13">
        <f t="shared" si="2"/>
        <v>2.568070244169637</v>
      </c>
      <c r="K61" s="11"/>
      <c r="L61" s="12">
        <f t="shared" si="7"/>
        <v>1.7803719129465545E-2</v>
      </c>
      <c r="M61" s="13">
        <f t="shared" si="3"/>
        <v>2.1360973269181369</v>
      </c>
    </row>
    <row r="62" spans="1:13">
      <c r="A62" s="10">
        <v>2059</v>
      </c>
      <c r="C62" s="12">
        <f t="shared" si="4"/>
        <v>3.8977197224086213E-2</v>
      </c>
      <c r="D62" s="13">
        <f t="shared" si="0"/>
        <v>5.3332516824060479</v>
      </c>
      <c r="F62" s="12">
        <f t="shared" si="5"/>
        <v>1.1859272949170219E-2</v>
      </c>
      <c r="G62" s="13">
        <f t="shared" si="1"/>
        <v>1.713289020352456</v>
      </c>
      <c r="I62" s="12">
        <f t="shared" si="6"/>
        <v>2.3574793758296186E-2</v>
      </c>
      <c r="J62" s="13">
        <f t="shared" si="2"/>
        <v>2.6286119705327535</v>
      </c>
      <c r="L62" s="12">
        <f t="shared" si="7"/>
        <v>1.7803719129465545E-2</v>
      </c>
      <c r="M62" s="13">
        <f t="shared" si="3"/>
        <v>2.1741278037597898</v>
      </c>
    </row>
    <row r="63" spans="1:13">
      <c r="A63" s="10">
        <v>2060</v>
      </c>
      <c r="C63" s="12">
        <f t="shared" si="4"/>
        <v>3.8977197224086213E-2</v>
      </c>
      <c r="D63" s="13">
        <f t="shared" si="0"/>
        <v>5.5411268850768778</v>
      </c>
      <c r="F63" s="12">
        <f t="shared" si="5"/>
        <v>1.1859272949170219E-2</v>
      </c>
      <c r="G63" s="13">
        <f t="shared" si="1"/>
        <v>1.7336073824856322</v>
      </c>
      <c r="I63" s="12">
        <f t="shared" si="6"/>
        <v>2.3574793758296186E-2</v>
      </c>
      <c r="J63" s="13">
        <f t="shared" si="2"/>
        <v>2.6905809556086515</v>
      </c>
      <c r="L63" s="12">
        <f t="shared" si="7"/>
        <v>1.7803719129465545E-2</v>
      </c>
      <c r="M63" s="13">
        <f t="shared" si="3"/>
        <v>2.2128353645294907</v>
      </c>
    </row>
    <row r="64" spans="1:13">
      <c r="A64" s="10">
        <v>2061</v>
      </c>
      <c r="B64" s="15"/>
      <c r="C64" s="12">
        <f t="shared" si="4"/>
        <v>3.8977197224086213E-2</v>
      </c>
      <c r="D64" s="13">
        <f t="shared" si="0"/>
        <v>5.7571044805202058</v>
      </c>
      <c r="E64" s="15"/>
      <c r="F64" s="12">
        <f t="shared" si="5"/>
        <v>1.1859272949170219E-2</v>
      </c>
      <c r="G64" s="13">
        <f t="shared" si="1"/>
        <v>1.7541667056212258</v>
      </c>
      <c r="H64" s="15"/>
      <c r="I64" s="12">
        <f t="shared" si="6"/>
        <v>2.3574793758296186E-2</v>
      </c>
      <c r="J64" s="13">
        <f t="shared" si="2"/>
        <v>2.7540108467271249</v>
      </c>
      <c r="K64" s="15"/>
      <c r="L64" s="12">
        <f t="shared" si="7"/>
        <v>1.7803719129465545E-2</v>
      </c>
      <c r="M64" s="13">
        <f t="shared" si="3"/>
        <v>2.2522320638393221</v>
      </c>
    </row>
    <row r="65" spans="1:13">
      <c r="A65" s="10">
        <v>2062</v>
      </c>
      <c r="C65" s="12">
        <f t="shared" si="4"/>
        <v>3.8977197224086213E-2</v>
      </c>
      <c r="D65" s="13">
        <f t="shared" si="0"/>
        <v>5.981500277297112</v>
      </c>
      <c r="F65" s="12">
        <f t="shared" si="5"/>
        <v>1.1859272949170219E-2</v>
      </c>
      <c r="G65" s="13">
        <f t="shared" si="1"/>
        <v>1.7749698473815347</v>
      </c>
      <c r="I65" s="12">
        <f t="shared" si="6"/>
        <v>2.3574793758296186E-2</v>
      </c>
      <c r="J65" s="13">
        <f t="shared" si="2"/>
        <v>2.8189360844468276</v>
      </c>
      <c r="L65" s="12">
        <f t="shared" si="7"/>
        <v>1.7803719129465545E-2</v>
      </c>
      <c r="M65" s="13">
        <f t="shared" si="3"/>
        <v>2.2923301709182939</v>
      </c>
    </row>
    <row r="66" spans="1:13">
      <c r="A66" s="10">
        <v>2063</v>
      </c>
      <c r="C66" s="12">
        <f t="shared" si="4"/>
        <v>3.8977197224086213E-2</v>
      </c>
      <c r="D66" s="13">
        <f t="shared" si="0"/>
        <v>6.214642393301248</v>
      </c>
      <c r="F66" s="12">
        <f t="shared" si="5"/>
        <v>1.1859272949170219E-2</v>
      </c>
      <c r="G66" s="13">
        <f t="shared" si="1"/>
        <v>1.7960196992781794</v>
      </c>
      <c r="I66" s="12">
        <f t="shared" si="6"/>
        <v>2.3574793758296186E-2</v>
      </c>
      <c r="J66" s="13">
        <f t="shared" si="2"/>
        <v>2.8853919212554806</v>
      </c>
      <c r="L66" s="12">
        <f t="shared" si="7"/>
        <v>1.7803719129465545E-2</v>
      </c>
      <c r="M66" s="13">
        <f t="shared" si="3"/>
        <v>2.3331421734333229</v>
      </c>
    </row>
    <row r="67" spans="1:13">
      <c r="A67" s="10">
        <v>2064</v>
      </c>
      <c r="C67" s="12">
        <f t="shared" si="4"/>
        <v>3.8977197224086213E-2</v>
      </c>
      <c r="D67" s="13">
        <f t="shared" si="0"/>
        <v>6.4568717355421184</v>
      </c>
      <c r="F67" s="12">
        <f t="shared" si="5"/>
        <v>1.1859272949170219E-2</v>
      </c>
      <c r="G67" s="13">
        <f t="shared" si="1"/>
        <v>1.817319187114006</v>
      </c>
      <c r="I67" s="12">
        <f t="shared" si="6"/>
        <v>2.3574793758296186E-2</v>
      </c>
      <c r="J67" s="13">
        <f t="shared" si="2"/>
        <v>2.9534144407109326</v>
      </c>
      <c r="L67" s="12">
        <f t="shared" si="7"/>
        <v>1.7803719129465545E-2</v>
      </c>
      <c r="M67" s="13">
        <f t="shared" si="3"/>
        <v>2.3746807813782405</v>
      </c>
    </row>
    <row r="68" spans="1:13">
      <c r="A68" s="10">
        <v>2065</v>
      </c>
      <c r="C68" s="12">
        <f t="shared" si="4"/>
        <v>3.8977197224086213E-2</v>
      </c>
      <c r="D68" s="13">
        <f t="shared" si="0"/>
        <v>6.7085424986289715</v>
      </c>
      <c r="F68" s="12">
        <f t="shared" si="5"/>
        <v>1.1859272949170219E-2</v>
      </c>
      <c r="G68" s="13">
        <f t="shared" si="1"/>
        <v>1.838871271389755</v>
      </c>
      <c r="I68" s="12">
        <f t="shared" si="6"/>
        <v>2.3574793758296186E-2</v>
      </c>
      <c r="J68" s="13">
        <f t="shared" si="2"/>
        <v>3.0230405770334667</v>
      </c>
      <c r="L68" s="12">
        <f t="shared" si="7"/>
        <v>1.7803719129465545E-2</v>
      </c>
      <c r="M68" s="13">
        <f t="shared" si="3"/>
        <v>2.4169589310320383</v>
      </c>
    </row>
    <row r="69" spans="1:13">
      <c r="A69" s="10">
        <v>2066</v>
      </c>
      <c r="C69" s="12">
        <f t="shared" si="4"/>
        <v>3.8977197224086213E-2</v>
      </c>
      <c r="D69" s="13">
        <f t="shared" si="0"/>
        <v>6.9700226826841973</v>
      </c>
      <c r="F69" s="12">
        <f t="shared" si="5"/>
        <v>1.1859272949170219E-2</v>
      </c>
      <c r="G69" s="13">
        <f t="shared" si="1"/>
        <v>1.8606789477155539</v>
      </c>
      <c r="I69" s="12">
        <f t="shared" si="6"/>
        <v>2.3574793758296186E-2</v>
      </c>
      <c r="J69" s="13">
        <f t="shared" si="2"/>
        <v>3.0943081351599915</v>
      </c>
      <c r="L69" s="12">
        <f t="shared" si="7"/>
        <v>1.7803719129465545E-2</v>
      </c>
      <c r="M69" s="13">
        <f t="shared" si="3"/>
        <v>2.4599897889875861</v>
      </c>
    </row>
    <row r="70" spans="1:13">
      <c r="A70" s="10">
        <v>2067</v>
      </c>
      <c r="C70" s="12">
        <f t="shared" si="4"/>
        <v>3.8977197224086213E-2</v>
      </c>
      <c r="D70" s="13">
        <f t="shared" si="0"/>
        <v>7.2416946314435338</v>
      </c>
      <c r="F70" s="12">
        <f t="shared" si="5"/>
        <v>1.1859272949170219E-2</v>
      </c>
      <c r="G70" s="13">
        <f t="shared" si="1"/>
        <v>1.8827452472272874</v>
      </c>
      <c r="I70" s="12">
        <f t="shared" si="6"/>
        <v>2.3574793758296186E-2</v>
      </c>
      <c r="J70" s="13">
        <f t="shared" si="2"/>
        <v>3.1672558112710063</v>
      </c>
      <c r="L70" s="12">
        <f t="shared" si="7"/>
        <v>1.7803719129465545E-2</v>
      </c>
      <c r="M70" s="13">
        <f t="shared" si="3"/>
        <v>2.5037867562520741</v>
      </c>
    </row>
    <row r="71" spans="1:13">
      <c r="A71" s="10">
        <v>2068</v>
      </c>
      <c r="C71" s="12">
        <f t="shared" si="4"/>
        <v>3.8977197224086213E-2</v>
      </c>
      <c r="D71" s="13">
        <f t="shared" si="0"/>
        <v>7.5239555913299148</v>
      </c>
      <c r="F71" s="12">
        <f t="shared" si="5"/>
        <v>1.1859272949170219E-2</v>
      </c>
      <c r="G71" s="13">
        <f t="shared" si="1"/>
        <v>1.9050732370079089</v>
      </c>
      <c r="I71" s="12">
        <f t="shared" si="6"/>
        <v>2.3574793758296186E-2</v>
      </c>
      <c r="J71" s="13">
        <f t="shared" si="2"/>
        <v>3.2419232138014853</v>
      </c>
      <c r="L71" s="12">
        <f t="shared" si="7"/>
        <v>1.7803719129465545E-2</v>
      </c>
      <c r="M71" s="13">
        <f t="shared" si="3"/>
        <v>2.5483634724204616</v>
      </c>
    </row>
    <row r="72" spans="1:13">
      <c r="A72" s="10">
        <v>2069</v>
      </c>
      <c r="C72" s="12">
        <f t="shared" si="4"/>
        <v>3.8977197224086213E-2</v>
      </c>
      <c r="D72" s="13">
        <f t="shared" si="0"/>
        <v>7.8172182923184472</v>
      </c>
      <c r="F72" s="12">
        <f t="shared" si="5"/>
        <v>1.1859272949170219E-2</v>
      </c>
      <c r="G72" s="13">
        <f t="shared" si="1"/>
        <v>1.9276660205137448</v>
      </c>
      <c r="I72" s="12">
        <f t="shared" si="6"/>
        <v>2.3574793758296186E-2</v>
      </c>
      <c r="J72" s="13">
        <f t="shared" si="2"/>
        <v>3.3183508849470882</v>
      </c>
      <c r="L72" s="12">
        <f t="shared" si="7"/>
        <v>1.7803719129465545E-2</v>
      </c>
      <c r="M72" s="13">
        <f t="shared" si="3"/>
        <v>2.5937338199232252</v>
      </c>
    </row>
    <row r="73" spans="1:13">
      <c r="A73" s="10">
        <v>2070</v>
      </c>
      <c r="C73" s="12">
        <f t="shared" si="4"/>
        <v>3.8977197224086213E-2</v>
      </c>
      <c r="D73" s="13">
        <f t="shared" si="0"/>
        <v>8.1219115514418778</v>
      </c>
      <c r="F73" s="12">
        <f t="shared" si="5"/>
        <v>1.1859272949170219E-2</v>
      </c>
      <c r="G73" s="13">
        <f t="shared" si="1"/>
        <v>1.950526738005858</v>
      </c>
      <c r="I73" s="12">
        <f t="shared" si="6"/>
        <v>2.3574793758296186E-2</v>
      </c>
      <c r="J73" s="13">
        <f t="shared" si="2"/>
        <v>3.3965803226773756</v>
      </c>
      <c r="L73" s="12">
        <f t="shared" si="7"/>
        <v>1.7803719129465545E-2</v>
      </c>
      <c r="M73" s="13">
        <f t="shared" si="3"/>
        <v>2.6399119283497341</v>
      </c>
    </row>
    <row r="74" spans="1:13">
      <c r="A74" s="10">
        <v>2071</v>
      </c>
      <c r="C74" s="12">
        <f t="shared" si="4"/>
        <v>3.8977197224086213E-2</v>
      </c>
      <c r="D74" s="13">
        <f t="shared" si="0"/>
        <v>8.4384808998190124</v>
      </c>
      <c r="F74" s="12">
        <f t="shared" si="5"/>
        <v>1.1859272949170219E-2</v>
      </c>
      <c r="G74" s="13">
        <f t="shared" si="1"/>
        <v>1.9736585669865241</v>
      </c>
      <c r="I74" s="12">
        <f t="shared" si="6"/>
        <v>2.3574793758296186E-2</v>
      </c>
      <c r="J74" s="13">
        <f t="shared" si="2"/>
        <v>3.4766540032679818</v>
      </c>
      <c r="L74" s="12">
        <f t="shared" si="7"/>
        <v>1.7803719129465545E-2</v>
      </c>
      <c r="M74" s="13">
        <f t="shared" si="3"/>
        <v>2.6869121788485986</v>
      </c>
    </row>
    <row r="75" spans="1:13">
      <c r="A75" s="10">
        <v>2072</v>
      </c>
      <c r="C75" s="12">
        <f t="shared" si="4"/>
        <v>3.8977197224086213E-2</v>
      </c>
      <c r="D75" s="13">
        <f t="shared" si="0"/>
        <v>8.7673892341229429</v>
      </c>
      <c r="F75" s="12">
        <f t="shared" si="5"/>
        <v>1.1859272949170219E-2</v>
      </c>
      <c r="G75" s="13">
        <f t="shared" si="1"/>
        <v>1.9970647226408855</v>
      </c>
      <c r="I75" s="12">
        <f t="shared" si="6"/>
        <v>2.3574793758296186E-2</v>
      </c>
      <c r="J75" s="13">
        <f t="shared" si="2"/>
        <v>3.5586154043639793</v>
      </c>
      <c r="L75" s="12">
        <f t="shared" si="7"/>
        <v>1.7803719129465545E-2</v>
      </c>
      <c r="M75" s="13">
        <f t="shared" si="3"/>
        <v>2.7347492086063592</v>
      </c>
    </row>
    <row r="76" spans="1:13">
      <c r="A76" s="10">
        <v>2073</v>
      </c>
      <c r="C76" s="12">
        <f t="shared" si="4"/>
        <v>3.8977197224086213E-2</v>
      </c>
      <c r="D76" s="13">
        <f t="shared" si="0"/>
        <v>9.1091174934416834</v>
      </c>
      <c r="F76" s="12">
        <f t="shared" si="5"/>
        <v>1.1859272949170219E-2</v>
      </c>
      <c r="G76" s="13">
        <f t="shared" si="1"/>
        <v>2.0207484582838426</v>
      </c>
      <c r="I76" s="12">
        <f t="shared" si="6"/>
        <v>2.3574793758296186E-2</v>
      </c>
      <c r="J76" s="13">
        <f t="shared" si="2"/>
        <v>3.6425090285869559</v>
      </c>
      <c r="L76" s="12">
        <f t="shared" si="7"/>
        <v>1.7803719129465545E-2</v>
      </c>
      <c r="M76" s="13">
        <f t="shared" si="3"/>
        <v>2.7834379154059148</v>
      </c>
    </row>
    <row r="77" spans="1:13">
      <c r="A77" s="10">
        <v>2074</v>
      </c>
      <c r="C77" s="12">
        <f t="shared" si="4"/>
        <v>3.8977197224086213E-2</v>
      </c>
      <c r="D77" s="13">
        <f t="shared" si="0"/>
        <v>9.4641653625209337</v>
      </c>
      <c r="F77" s="12">
        <f t="shared" si="5"/>
        <v>1.1859272949170219E-2</v>
      </c>
      <c r="G77" s="13">
        <f t="shared" si="1"/>
        <v>2.0447130658122457</v>
      </c>
      <c r="I77" s="12">
        <f t="shared" si="6"/>
        <v>2.3574793758296186E-2</v>
      </c>
      <c r="J77" s="13">
        <f t="shared" si="2"/>
        <v>3.728380427698625</v>
      </c>
      <c r="L77" s="12">
        <f t="shared" si="7"/>
        <v>1.7803719129465545E-2</v>
      </c>
      <c r="M77" s="13">
        <f t="shared" si="3"/>
        <v>2.8329934622661068</v>
      </c>
    </row>
    <row r="78" spans="1:13">
      <c r="A78" s="266">
        <v>2075</v>
      </c>
      <c r="C78" s="267">
        <f t="shared" si="4"/>
        <v>3.8977197224086213E-2</v>
      </c>
      <c r="D78" s="14">
        <f t="shared" si="0"/>
        <v>9.8330520024172774</v>
      </c>
      <c r="F78" s="267">
        <f t="shared" si="5"/>
        <v>1.1859272949170219E-2</v>
      </c>
      <c r="G78" s="14">
        <f t="shared" si="1"/>
        <v>2.0689618761624478</v>
      </c>
      <c r="I78" s="267">
        <f t="shared" si="6"/>
        <v>2.3574793758296186E-2</v>
      </c>
      <c r="J78" s="14">
        <f t="shared" si="2"/>
        <v>3.8162762273340882</v>
      </c>
      <c r="L78" s="267">
        <f t="shared" si="7"/>
        <v>1.7803719129465545E-2</v>
      </c>
      <c r="M78" s="14">
        <f t="shared" si="3"/>
        <v>2.8834312821639045</v>
      </c>
    </row>
  </sheetData>
  <mergeCells count="8">
    <mergeCell ref="I12:J12"/>
    <mergeCell ref="L12:M12"/>
    <mergeCell ref="F12:G12"/>
    <mergeCell ref="C12:D12"/>
    <mergeCell ref="C13:D13"/>
    <mergeCell ref="F13:G13"/>
    <mergeCell ref="I13:J13"/>
    <mergeCell ref="L13:M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7A82187E14F488DEF472F908598E7" ma:contentTypeVersion="" ma:contentTypeDescription="Create a new document." ma:contentTypeScope="" ma:versionID="aeadb393697d9789b293b51c24541f8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A6C52CC-3FA4-4602-9D74-FF7FB7329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A568DD-126D-4670-8CC0-2A224EBA0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54BE-2EAA-42E3-BD25-442013D41E69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DISM REPORT</vt:lpstr>
      <vt:lpstr>Accrual - Realloc (Final Alloc)</vt:lpstr>
      <vt:lpstr>GI Factors</vt:lpstr>
      <vt:lpstr>'Accrual - Realloc (Final Alloc)'!Print_Area</vt:lpstr>
      <vt:lpstr>'DISM REPORT'!Print_Area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2016-05-05T23:38:29Z</dcterms:created>
  <dcterms:modified xsi:type="dcterms:W3CDTF">2016-06-22T16:42:22Z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0x01010041B7A82187E14F488DEF472F908598E7</vt:lpwstr>
  </property>
</Properties>
</file>