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600" windowWidth="20355" windowHeight="6795" tabRatio="985" firstSheet="8" activeTab="16"/>
  </bookViews>
  <sheets>
    <sheet name="MFR_E_10_Attachment_2__FPL201" sheetId="1" r:id="rId1"/>
    <sheet name="MFR_E_10_Attachment_2__FPL102" sheetId="2" r:id="rId2"/>
    <sheet name="Clause Allocations" sheetId="19" r:id="rId3"/>
    <sheet name="LF Analysis" sheetId="18" r:id="rId4"/>
    <sheet name="CP Analysis - From Load Researc" sheetId="4" r:id="rId5"/>
    <sheet name="2012 12 CP" sheetId="6" r:id="rId6"/>
    <sheet name="2013 12 CP" sheetId="7" r:id="rId7"/>
    <sheet name="2014 12 CP" sheetId="8" r:id="rId8"/>
    <sheet name="2012 12 GCP" sheetId="9" r:id="rId9"/>
    <sheet name="2013 12 GCP" sheetId="10" r:id="rId10"/>
    <sheet name="2014 12 GCP" sheetId="11" r:id="rId11"/>
    <sheet name="2012 12 NCP" sheetId="12" r:id="rId12"/>
    <sheet name="2013 12 NCP" sheetId="13" r:id="rId13"/>
    <sheet name="2014 12 NCP" sheetId="14" r:id="rId14"/>
    <sheet name="2012 12 NCP on Peak" sheetId="15" r:id="rId15"/>
    <sheet name="2013 12 NCP on Peak" sheetId="16" r:id="rId16"/>
    <sheet name="2014 12 NCP on Peak" sheetId="17" r:id="rId17"/>
    <sheet name="Sheet2" sheetId="5" r:id="rId18"/>
  </sheets>
  <definedNames>
    <definedName name="_xlnm._FilterDatabase" localSheetId="8" hidden="1">'2012 12 GCP'!$A$4:$Q$61</definedName>
    <definedName name="_xlnm._FilterDatabase" localSheetId="9" hidden="1">'2013 12 GCP'!$C$3:$Q$35</definedName>
    <definedName name="_xlnm._FilterDatabase" localSheetId="10" hidden="1">'2014 12 GCP'!$A$3:$Q$36</definedName>
    <definedName name="co_name_line1" localSheetId="11">#REF!</definedName>
    <definedName name="co_name_line1" localSheetId="14">#REF!</definedName>
    <definedName name="co_name_line1" localSheetId="6">#REF!</definedName>
    <definedName name="co_name_line1" localSheetId="9">#REF!</definedName>
    <definedName name="co_name_line1" localSheetId="12">#REF!</definedName>
    <definedName name="co_name_line1" localSheetId="15">#REF!</definedName>
    <definedName name="co_name_line1" localSheetId="7">#REF!</definedName>
    <definedName name="co_name_line1" localSheetId="10">#REF!</definedName>
    <definedName name="co_name_line1" localSheetId="13">#REF!</definedName>
    <definedName name="co_name_line1" localSheetId="16">#REF!</definedName>
    <definedName name="co_name_line1">#REF!</definedName>
    <definedName name="co_name_line2" localSheetId="11">#REF!</definedName>
    <definedName name="co_name_line2" localSheetId="14">#REF!</definedName>
    <definedName name="co_name_line2" localSheetId="6">#REF!</definedName>
    <definedName name="co_name_line2" localSheetId="9">#REF!</definedName>
    <definedName name="co_name_line2" localSheetId="12">#REF!</definedName>
    <definedName name="co_name_line2" localSheetId="15">#REF!</definedName>
    <definedName name="co_name_line2" localSheetId="7">#REF!</definedName>
    <definedName name="co_name_line2" localSheetId="10">#REF!</definedName>
    <definedName name="co_name_line2" localSheetId="13">#REF!</definedName>
    <definedName name="co_name_line2" localSheetId="16">#REF!</definedName>
    <definedName name="co_name_line2">#REF!</definedName>
    <definedName name="docket_num" localSheetId="11">#REF!</definedName>
    <definedName name="docket_num" localSheetId="14">#REF!</definedName>
    <definedName name="docket_num" localSheetId="6">#REF!</definedName>
    <definedName name="docket_num" localSheetId="9">#REF!</definedName>
    <definedName name="docket_num" localSheetId="12">#REF!</definedName>
    <definedName name="docket_num" localSheetId="15">#REF!</definedName>
    <definedName name="docket_num" localSheetId="7">#REF!</definedName>
    <definedName name="docket_num" localSheetId="10">#REF!</definedName>
    <definedName name="docket_num" localSheetId="13">#REF!</definedName>
    <definedName name="docket_num" localSheetId="16">#REF!</definedName>
    <definedName name="docket_num">#REF!</definedName>
    <definedName name="HISTORICAL_YEAR_DATE" localSheetId="11">#REF!</definedName>
    <definedName name="HISTORICAL_YEAR_DATE" localSheetId="14">#REF!</definedName>
    <definedName name="HISTORICAL_YEAR_DATE" localSheetId="6">#REF!</definedName>
    <definedName name="HISTORICAL_YEAR_DATE" localSheetId="9">#REF!</definedName>
    <definedName name="HISTORICAL_YEAR_DATE" localSheetId="12">#REF!</definedName>
    <definedName name="HISTORICAL_YEAR_DATE" localSheetId="15">#REF!</definedName>
    <definedName name="HISTORICAL_YEAR_DATE" localSheetId="7">#REF!</definedName>
    <definedName name="HISTORICAL_YEAR_DATE" localSheetId="10">#REF!</definedName>
    <definedName name="HISTORICAL_YEAR_DATE" localSheetId="13">#REF!</definedName>
    <definedName name="HISTORICAL_YEAR_DATE" localSheetId="16">#REF!</definedName>
    <definedName name="HISTORICAL_YEAR_DATE">#REF!</definedName>
    <definedName name="HISTORICAL_YEAR_X" localSheetId="11">#REF!</definedName>
    <definedName name="HISTORICAL_YEAR_X" localSheetId="14">#REF!</definedName>
    <definedName name="HISTORICAL_YEAR_X" localSheetId="6">#REF!</definedName>
    <definedName name="HISTORICAL_YEAR_X" localSheetId="9">#REF!</definedName>
    <definedName name="HISTORICAL_YEAR_X" localSheetId="12">#REF!</definedName>
    <definedName name="HISTORICAL_YEAR_X" localSheetId="15">#REF!</definedName>
    <definedName name="HISTORICAL_YEAR_X" localSheetId="7">#REF!</definedName>
    <definedName name="HISTORICAL_YEAR_X" localSheetId="10">#REF!</definedName>
    <definedName name="HISTORICAL_YEAR_X" localSheetId="13">#REF!</definedName>
    <definedName name="HISTORICAL_YEAR_X" localSheetId="16">#REF!</definedName>
    <definedName name="HISTORICAL_YEAR_X">#REF!</definedName>
    <definedName name="PAGE_1_END" localSheetId="11">#REF!</definedName>
    <definedName name="PAGE_1_END" localSheetId="14">#REF!</definedName>
    <definedName name="PAGE_1_END" localSheetId="6">#REF!</definedName>
    <definedName name="PAGE_1_END" localSheetId="9">#REF!</definedName>
    <definedName name="PAGE_1_END" localSheetId="12">#REF!</definedName>
    <definedName name="PAGE_1_END" localSheetId="15">#REF!</definedName>
    <definedName name="PAGE_1_END" localSheetId="7">#REF!</definedName>
    <definedName name="PAGE_1_END" localSheetId="10">#REF!</definedName>
    <definedName name="PAGE_1_END" localSheetId="13">#REF!</definedName>
    <definedName name="PAGE_1_END" localSheetId="16">#REF!</definedName>
    <definedName name="PAGE_1_END">#REF!</definedName>
    <definedName name="PAGE_1_START" localSheetId="11">#REF!</definedName>
    <definedName name="PAGE_1_START" localSheetId="14">#REF!</definedName>
    <definedName name="PAGE_1_START" localSheetId="6">#REF!</definedName>
    <definedName name="PAGE_1_START" localSheetId="9">#REF!</definedName>
    <definedName name="PAGE_1_START" localSheetId="12">#REF!</definedName>
    <definedName name="PAGE_1_START" localSheetId="15">#REF!</definedName>
    <definedName name="PAGE_1_START" localSheetId="7">#REF!</definedName>
    <definedName name="PAGE_1_START" localSheetId="10">#REF!</definedName>
    <definedName name="PAGE_1_START" localSheetId="13">#REF!</definedName>
    <definedName name="PAGE_1_START" localSheetId="16">#REF!</definedName>
    <definedName name="PAGE_1_START">#REF!</definedName>
    <definedName name="_xlnm.Print_Area" localSheetId="8">'2012 12 GCP'!$A$8:$Q$36</definedName>
    <definedName name="_xlnm.Print_Area" localSheetId="11">#REF!</definedName>
    <definedName name="_xlnm.Print_Area" localSheetId="14">#REF!</definedName>
    <definedName name="_xlnm.Print_Area" localSheetId="6">#REF!</definedName>
    <definedName name="_xlnm.Print_Area" localSheetId="9">'2013 12 GCP'!$A$7:$Q$35</definedName>
    <definedName name="_xlnm.Print_Area" localSheetId="12">#REF!</definedName>
    <definedName name="_xlnm.Print_Area" localSheetId="15">#REF!</definedName>
    <definedName name="_xlnm.Print_Area" localSheetId="7">#REF!</definedName>
    <definedName name="_xlnm.Print_Area" localSheetId="10">'2014 12 GCP'!$A$7:$Q$36</definedName>
    <definedName name="_xlnm.Print_Area" localSheetId="13">#REF!</definedName>
    <definedName name="_xlnm.Print_Area" localSheetId="16">#REF!</definedName>
    <definedName name="_xlnm.Print_Area">#REF!</definedName>
    <definedName name="_xlnm.Print_Titles" localSheetId="8">'2012 12 GCP'!$4:$7</definedName>
    <definedName name="_xlnm.Print_Titles" localSheetId="9">'2013 12 GCP'!$3:$6</definedName>
    <definedName name="_xlnm.Print_Titles" localSheetId="10">'2014 12 GCP'!$3:$6</definedName>
    <definedName name="_xlnm.Print_Titles" localSheetId="1">MFR_E_10_Attachment_2__FPL102!$A:$A,MFR_E_10_Attachment_2__FPL102!$1:$12</definedName>
    <definedName name="_xlnm.Print_Titles" localSheetId="0">MFR_E_10_Attachment_2__FPL201!$A:$A,MFR_E_10_Attachment_2__FPL201!$3:$13</definedName>
    <definedName name="PRIOR_YEAR_DATE" localSheetId="11">#REF!</definedName>
    <definedName name="PRIOR_YEAR_DATE" localSheetId="14">#REF!</definedName>
    <definedName name="PRIOR_YEAR_DATE" localSheetId="6">#REF!</definedName>
    <definedName name="PRIOR_YEAR_DATE" localSheetId="9">#REF!</definedName>
    <definedName name="PRIOR_YEAR_DATE" localSheetId="12">#REF!</definedName>
    <definedName name="PRIOR_YEAR_DATE" localSheetId="15">#REF!</definedName>
    <definedName name="PRIOR_YEAR_DATE" localSheetId="7">#REF!</definedName>
    <definedName name="PRIOR_YEAR_DATE" localSheetId="10">#REF!</definedName>
    <definedName name="PRIOR_YEAR_DATE" localSheetId="13">#REF!</definedName>
    <definedName name="PRIOR_YEAR_DATE" localSheetId="16">#REF!</definedName>
    <definedName name="PRIOR_YEAR_DATE">#REF!</definedName>
    <definedName name="PRIOR_YEAR_X" localSheetId="11">#REF!</definedName>
    <definedName name="PRIOR_YEAR_X" localSheetId="14">#REF!</definedName>
    <definedName name="PRIOR_YEAR_X" localSheetId="6">#REF!</definedName>
    <definedName name="PRIOR_YEAR_X" localSheetId="9">#REF!</definedName>
    <definedName name="PRIOR_YEAR_X" localSheetId="12">#REF!</definedName>
    <definedName name="PRIOR_YEAR_X" localSheetId="15">#REF!</definedName>
    <definedName name="PRIOR_YEAR_X" localSheetId="7">#REF!</definedName>
    <definedName name="PRIOR_YEAR_X" localSheetId="10">#REF!</definedName>
    <definedName name="PRIOR_YEAR_X" localSheetId="13">#REF!</definedName>
    <definedName name="PRIOR_YEAR_X" localSheetId="16">#REF!</definedName>
    <definedName name="PRIOR_YEAR_X">#REF!</definedName>
    <definedName name="SUBSEQUENT_YEAR_DATE" localSheetId="11">#REF!</definedName>
    <definedName name="SUBSEQUENT_YEAR_DATE" localSheetId="14">#REF!</definedName>
    <definedName name="SUBSEQUENT_YEAR_DATE" localSheetId="6">#REF!</definedName>
    <definedName name="SUBSEQUENT_YEAR_DATE" localSheetId="9">#REF!</definedName>
    <definedName name="SUBSEQUENT_YEAR_DATE" localSheetId="12">#REF!</definedName>
    <definedName name="SUBSEQUENT_YEAR_DATE" localSheetId="15">#REF!</definedName>
    <definedName name="SUBSEQUENT_YEAR_DATE" localSheetId="7">#REF!</definedName>
    <definedName name="SUBSEQUENT_YEAR_DATE" localSheetId="10">#REF!</definedName>
    <definedName name="SUBSEQUENT_YEAR_DATE" localSheetId="13">#REF!</definedName>
    <definedName name="SUBSEQUENT_YEAR_DATE" localSheetId="16">#REF!</definedName>
    <definedName name="SUBSEQUENT_YEAR_DATE">#REF!</definedName>
    <definedName name="SUBSEQUENT_YEAR_X" localSheetId="11">#REF!</definedName>
    <definedName name="SUBSEQUENT_YEAR_X" localSheetId="14">#REF!</definedName>
    <definedName name="SUBSEQUENT_YEAR_X" localSheetId="6">#REF!</definedName>
    <definedName name="SUBSEQUENT_YEAR_X" localSheetId="9">#REF!</definedName>
    <definedName name="SUBSEQUENT_YEAR_X" localSheetId="12">#REF!</definedName>
    <definedName name="SUBSEQUENT_YEAR_X" localSheetId="15">#REF!</definedName>
    <definedName name="SUBSEQUENT_YEAR_X" localSheetId="7">#REF!</definedName>
    <definedName name="SUBSEQUENT_YEAR_X" localSheetId="10">#REF!</definedName>
    <definedName name="SUBSEQUENT_YEAR_X" localSheetId="13">#REF!</definedName>
    <definedName name="SUBSEQUENT_YEAR_X" localSheetId="16">#REF!</definedName>
    <definedName name="SUBSEQUENT_YEAR_X">#REF!</definedName>
    <definedName name="TEST_YEAR_DATE" localSheetId="11">#REF!</definedName>
    <definedName name="TEST_YEAR_DATE" localSheetId="14">#REF!</definedName>
    <definedName name="TEST_YEAR_DATE" localSheetId="6">#REF!</definedName>
    <definedName name="TEST_YEAR_DATE" localSheetId="9">#REF!</definedName>
    <definedName name="TEST_YEAR_DATE" localSheetId="12">#REF!</definedName>
    <definedName name="TEST_YEAR_DATE" localSheetId="15">#REF!</definedName>
    <definedName name="TEST_YEAR_DATE" localSheetId="7">#REF!</definedName>
    <definedName name="TEST_YEAR_DATE" localSheetId="10">#REF!</definedName>
    <definedName name="TEST_YEAR_DATE" localSheetId="13">#REF!</definedName>
    <definedName name="TEST_YEAR_DATE" localSheetId="16">#REF!</definedName>
    <definedName name="TEST_YEAR_DATE">#REF!</definedName>
    <definedName name="TEST_YEAR_X" localSheetId="11">#REF!</definedName>
    <definedName name="TEST_YEAR_X" localSheetId="14">#REF!</definedName>
    <definedName name="TEST_YEAR_X" localSheetId="6">#REF!</definedName>
    <definedName name="TEST_YEAR_X" localSheetId="9">#REF!</definedName>
    <definedName name="TEST_YEAR_X" localSheetId="12">#REF!</definedName>
    <definedName name="TEST_YEAR_X" localSheetId="15">#REF!</definedName>
    <definedName name="TEST_YEAR_X" localSheetId="7">#REF!</definedName>
    <definedName name="TEST_YEAR_X" localSheetId="10">#REF!</definedName>
    <definedName name="TEST_YEAR_X" localSheetId="13">#REF!</definedName>
    <definedName name="TEST_YEAR_X" localSheetId="16">#REF!</definedName>
    <definedName name="TEST_YEAR_X">#REF!</definedName>
  </definedNames>
  <calcPr calcId="145621"/>
</workbook>
</file>

<file path=xl/calcChain.xml><?xml version="1.0" encoding="utf-8"?>
<calcChain xmlns="http://schemas.openxmlformats.org/spreadsheetml/2006/main">
  <c r="H24" i="1" l="1"/>
  <c r="H17" i="1"/>
  <c r="E27" i="1"/>
  <c r="E28" i="1"/>
  <c r="G23" i="2" l="1"/>
  <c r="G16" i="2"/>
  <c r="D14" i="2"/>
  <c r="G13" i="2"/>
  <c r="F13" i="2"/>
  <c r="H14" i="1"/>
  <c r="G14" i="1"/>
  <c r="E15" i="1"/>
  <c r="K13" i="2" l="1"/>
  <c r="L14" i="1" l="1"/>
  <c r="N22" i="18"/>
  <c r="N25" i="18"/>
  <c r="N14" i="18"/>
  <c r="K22" i="18"/>
  <c r="H22" i="18"/>
  <c r="E22" i="18"/>
  <c r="K25" i="18"/>
  <c r="H25" i="18"/>
  <c r="E25" i="18"/>
  <c r="K14" i="18"/>
  <c r="H14" i="18"/>
  <c r="E14" i="18"/>
  <c r="A4" i="19" l="1"/>
  <c r="P33" i="17"/>
  <c r="O33" i="17"/>
  <c r="P32" i="17"/>
  <c r="O32" i="17"/>
  <c r="P31" i="17"/>
  <c r="O31" i="17"/>
  <c r="P30" i="17"/>
  <c r="O30" i="17"/>
  <c r="P29" i="17"/>
  <c r="O29" i="17"/>
  <c r="P28" i="17"/>
  <c r="O28" i="17"/>
  <c r="M35" i="17"/>
  <c r="L35" i="17"/>
  <c r="K35" i="17"/>
  <c r="J35" i="17"/>
  <c r="I35" i="17"/>
  <c r="H35" i="17"/>
  <c r="G35" i="17"/>
  <c r="F35" i="17"/>
  <c r="E35" i="17"/>
  <c r="D35" i="17"/>
  <c r="C35" i="17"/>
  <c r="O27" i="17"/>
  <c r="P23" i="17"/>
  <c r="O23" i="17"/>
  <c r="P22" i="17"/>
  <c r="O22" i="17"/>
  <c r="P21" i="17"/>
  <c r="O21" i="17"/>
  <c r="P20" i="17"/>
  <c r="O20" i="17"/>
  <c r="P19" i="17"/>
  <c r="O19" i="17"/>
  <c r="P18" i="17"/>
  <c r="O18" i="17"/>
  <c r="P17" i="17"/>
  <c r="O17" i="17"/>
  <c r="P16" i="17"/>
  <c r="O16" i="17"/>
  <c r="P15" i="17"/>
  <c r="O15" i="17"/>
  <c r="P14" i="17"/>
  <c r="O14" i="17"/>
  <c r="P13" i="17"/>
  <c r="O13" i="17"/>
  <c r="P12" i="17"/>
  <c r="O12" i="17"/>
  <c r="P11" i="17"/>
  <c r="O11" i="17"/>
  <c r="P10" i="17"/>
  <c r="O10" i="17"/>
  <c r="P9" i="17"/>
  <c r="O9" i="17"/>
  <c r="P8" i="17"/>
  <c r="O8" i="17"/>
  <c r="M25" i="17"/>
  <c r="L25" i="17"/>
  <c r="K25" i="17"/>
  <c r="K37" i="17" s="1"/>
  <c r="J25" i="17"/>
  <c r="I25" i="17"/>
  <c r="H25" i="17"/>
  <c r="G25" i="17"/>
  <c r="F25" i="17"/>
  <c r="E25" i="17"/>
  <c r="D25" i="17"/>
  <c r="C25" i="17"/>
  <c r="C37" i="17" s="1"/>
  <c r="O7" i="17"/>
  <c r="P32" i="16"/>
  <c r="O32" i="16"/>
  <c r="P31" i="16"/>
  <c r="O31" i="16"/>
  <c r="P30" i="16"/>
  <c r="O30" i="16"/>
  <c r="P29" i="16"/>
  <c r="O29" i="16"/>
  <c r="P28" i="16"/>
  <c r="O28" i="16"/>
  <c r="M34" i="16"/>
  <c r="L34" i="16"/>
  <c r="K34" i="16"/>
  <c r="J34" i="16"/>
  <c r="I34" i="16"/>
  <c r="H34" i="16"/>
  <c r="G34" i="16"/>
  <c r="F34" i="16"/>
  <c r="E34" i="16"/>
  <c r="D34" i="16"/>
  <c r="C34" i="16"/>
  <c r="O27" i="16"/>
  <c r="P23" i="16"/>
  <c r="O23" i="16"/>
  <c r="P22" i="16"/>
  <c r="O22" i="16"/>
  <c r="P21" i="16"/>
  <c r="O21" i="16"/>
  <c r="P20" i="16"/>
  <c r="O20" i="16"/>
  <c r="P19" i="16"/>
  <c r="O19" i="16"/>
  <c r="P18" i="16"/>
  <c r="O18" i="16"/>
  <c r="P17" i="16"/>
  <c r="O17" i="16"/>
  <c r="P16" i="16"/>
  <c r="O16" i="16"/>
  <c r="P15" i="16"/>
  <c r="O15" i="16"/>
  <c r="P14" i="16"/>
  <c r="O14" i="16"/>
  <c r="P13" i="16"/>
  <c r="O13" i="16"/>
  <c r="P12" i="16"/>
  <c r="O12" i="16"/>
  <c r="P11" i="16"/>
  <c r="O11" i="16"/>
  <c r="P10" i="16"/>
  <c r="O10" i="16"/>
  <c r="P9" i="16"/>
  <c r="O9" i="16"/>
  <c r="P8" i="16"/>
  <c r="O8" i="16"/>
  <c r="M25" i="16"/>
  <c r="M36" i="16" s="1"/>
  <c r="L25" i="16"/>
  <c r="K25" i="16"/>
  <c r="J25" i="16"/>
  <c r="I25" i="16"/>
  <c r="H25" i="16"/>
  <c r="G25" i="16"/>
  <c r="G36" i="16" s="1"/>
  <c r="F25" i="16"/>
  <c r="F36" i="16" s="1"/>
  <c r="E25" i="16"/>
  <c r="E36" i="16" s="1"/>
  <c r="D25" i="16"/>
  <c r="D36" i="16" s="1"/>
  <c r="C25" i="16"/>
  <c r="O7" i="16"/>
  <c r="O31" i="15"/>
  <c r="O30" i="15"/>
  <c r="O29" i="15"/>
  <c r="M34" i="15"/>
  <c r="K34" i="15"/>
  <c r="J34" i="15"/>
  <c r="I34" i="15"/>
  <c r="H34" i="15"/>
  <c r="G34" i="15"/>
  <c r="F34" i="15"/>
  <c r="E34" i="15"/>
  <c r="D34" i="15"/>
  <c r="C34" i="15"/>
  <c r="O27" i="15"/>
  <c r="O23" i="15"/>
  <c r="O22" i="15"/>
  <c r="O21" i="15"/>
  <c r="O20" i="15"/>
  <c r="O19" i="15"/>
  <c r="O18" i="15"/>
  <c r="O17" i="15"/>
  <c r="O15" i="15"/>
  <c r="O14" i="15"/>
  <c r="O13" i="15"/>
  <c r="O12" i="15"/>
  <c r="O11" i="15"/>
  <c r="O10" i="15"/>
  <c r="O9" i="15"/>
  <c r="O8" i="15"/>
  <c r="M25" i="15"/>
  <c r="M36" i="15" s="1"/>
  <c r="L25" i="15"/>
  <c r="K25" i="15"/>
  <c r="J25" i="15"/>
  <c r="I25" i="15"/>
  <c r="I36" i="15" s="1"/>
  <c r="H25" i="15"/>
  <c r="G25" i="15"/>
  <c r="G36" i="15" s="1"/>
  <c r="F25" i="15"/>
  <c r="E25" i="15"/>
  <c r="E36" i="15" s="1"/>
  <c r="D25" i="15"/>
  <c r="C25" i="15"/>
  <c r="O7" i="15"/>
  <c r="P33" i="14"/>
  <c r="P32" i="14"/>
  <c r="P31" i="14"/>
  <c r="P30" i="14"/>
  <c r="P29" i="14"/>
  <c r="P28" i="14"/>
  <c r="M35" i="14"/>
  <c r="L35" i="14"/>
  <c r="K35" i="14"/>
  <c r="J35" i="14"/>
  <c r="I35" i="14"/>
  <c r="H35" i="14"/>
  <c r="G35" i="14"/>
  <c r="F35" i="14"/>
  <c r="E35" i="14"/>
  <c r="D35" i="14"/>
  <c r="C35" i="14"/>
  <c r="P27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M25" i="14"/>
  <c r="M37" i="14" s="1"/>
  <c r="L25" i="14"/>
  <c r="L37" i="14" s="1"/>
  <c r="K25" i="14"/>
  <c r="K37" i="14" s="1"/>
  <c r="J25" i="14"/>
  <c r="I25" i="14"/>
  <c r="H25" i="14"/>
  <c r="G25" i="14"/>
  <c r="F25" i="14"/>
  <c r="F37" i="14" s="1"/>
  <c r="E25" i="14"/>
  <c r="E37" i="14" s="1"/>
  <c r="D25" i="14"/>
  <c r="D37" i="14" s="1"/>
  <c r="C25" i="14"/>
  <c r="C37" i="14" s="1"/>
  <c r="P7" i="14"/>
  <c r="P32" i="13"/>
  <c r="O32" i="13"/>
  <c r="P31" i="13"/>
  <c r="O31" i="13"/>
  <c r="P30" i="13"/>
  <c r="O30" i="13"/>
  <c r="P29" i="13"/>
  <c r="O29" i="13"/>
  <c r="P28" i="13"/>
  <c r="O28" i="13"/>
  <c r="M34" i="13"/>
  <c r="L34" i="13"/>
  <c r="K34" i="13"/>
  <c r="J34" i="13"/>
  <c r="I34" i="13"/>
  <c r="H34" i="13"/>
  <c r="G34" i="13"/>
  <c r="F34" i="13"/>
  <c r="E34" i="13"/>
  <c r="D34" i="13"/>
  <c r="C34" i="13"/>
  <c r="O27" i="13"/>
  <c r="O34" i="13" s="1"/>
  <c r="P23" i="13"/>
  <c r="O23" i="13"/>
  <c r="P22" i="13"/>
  <c r="O22" i="13"/>
  <c r="P21" i="13"/>
  <c r="O21" i="13"/>
  <c r="P20" i="13"/>
  <c r="O20" i="13"/>
  <c r="P19" i="13"/>
  <c r="O19" i="13"/>
  <c r="P18" i="13"/>
  <c r="O18" i="13"/>
  <c r="P17" i="13"/>
  <c r="O17" i="13"/>
  <c r="P16" i="13"/>
  <c r="O16" i="13"/>
  <c r="P15" i="13"/>
  <c r="O15" i="13"/>
  <c r="P14" i="13"/>
  <c r="O14" i="13"/>
  <c r="P13" i="13"/>
  <c r="O13" i="13"/>
  <c r="P12" i="13"/>
  <c r="O12" i="13"/>
  <c r="P11" i="13"/>
  <c r="O11" i="13"/>
  <c r="P10" i="13"/>
  <c r="O10" i="13"/>
  <c r="P9" i="13"/>
  <c r="O9" i="13"/>
  <c r="P8" i="13"/>
  <c r="O8" i="13"/>
  <c r="M25" i="13"/>
  <c r="M36" i="13" s="1"/>
  <c r="L25" i="13"/>
  <c r="L36" i="13" s="1"/>
  <c r="K25" i="13"/>
  <c r="K36" i="13" s="1"/>
  <c r="J25" i="13"/>
  <c r="I25" i="13"/>
  <c r="H25" i="13"/>
  <c r="H36" i="13" s="1"/>
  <c r="G25" i="13"/>
  <c r="F25" i="13"/>
  <c r="F36" i="13" s="1"/>
  <c r="E25" i="13"/>
  <c r="E36" i="13" s="1"/>
  <c r="D25" i="13"/>
  <c r="D36" i="13" s="1"/>
  <c r="C25" i="13"/>
  <c r="C36" i="13" s="1"/>
  <c r="O7" i="13"/>
  <c r="M34" i="12"/>
  <c r="L34" i="12"/>
  <c r="J34" i="12"/>
  <c r="I34" i="12"/>
  <c r="H34" i="12"/>
  <c r="G34" i="12"/>
  <c r="F34" i="12"/>
  <c r="E34" i="12"/>
  <c r="D34" i="12"/>
  <c r="C34" i="12"/>
  <c r="M25" i="12"/>
  <c r="M36" i="12" s="1"/>
  <c r="L25" i="12"/>
  <c r="K25" i="12"/>
  <c r="J25" i="12"/>
  <c r="I25" i="12"/>
  <c r="I36" i="12" s="1"/>
  <c r="H25" i="12"/>
  <c r="G25" i="12"/>
  <c r="F25" i="12"/>
  <c r="E25" i="12"/>
  <c r="D25" i="12"/>
  <c r="D36" i="12" s="1"/>
  <c r="C25" i="12"/>
  <c r="C36" i="12" s="1"/>
  <c r="H37" i="17" l="1"/>
  <c r="I37" i="17"/>
  <c r="O25" i="17"/>
  <c r="L37" i="17"/>
  <c r="F37" i="17"/>
  <c r="O35" i="17"/>
  <c r="G37" i="17"/>
  <c r="J37" i="17"/>
  <c r="D37" i="17"/>
  <c r="E37" i="17"/>
  <c r="M37" i="17"/>
  <c r="L36" i="16"/>
  <c r="C36" i="16"/>
  <c r="I36" i="16"/>
  <c r="H36" i="16"/>
  <c r="O25" i="16"/>
  <c r="O36" i="16" s="1"/>
  <c r="J36" i="16"/>
  <c r="K36" i="16"/>
  <c r="O34" i="16"/>
  <c r="C36" i="15"/>
  <c r="K36" i="15"/>
  <c r="J36" i="15"/>
  <c r="D36" i="15"/>
  <c r="F36" i="15"/>
  <c r="H36" i="15"/>
  <c r="H37" i="14"/>
  <c r="G37" i="14"/>
  <c r="I37" i="14"/>
  <c r="J37" i="14"/>
  <c r="G36" i="13"/>
  <c r="I36" i="13"/>
  <c r="O25" i="13"/>
  <c r="O36" i="13" s="1"/>
  <c r="J36" i="13"/>
  <c r="E36" i="12"/>
  <c r="H36" i="12"/>
  <c r="J36" i="12"/>
  <c r="L36" i="12"/>
  <c r="F36" i="12"/>
  <c r="G36" i="12"/>
  <c r="O25" i="15"/>
  <c r="O16" i="15"/>
  <c r="O28" i="15"/>
  <c r="K34" i="12"/>
  <c r="K36" i="12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L34" i="15"/>
  <c r="L36" i="15" s="1"/>
  <c r="P28" i="15"/>
  <c r="P29" i="15"/>
  <c r="P30" i="15"/>
  <c r="P31" i="15"/>
  <c r="P32" i="15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7" i="12"/>
  <c r="O28" i="12"/>
  <c r="O29" i="12"/>
  <c r="O30" i="12"/>
  <c r="O31" i="12"/>
  <c r="O32" i="12"/>
  <c r="O32" i="15"/>
  <c r="O34" i="15" s="1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8" i="12"/>
  <c r="P29" i="12"/>
  <c r="P30" i="12"/>
  <c r="P31" i="12"/>
  <c r="P32" i="12"/>
  <c r="P7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B25" i="17"/>
  <c r="N27" i="17"/>
  <c r="N28" i="17"/>
  <c r="N29" i="17"/>
  <c r="N30" i="17"/>
  <c r="N31" i="17"/>
  <c r="N32" i="17"/>
  <c r="N33" i="17"/>
  <c r="B35" i="17"/>
  <c r="P27" i="17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B25" i="16"/>
  <c r="N27" i="16"/>
  <c r="N28" i="16"/>
  <c r="N29" i="16"/>
  <c r="N30" i="16"/>
  <c r="N31" i="16"/>
  <c r="N32" i="16"/>
  <c r="B34" i="16"/>
  <c r="P7" i="16"/>
  <c r="P27" i="16"/>
  <c r="P7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B25" i="15"/>
  <c r="N27" i="15"/>
  <c r="N28" i="15"/>
  <c r="N29" i="15"/>
  <c r="N30" i="15"/>
  <c r="N31" i="15"/>
  <c r="N32" i="15"/>
  <c r="B34" i="15"/>
  <c r="P27" i="15"/>
  <c r="P25" i="14"/>
  <c r="P35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B25" i="14"/>
  <c r="N27" i="14"/>
  <c r="N28" i="14"/>
  <c r="N29" i="14"/>
  <c r="N30" i="14"/>
  <c r="N31" i="14"/>
  <c r="N32" i="14"/>
  <c r="N33" i="14"/>
  <c r="B35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7" i="14"/>
  <c r="O28" i="14"/>
  <c r="O29" i="14"/>
  <c r="O30" i="14"/>
  <c r="O31" i="14"/>
  <c r="O32" i="14"/>
  <c r="O33" i="14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B25" i="13"/>
  <c r="N27" i="13"/>
  <c r="N28" i="13"/>
  <c r="N29" i="13"/>
  <c r="N30" i="13"/>
  <c r="N31" i="13"/>
  <c r="N32" i="13"/>
  <c r="B34" i="13"/>
  <c r="P7" i="13"/>
  <c r="P27" i="13"/>
  <c r="P7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B25" i="12"/>
  <c r="N27" i="12"/>
  <c r="N28" i="12"/>
  <c r="N29" i="12"/>
  <c r="N30" i="12"/>
  <c r="N31" i="12"/>
  <c r="N32" i="12"/>
  <c r="B34" i="12"/>
  <c r="P27" i="12"/>
  <c r="O37" i="17" l="1"/>
  <c r="B36" i="13"/>
  <c r="O36" i="15"/>
  <c r="B36" i="15"/>
  <c r="O34" i="12"/>
  <c r="O25" i="12"/>
  <c r="O36" i="12" s="1"/>
  <c r="P35" i="17"/>
  <c r="N35" i="17"/>
  <c r="B37" i="17"/>
  <c r="N25" i="17"/>
  <c r="P25" i="17"/>
  <c r="P34" i="16"/>
  <c r="N34" i="16"/>
  <c r="P25" i="16"/>
  <c r="B36" i="16"/>
  <c r="N25" i="16"/>
  <c r="P25" i="15"/>
  <c r="P34" i="15"/>
  <c r="N25" i="15"/>
  <c r="N34" i="15"/>
  <c r="O35" i="14"/>
  <c r="P37" i="14"/>
  <c r="Q25" i="14" s="1"/>
  <c r="O25" i="14"/>
  <c r="N35" i="14"/>
  <c r="B37" i="14"/>
  <c r="N25" i="14"/>
  <c r="P25" i="13"/>
  <c r="N25" i="13"/>
  <c r="N36" i="13" s="1"/>
  <c r="P34" i="13"/>
  <c r="N34" i="13"/>
  <c r="N25" i="12"/>
  <c r="P34" i="12"/>
  <c r="B36" i="12"/>
  <c r="P25" i="12"/>
  <c r="N34" i="12"/>
  <c r="N37" i="17" l="1"/>
  <c r="N36" i="16"/>
  <c r="Q35" i="14"/>
  <c r="N36" i="12"/>
  <c r="N21" i="18"/>
  <c r="N16" i="18"/>
  <c r="K20" i="18"/>
  <c r="N24" i="18"/>
  <c r="N15" i="18"/>
  <c r="K19" i="18"/>
  <c r="N23" i="18"/>
  <c r="K27" i="18"/>
  <c r="N26" i="18"/>
  <c r="N19" i="18"/>
  <c r="N18" i="18"/>
  <c r="K16" i="18"/>
  <c r="K17" i="18"/>
  <c r="K23" i="18"/>
  <c r="N20" i="18"/>
  <c r="K18" i="18"/>
  <c r="K21" i="18"/>
  <c r="K24" i="18"/>
  <c r="E20" i="4"/>
  <c r="K15" i="18"/>
  <c r="K26" i="18"/>
  <c r="N17" i="18"/>
  <c r="N27" i="18"/>
  <c r="P37" i="17"/>
  <c r="Q35" i="17" s="1"/>
  <c r="P36" i="16"/>
  <c r="Q34" i="16" s="1"/>
  <c r="P36" i="15"/>
  <c r="Q25" i="15" s="1"/>
  <c r="N36" i="15"/>
  <c r="N37" i="14"/>
  <c r="O37" i="14"/>
  <c r="Q37" i="14"/>
  <c r="Q8" i="14"/>
  <c r="Q12" i="14"/>
  <c r="Q16" i="14"/>
  <c r="Q20" i="14"/>
  <c r="Q27" i="14"/>
  <c r="Q30" i="14"/>
  <c r="Q9" i="14"/>
  <c r="Q13" i="14"/>
  <c r="Q17" i="14"/>
  <c r="Q21" i="14"/>
  <c r="Q31" i="14"/>
  <c r="Q7" i="14"/>
  <c r="Q10" i="14"/>
  <c r="Q14" i="14"/>
  <c r="Q18" i="14"/>
  <c r="Q22" i="14"/>
  <c r="Q28" i="14"/>
  <c r="Q32" i="14"/>
  <c r="Q11" i="14"/>
  <c r="Q15" i="14"/>
  <c r="Q19" i="14"/>
  <c r="Q23" i="14"/>
  <c r="Q29" i="14"/>
  <c r="Q33" i="14"/>
  <c r="P36" i="13"/>
  <c r="Q34" i="13" s="1"/>
  <c r="P36" i="12"/>
  <c r="Q34" i="12" s="1"/>
  <c r="Q25" i="17" l="1"/>
  <c r="Q25" i="16"/>
  <c r="G22" i="19"/>
  <c r="N29" i="18"/>
  <c r="F25" i="19"/>
  <c r="F20" i="19"/>
  <c r="Q25" i="12"/>
  <c r="F15" i="19"/>
  <c r="F18" i="19"/>
  <c r="K29" i="18"/>
  <c r="F21" i="19"/>
  <c r="F26" i="19"/>
  <c r="F13" i="19"/>
  <c r="F17" i="19"/>
  <c r="F16" i="19"/>
  <c r="G19" i="19"/>
  <c r="G23" i="19"/>
  <c r="F14" i="19"/>
  <c r="Q37" i="17"/>
  <c r="Q8" i="17"/>
  <c r="Q14" i="17"/>
  <c r="Q18" i="17"/>
  <c r="Q22" i="17"/>
  <c r="Q30" i="17"/>
  <c r="Q10" i="17"/>
  <c r="Q15" i="17"/>
  <c r="Q19" i="17"/>
  <c r="Q23" i="17"/>
  <c r="Q31" i="17"/>
  <c r="Q9" i="17"/>
  <c r="Q11" i="17"/>
  <c r="Q16" i="17"/>
  <c r="Q20" i="17"/>
  <c r="Q28" i="17"/>
  <c r="Q32" i="17"/>
  <c r="Q12" i="17"/>
  <c r="Q13" i="17"/>
  <c r="Q17" i="17"/>
  <c r="Q21" i="17"/>
  <c r="Q29" i="17"/>
  <c r="Q33" i="17"/>
  <c r="Q27" i="17"/>
  <c r="Q7" i="17"/>
  <c r="Q36" i="16"/>
  <c r="Q8" i="16"/>
  <c r="Q12" i="16"/>
  <c r="Q16" i="16"/>
  <c r="Q20" i="16"/>
  <c r="Q28" i="16"/>
  <c r="Q32" i="16"/>
  <c r="Q9" i="16"/>
  <c r="Q13" i="16"/>
  <c r="Q17" i="16"/>
  <c r="Q21" i="16"/>
  <c r="Q29" i="16"/>
  <c r="Q10" i="16"/>
  <c r="Q14" i="16"/>
  <c r="Q18" i="16"/>
  <c r="Q22" i="16"/>
  <c r="Q30" i="16"/>
  <c r="Q11" i="16"/>
  <c r="Q15" i="16"/>
  <c r="Q19" i="16"/>
  <c r="Q23" i="16"/>
  <c r="Q31" i="16"/>
  <c r="Q27" i="16"/>
  <c r="Q7" i="16"/>
  <c r="Q36" i="15"/>
  <c r="Q8" i="15"/>
  <c r="Q12" i="15"/>
  <c r="Q20" i="15"/>
  <c r="Q10" i="15"/>
  <c r="Q14" i="15"/>
  <c r="Q18" i="15"/>
  <c r="Q22" i="15"/>
  <c r="Q30" i="15"/>
  <c r="Q11" i="15"/>
  <c r="Q15" i="15"/>
  <c r="Q19" i="15"/>
  <c r="Q23" i="15"/>
  <c r="Q31" i="15"/>
  <c r="Q16" i="15"/>
  <c r="Q28" i="15"/>
  <c r="Q32" i="15"/>
  <c r="Q9" i="15"/>
  <c r="Q13" i="15"/>
  <c r="Q17" i="15"/>
  <c r="Q21" i="15"/>
  <c r="Q29" i="15"/>
  <c r="Q7" i="15"/>
  <c r="Q27" i="15"/>
  <c r="Q34" i="15"/>
  <c r="Q36" i="13"/>
  <c r="Q12" i="13"/>
  <c r="Q14" i="13"/>
  <c r="Q22" i="13"/>
  <c r="Q10" i="13"/>
  <c r="Q19" i="13"/>
  <c r="Q30" i="13"/>
  <c r="Q8" i="13"/>
  <c r="Q16" i="13"/>
  <c r="Q29" i="13"/>
  <c r="Q13" i="13"/>
  <c r="Q21" i="13"/>
  <c r="Q32" i="13"/>
  <c r="Q11" i="13"/>
  <c r="Q18" i="13"/>
  <c r="Q31" i="13"/>
  <c r="Q15" i="13"/>
  <c r="Q23" i="13"/>
  <c r="Q20" i="13"/>
  <c r="Q9" i="13"/>
  <c r="Q17" i="13"/>
  <c r="Q28" i="13"/>
  <c r="Q7" i="13"/>
  <c r="Q27" i="13"/>
  <c r="Q25" i="13"/>
  <c r="Q36" i="12"/>
  <c r="Q8" i="12"/>
  <c r="Q12" i="12"/>
  <c r="Q16" i="12"/>
  <c r="Q20" i="12"/>
  <c r="Q28" i="12"/>
  <c r="Q32" i="12"/>
  <c r="Q11" i="12"/>
  <c r="Q17" i="12"/>
  <c r="Q29" i="12"/>
  <c r="Q9" i="12"/>
  <c r="Q18" i="12"/>
  <c r="Q30" i="12"/>
  <c r="Q10" i="12"/>
  <c r="Q15" i="12"/>
  <c r="Q19" i="12"/>
  <c r="Q23" i="12"/>
  <c r="Q31" i="12"/>
  <c r="Q13" i="12"/>
  <c r="Q21" i="12"/>
  <c r="Q14" i="12"/>
  <c r="Q22" i="12"/>
  <c r="Q7" i="12"/>
  <c r="Q27" i="12"/>
  <c r="G28" i="19" l="1"/>
  <c r="F28" i="19"/>
  <c r="D20" i="4"/>
  <c r="O33" i="11"/>
  <c r="N33" i="11"/>
  <c r="M33" i="11"/>
  <c r="L33" i="11"/>
  <c r="K33" i="11"/>
  <c r="J33" i="11"/>
  <c r="I33" i="11"/>
  <c r="H33" i="11"/>
  <c r="G33" i="11"/>
  <c r="F33" i="11"/>
  <c r="E33" i="11"/>
  <c r="O32" i="10"/>
  <c r="N32" i="10"/>
  <c r="M32" i="10"/>
  <c r="L32" i="10"/>
  <c r="K32" i="10"/>
  <c r="J32" i="10"/>
  <c r="I32" i="10"/>
  <c r="H32" i="10"/>
  <c r="G32" i="10"/>
  <c r="F32" i="10"/>
  <c r="E32" i="10"/>
  <c r="O33" i="9"/>
  <c r="N33" i="9"/>
  <c r="M33" i="9"/>
  <c r="L33" i="9"/>
  <c r="K33" i="9"/>
  <c r="J33" i="9"/>
  <c r="I33" i="9"/>
  <c r="H33" i="9"/>
  <c r="G33" i="9"/>
  <c r="F33" i="9"/>
  <c r="E33" i="9"/>
  <c r="P46" i="8"/>
  <c r="Q46" i="8"/>
  <c r="P37" i="8"/>
  <c r="Q37" i="8"/>
  <c r="P36" i="8"/>
  <c r="Q36" i="8"/>
  <c r="P35" i="8"/>
  <c r="P34" i="8"/>
  <c r="Q34" i="8"/>
  <c r="P33" i="8"/>
  <c r="Q33" i="8"/>
  <c r="P32" i="8"/>
  <c r="Q32" i="8"/>
  <c r="K39" i="8"/>
  <c r="G39" i="8"/>
  <c r="C39" i="8"/>
  <c r="Q31" i="8"/>
  <c r="P27" i="8"/>
  <c r="Q27" i="8"/>
  <c r="P26" i="8"/>
  <c r="Q26" i="8"/>
  <c r="P25" i="8"/>
  <c r="Q25" i="8"/>
  <c r="P24" i="8"/>
  <c r="Q24" i="8"/>
  <c r="P23" i="8"/>
  <c r="Q23" i="8"/>
  <c r="P22" i="8"/>
  <c r="Q22" i="8"/>
  <c r="P21" i="8"/>
  <c r="Q21" i="8"/>
  <c r="P20" i="8"/>
  <c r="Q20" i="8"/>
  <c r="P19" i="8"/>
  <c r="Q19" i="8"/>
  <c r="P18" i="8"/>
  <c r="Q18" i="8"/>
  <c r="P17" i="8"/>
  <c r="Q17" i="8"/>
  <c r="P16" i="8"/>
  <c r="P15" i="8"/>
  <c r="Q15" i="8"/>
  <c r="P14" i="8"/>
  <c r="Q14" i="8"/>
  <c r="P13" i="8"/>
  <c r="Q13" i="8"/>
  <c r="P12" i="8"/>
  <c r="Q12" i="8"/>
  <c r="P11" i="8"/>
  <c r="M8" i="8"/>
  <c r="L8" i="8"/>
  <c r="K8" i="8"/>
  <c r="J8" i="8"/>
  <c r="I8" i="8"/>
  <c r="H8" i="8"/>
  <c r="G8" i="8"/>
  <c r="F8" i="8"/>
  <c r="E8" i="8"/>
  <c r="D8" i="8"/>
  <c r="C8" i="8"/>
  <c r="B8" i="8"/>
  <c r="R44" i="7"/>
  <c r="S44" i="7"/>
  <c r="R35" i="7"/>
  <c r="S35" i="7"/>
  <c r="R34" i="7"/>
  <c r="S34" i="7"/>
  <c r="R33" i="7"/>
  <c r="S33" i="7"/>
  <c r="R32" i="7"/>
  <c r="S32" i="7"/>
  <c r="R31" i="7"/>
  <c r="S31" i="7"/>
  <c r="O37" i="7"/>
  <c r="M37" i="7"/>
  <c r="K37" i="7"/>
  <c r="R37" i="7" s="1"/>
  <c r="I37" i="7"/>
  <c r="G37" i="7"/>
  <c r="E37" i="7"/>
  <c r="S30" i="7"/>
  <c r="R26" i="7"/>
  <c r="S26" i="7"/>
  <c r="R25" i="7"/>
  <c r="S25" i="7"/>
  <c r="R24" i="7"/>
  <c r="S24" i="7"/>
  <c r="R23" i="7"/>
  <c r="S23" i="7"/>
  <c r="R22" i="7"/>
  <c r="S22" i="7"/>
  <c r="R21" i="7"/>
  <c r="S21" i="7"/>
  <c r="R20" i="7"/>
  <c r="S20" i="7"/>
  <c r="R19" i="7"/>
  <c r="S19" i="7"/>
  <c r="R18" i="7"/>
  <c r="S18" i="7"/>
  <c r="R17" i="7"/>
  <c r="S17" i="7"/>
  <c r="R16" i="7"/>
  <c r="S16" i="7"/>
  <c r="R15" i="7"/>
  <c r="S15" i="7"/>
  <c r="R14" i="7"/>
  <c r="S14" i="7"/>
  <c r="R13" i="7"/>
  <c r="R12" i="7"/>
  <c r="S12" i="7"/>
  <c r="R11" i="7"/>
  <c r="S11" i="7"/>
  <c r="R10" i="7"/>
  <c r="O7" i="7"/>
  <c r="N7" i="7"/>
  <c r="M7" i="7"/>
  <c r="L7" i="7"/>
  <c r="K7" i="7"/>
  <c r="J7" i="7"/>
  <c r="I7" i="7"/>
  <c r="H7" i="7"/>
  <c r="G7" i="7"/>
  <c r="F7" i="7"/>
  <c r="E7" i="7"/>
  <c r="D7" i="7"/>
  <c r="S44" i="6"/>
  <c r="R44" i="6"/>
  <c r="P44" i="6"/>
  <c r="Q44" i="6" s="1"/>
  <c r="R35" i="6"/>
  <c r="S35" i="6"/>
  <c r="R34" i="6"/>
  <c r="S34" i="6"/>
  <c r="R33" i="6"/>
  <c r="S33" i="6"/>
  <c r="R32" i="6"/>
  <c r="S32" i="6"/>
  <c r="R31" i="6"/>
  <c r="S31" i="6"/>
  <c r="N37" i="6"/>
  <c r="J37" i="6"/>
  <c r="F37" i="6"/>
  <c r="S30" i="6"/>
  <c r="R26" i="6"/>
  <c r="S26" i="6"/>
  <c r="R25" i="6"/>
  <c r="S25" i="6"/>
  <c r="R24" i="6"/>
  <c r="S24" i="6"/>
  <c r="R23" i="6"/>
  <c r="S23" i="6"/>
  <c r="R22" i="6"/>
  <c r="S22" i="6"/>
  <c r="R21" i="6"/>
  <c r="S21" i="6"/>
  <c r="R20" i="6"/>
  <c r="S20" i="6"/>
  <c r="R19" i="6"/>
  <c r="S19" i="6"/>
  <c r="R18" i="6"/>
  <c r="S18" i="6"/>
  <c r="R17" i="6"/>
  <c r="S17" i="6"/>
  <c r="R16" i="6"/>
  <c r="S16" i="6"/>
  <c r="R15" i="6"/>
  <c r="S15" i="6"/>
  <c r="R14" i="6"/>
  <c r="S14" i="6"/>
  <c r="R13" i="6"/>
  <c r="S13" i="6"/>
  <c r="R12" i="6"/>
  <c r="S12" i="6"/>
  <c r="R11" i="6"/>
  <c r="S11" i="6"/>
  <c r="S10" i="6"/>
  <c r="O7" i="6"/>
  <c r="N7" i="6"/>
  <c r="M7" i="6"/>
  <c r="L7" i="6"/>
  <c r="K7" i="6"/>
  <c r="J7" i="6"/>
  <c r="I7" i="6"/>
  <c r="H7" i="6"/>
  <c r="G7" i="6"/>
  <c r="F7" i="6"/>
  <c r="E7" i="6"/>
  <c r="D7" i="6"/>
  <c r="H19" i="18" l="1"/>
  <c r="H15" i="18"/>
  <c r="G28" i="6"/>
  <c r="K28" i="6"/>
  <c r="R28" i="6" s="1"/>
  <c r="O28" i="6"/>
  <c r="H21" i="18"/>
  <c r="H18" i="18"/>
  <c r="H27" i="18"/>
  <c r="H24" i="18"/>
  <c r="H16" i="18"/>
  <c r="H17" i="18"/>
  <c r="H26" i="18"/>
  <c r="H23" i="18"/>
  <c r="H20" i="18"/>
  <c r="M29" i="8"/>
  <c r="D39" i="8"/>
  <c r="H39" i="8"/>
  <c r="L39" i="8"/>
  <c r="E29" i="8"/>
  <c r="J29" i="8"/>
  <c r="E39" i="8"/>
  <c r="I39" i="8"/>
  <c r="P39" i="8" s="1"/>
  <c r="M39" i="8"/>
  <c r="N46" i="8"/>
  <c r="O46" i="8" s="1"/>
  <c r="I29" i="8"/>
  <c r="I41" i="8" s="1"/>
  <c r="F29" i="8"/>
  <c r="C29" i="8"/>
  <c r="C41" i="8" s="1"/>
  <c r="C43" i="8" s="1"/>
  <c r="C44" i="8" s="1"/>
  <c r="G29" i="8"/>
  <c r="G41" i="8" s="1"/>
  <c r="K29" i="8"/>
  <c r="K41" i="8" s="1"/>
  <c r="K43" i="8" s="1"/>
  <c r="K44" i="8" s="1"/>
  <c r="F39" i="8"/>
  <c r="J39" i="8"/>
  <c r="P31" i="8"/>
  <c r="Q35" i="8"/>
  <c r="G28" i="7"/>
  <c r="G39" i="7" s="1"/>
  <c r="K28" i="7"/>
  <c r="R28" i="7" s="1"/>
  <c r="O28" i="7"/>
  <c r="O39" i="7" s="1"/>
  <c r="F37" i="7"/>
  <c r="J37" i="7"/>
  <c r="N37" i="7"/>
  <c r="P44" i="7"/>
  <c r="E28" i="7"/>
  <c r="E39" i="7" s="1"/>
  <c r="E41" i="7" s="1"/>
  <c r="E42" i="7" s="1"/>
  <c r="I28" i="7"/>
  <c r="I39" i="7" s="1"/>
  <c r="M28" i="7"/>
  <c r="M39" i="7" s="1"/>
  <c r="M41" i="7" s="1"/>
  <c r="M42" i="7" s="1"/>
  <c r="H37" i="7"/>
  <c r="L37" i="7"/>
  <c r="R30" i="7"/>
  <c r="C20" i="4"/>
  <c r="G37" i="6"/>
  <c r="K37" i="6"/>
  <c r="R37" i="6" s="1"/>
  <c r="O37" i="6"/>
  <c r="E28" i="6"/>
  <c r="M28" i="6"/>
  <c r="H37" i="6"/>
  <c r="L37" i="6"/>
  <c r="R30" i="6"/>
  <c r="H28" i="6"/>
  <c r="L28" i="6"/>
  <c r="L39" i="6" s="1"/>
  <c r="L41" i="6" s="1"/>
  <c r="L42" i="6" s="1"/>
  <c r="R10" i="6"/>
  <c r="I28" i="6"/>
  <c r="F28" i="6"/>
  <c r="F39" i="6" s="1"/>
  <c r="F41" i="6" s="1"/>
  <c r="F42" i="6" s="1"/>
  <c r="J28" i="6"/>
  <c r="J39" i="6" s="1"/>
  <c r="J41" i="6" s="1"/>
  <c r="J42" i="6" s="1"/>
  <c r="N28" i="6"/>
  <c r="N39" i="6" s="1"/>
  <c r="E37" i="6"/>
  <c r="I37" i="6"/>
  <c r="M37" i="6"/>
  <c r="Q25" i="10"/>
  <c r="Q26" i="10"/>
  <c r="Q27" i="10"/>
  <c r="Q28" i="10"/>
  <c r="Q29" i="10"/>
  <c r="Q30" i="10"/>
  <c r="Q27" i="9"/>
  <c r="Q28" i="9"/>
  <c r="Q26" i="9"/>
  <c r="P29" i="9"/>
  <c r="Q30" i="9"/>
  <c r="P31" i="9"/>
  <c r="E24" i="11"/>
  <c r="E36" i="11" s="1"/>
  <c r="I24" i="11"/>
  <c r="I36" i="11" s="1"/>
  <c r="M24" i="11"/>
  <c r="M36" i="11" s="1"/>
  <c r="F24" i="11"/>
  <c r="F36" i="11" s="1"/>
  <c r="J24" i="11"/>
  <c r="J36" i="11" s="1"/>
  <c r="N24" i="11"/>
  <c r="N36" i="11" s="1"/>
  <c r="G24" i="11"/>
  <c r="G36" i="11" s="1"/>
  <c r="K24" i="11"/>
  <c r="K36" i="11" s="1"/>
  <c r="O24" i="11"/>
  <c r="O36" i="11" s="1"/>
  <c r="H24" i="11"/>
  <c r="H36" i="11" s="1"/>
  <c r="L24" i="11"/>
  <c r="L36" i="11" s="1"/>
  <c r="Q25" i="11"/>
  <c r="Q26" i="11"/>
  <c r="Q27" i="11"/>
  <c r="Q28" i="11"/>
  <c r="Q29" i="11"/>
  <c r="Q30" i="11"/>
  <c r="Q31" i="11"/>
  <c r="F24" i="10"/>
  <c r="F35" i="10" s="1"/>
  <c r="J24" i="10"/>
  <c r="J35" i="10" s="1"/>
  <c r="N24" i="10"/>
  <c r="N35" i="10" s="1"/>
  <c r="G24" i="10"/>
  <c r="G35" i="10" s="1"/>
  <c r="K24" i="10"/>
  <c r="K35" i="10" s="1"/>
  <c r="O24" i="10"/>
  <c r="O35" i="10" s="1"/>
  <c r="H24" i="10"/>
  <c r="H35" i="10" s="1"/>
  <c r="L24" i="10"/>
  <c r="L35" i="10" s="1"/>
  <c r="E24" i="10"/>
  <c r="E35" i="10" s="1"/>
  <c r="I24" i="10"/>
  <c r="I35" i="10" s="1"/>
  <c r="M24" i="10"/>
  <c r="M35" i="10" s="1"/>
  <c r="F25" i="9"/>
  <c r="F36" i="9" s="1"/>
  <c r="J25" i="9"/>
  <c r="J36" i="9" s="1"/>
  <c r="N25" i="9"/>
  <c r="N36" i="9" s="1"/>
  <c r="G25" i="9"/>
  <c r="G36" i="9" s="1"/>
  <c r="K25" i="9"/>
  <c r="K36" i="9" s="1"/>
  <c r="O25" i="9"/>
  <c r="O36" i="9" s="1"/>
  <c r="H25" i="9"/>
  <c r="H36" i="9" s="1"/>
  <c r="L25" i="9"/>
  <c r="L36" i="9" s="1"/>
  <c r="E25" i="9"/>
  <c r="E36" i="9" s="1"/>
  <c r="I25" i="9"/>
  <c r="I36" i="9" s="1"/>
  <c r="M25" i="9"/>
  <c r="M36" i="9" s="1"/>
  <c r="D24" i="11"/>
  <c r="P26" i="11"/>
  <c r="P28" i="11"/>
  <c r="P30" i="11"/>
  <c r="D33" i="11"/>
  <c r="P25" i="11"/>
  <c r="P27" i="11"/>
  <c r="P29" i="11"/>
  <c r="P31" i="11"/>
  <c r="P25" i="10"/>
  <c r="P27" i="10"/>
  <c r="P29" i="10"/>
  <c r="D32" i="10"/>
  <c r="D24" i="10"/>
  <c r="P26" i="10"/>
  <c r="P28" i="10"/>
  <c r="P30" i="10"/>
  <c r="D25" i="9"/>
  <c r="P27" i="9"/>
  <c r="Q29" i="9"/>
  <c r="Q31" i="9"/>
  <c r="P26" i="9"/>
  <c r="P28" i="9"/>
  <c r="P30" i="9"/>
  <c r="D33" i="9"/>
  <c r="D29" i="8"/>
  <c r="H29" i="8"/>
  <c r="L29" i="8"/>
  <c r="N12" i="8"/>
  <c r="N14" i="8"/>
  <c r="Q16" i="8"/>
  <c r="N16" i="8"/>
  <c r="P29" i="8"/>
  <c r="Q11" i="8"/>
  <c r="B29" i="8"/>
  <c r="N11" i="8"/>
  <c r="N13" i="8"/>
  <c r="N15" i="8"/>
  <c r="O15" i="8" s="1"/>
  <c r="G43" i="8"/>
  <c r="G44" i="8" s="1"/>
  <c r="N17" i="8"/>
  <c r="N18" i="8"/>
  <c r="N19" i="8"/>
  <c r="N20" i="8"/>
  <c r="O20" i="8" s="1"/>
  <c r="N21" i="8"/>
  <c r="N22" i="8"/>
  <c r="O22" i="8" s="1"/>
  <c r="N23" i="8"/>
  <c r="N24" i="8"/>
  <c r="N25" i="8"/>
  <c r="N26" i="8"/>
  <c r="N27" i="8"/>
  <c r="N31" i="8"/>
  <c r="N32" i="8"/>
  <c r="N33" i="8"/>
  <c r="O33" i="8" s="1"/>
  <c r="N34" i="8"/>
  <c r="N35" i="8"/>
  <c r="N36" i="8"/>
  <c r="N37" i="8"/>
  <c r="B39" i="8"/>
  <c r="Q39" i="8" s="1"/>
  <c r="G41" i="7"/>
  <c r="G42" i="7" s="1"/>
  <c r="K39" i="7"/>
  <c r="O41" i="7"/>
  <c r="O42" i="7" s="1"/>
  <c r="S10" i="7"/>
  <c r="D28" i="7"/>
  <c r="H28" i="7"/>
  <c r="H39" i="7" s="1"/>
  <c r="L28" i="7"/>
  <c r="L39" i="7" s="1"/>
  <c r="P10" i="7"/>
  <c r="P12" i="7"/>
  <c r="Q12" i="7" s="1"/>
  <c r="I41" i="7"/>
  <c r="I42" i="7" s="1"/>
  <c r="F28" i="7"/>
  <c r="F39" i="7" s="1"/>
  <c r="J28" i="7"/>
  <c r="J39" i="7" s="1"/>
  <c r="N28" i="7"/>
  <c r="N39" i="7" s="1"/>
  <c r="P11" i="7"/>
  <c r="Q11" i="7" s="1"/>
  <c r="S13" i="7"/>
  <c r="P13" i="7"/>
  <c r="Q13" i="7" s="1"/>
  <c r="Q44" i="7"/>
  <c r="P14" i="7"/>
  <c r="Q14" i="7" s="1"/>
  <c r="P15" i="7"/>
  <c r="Q15" i="7" s="1"/>
  <c r="P16" i="7"/>
  <c r="Q16" i="7" s="1"/>
  <c r="P17" i="7"/>
  <c r="Q17" i="7" s="1"/>
  <c r="P18" i="7"/>
  <c r="Q18" i="7" s="1"/>
  <c r="P19" i="7"/>
  <c r="Q19" i="7" s="1"/>
  <c r="P20" i="7"/>
  <c r="Q20" i="7" s="1"/>
  <c r="P21" i="7"/>
  <c r="Q21" i="7" s="1"/>
  <c r="P22" i="7"/>
  <c r="Q22" i="7" s="1"/>
  <c r="P23" i="7"/>
  <c r="Q23" i="7" s="1"/>
  <c r="P24" i="7"/>
  <c r="Q24" i="7" s="1"/>
  <c r="P25" i="7"/>
  <c r="Q25" i="7" s="1"/>
  <c r="P26" i="7"/>
  <c r="Q26" i="7" s="1"/>
  <c r="P30" i="7"/>
  <c r="P31" i="7"/>
  <c r="Q31" i="7" s="1"/>
  <c r="P32" i="7"/>
  <c r="Q32" i="7" s="1"/>
  <c r="P33" i="7"/>
  <c r="Q33" i="7" s="1"/>
  <c r="P34" i="7"/>
  <c r="Q34" i="7" s="1"/>
  <c r="P35" i="7"/>
  <c r="Q35" i="7" s="1"/>
  <c r="D37" i="7"/>
  <c r="S37" i="7" s="1"/>
  <c r="N41" i="6"/>
  <c r="N42" i="6" s="1"/>
  <c r="P10" i="6"/>
  <c r="P19" i="6"/>
  <c r="Q19" i="6" s="1"/>
  <c r="P20" i="6"/>
  <c r="Q20" i="6" s="1"/>
  <c r="P21" i="6"/>
  <c r="Q21" i="6" s="1"/>
  <c r="P23" i="6"/>
  <c r="Q23" i="6" s="1"/>
  <c r="P24" i="6"/>
  <c r="Q24" i="6" s="1"/>
  <c r="P26" i="6"/>
  <c r="Q26" i="6" s="1"/>
  <c r="D28" i="6"/>
  <c r="P30" i="6"/>
  <c r="P31" i="6"/>
  <c r="Q31" i="6" s="1"/>
  <c r="P32" i="6"/>
  <c r="Q32" i="6" s="1"/>
  <c r="P33" i="6"/>
  <c r="Q33" i="6" s="1"/>
  <c r="P34" i="6"/>
  <c r="Q34" i="6" s="1"/>
  <c r="P35" i="6"/>
  <c r="Q35" i="6" s="1"/>
  <c r="D37" i="6"/>
  <c r="S37" i="6" s="1"/>
  <c r="P11" i="6"/>
  <c r="Q11" i="6" s="1"/>
  <c r="P12" i="6"/>
  <c r="Q12" i="6" s="1"/>
  <c r="P13" i="6"/>
  <c r="Q13" i="6" s="1"/>
  <c r="P14" i="6"/>
  <c r="Q14" i="6" s="1"/>
  <c r="P15" i="6"/>
  <c r="Q15" i="6" s="1"/>
  <c r="P16" i="6"/>
  <c r="Q16" i="6" s="1"/>
  <c r="P17" i="6"/>
  <c r="Q17" i="6" s="1"/>
  <c r="P18" i="6"/>
  <c r="Q18" i="6" s="1"/>
  <c r="P22" i="6"/>
  <c r="Q22" i="6" s="1"/>
  <c r="P25" i="6"/>
  <c r="Q25" i="6" s="1"/>
  <c r="H41" i="8" l="1"/>
  <c r="H43" i="8" s="1"/>
  <c r="H44" i="8" s="1"/>
  <c r="O37" i="8"/>
  <c r="O26" i="8"/>
  <c r="O18" i="8"/>
  <c r="J41" i="8"/>
  <c r="J43" i="8" s="1"/>
  <c r="J44" i="8" s="1"/>
  <c r="E41" i="8"/>
  <c r="O35" i="8"/>
  <c r="O24" i="8"/>
  <c r="O12" i="8"/>
  <c r="O39" i="6"/>
  <c r="H39" i="6"/>
  <c r="H41" i="6" s="1"/>
  <c r="H42" i="6" s="1"/>
  <c r="I39" i="6"/>
  <c r="I41" i="6" s="1"/>
  <c r="I42" i="6" s="1"/>
  <c r="G39" i="6"/>
  <c r="K39" i="6"/>
  <c r="K41" i="6" s="1"/>
  <c r="R41" i="6" s="1"/>
  <c r="E24" i="18"/>
  <c r="B25" i="2"/>
  <c r="H29" i="18"/>
  <c r="B18" i="2"/>
  <c r="E24" i="19"/>
  <c r="F41" i="8"/>
  <c r="F43" i="8" s="1"/>
  <c r="F44" i="8" s="1"/>
  <c r="O36" i="8"/>
  <c r="O32" i="8"/>
  <c r="O25" i="8"/>
  <c r="O21" i="8"/>
  <c r="O17" i="8"/>
  <c r="O14" i="8"/>
  <c r="D41" i="8"/>
  <c r="O34" i="8"/>
  <c r="O27" i="8"/>
  <c r="O23" i="8"/>
  <c r="O19" i="8"/>
  <c r="O13" i="8"/>
  <c r="O16" i="8"/>
  <c r="L41" i="8"/>
  <c r="L43" i="8" s="1"/>
  <c r="L44" i="8" s="1"/>
  <c r="M41" i="8"/>
  <c r="E39" i="6"/>
  <c r="E41" i="6" s="1"/>
  <c r="E42" i="6" s="1"/>
  <c r="M39" i="6"/>
  <c r="M41" i="6" s="1"/>
  <c r="M42" i="6" s="1"/>
  <c r="Q24" i="10"/>
  <c r="D35" i="10"/>
  <c r="Q32" i="10"/>
  <c r="P32" i="10"/>
  <c r="Q24" i="11"/>
  <c r="Q33" i="11"/>
  <c r="Q33" i="9"/>
  <c r="Q25" i="9"/>
  <c r="P25" i="9"/>
  <c r="P33" i="11"/>
  <c r="P24" i="11"/>
  <c r="D36" i="11"/>
  <c r="P24" i="10"/>
  <c r="D36" i="9"/>
  <c r="P33" i="9"/>
  <c r="O31" i="8"/>
  <c r="N39" i="8"/>
  <c r="O39" i="8" s="1"/>
  <c r="Q29" i="8"/>
  <c r="B41" i="8"/>
  <c r="O11" i="8"/>
  <c r="N29" i="8"/>
  <c r="I43" i="8"/>
  <c r="P43" i="8" s="1"/>
  <c r="P41" i="8"/>
  <c r="D43" i="8"/>
  <c r="D44" i="8" s="1"/>
  <c r="Q30" i="7"/>
  <c r="P37" i="7"/>
  <c r="Q37" i="7" s="1"/>
  <c r="J41" i="7"/>
  <c r="J42" i="7" s="1"/>
  <c r="S28" i="7"/>
  <c r="D39" i="7"/>
  <c r="F41" i="7"/>
  <c r="F42" i="7" s="1"/>
  <c r="Q10" i="7"/>
  <c r="P28" i="7"/>
  <c r="K41" i="7"/>
  <c r="R41" i="7" s="1"/>
  <c r="R39" i="7"/>
  <c r="L41" i="7"/>
  <c r="L42" i="7" s="1"/>
  <c r="N41" i="7"/>
  <c r="N42" i="7" s="1"/>
  <c r="H41" i="7"/>
  <c r="H42" i="7" s="1"/>
  <c r="Q30" i="6"/>
  <c r="P37" i="6"/>
  <c r="Q37" i="6" s="1"/>
  <c r="G41" i="6"/>
  <c r="G42" i="6" s="1"/>
  <c r="S28" i="6"/>
  <c r="D39" i="6"/>
  <c r="O41" i="6"/>
  <c r="O42" i="6" s="1"/>
  <c r="Q10" i="6"/>
  <c r="P28" i="6"/>
  <c r="E43" i="8" l="1"/>
  <c r="E44" i="8" s="1"/>
  <c r="E18" i="18"/>
  <c r="D17" i="19" s="1"/>
  <c r="R39" i="6"/>
  <c r="E28" i="19"/>
  <c r="E17" i="1"/>
  <c r="B22" i="2"/>
  <c r="E21" i="18"/>
  <c r="B20" i="4"/>
  <c r="E14" i="1"/>
  <c r="B24" i="2"/>
  <c r="E23" i="18"/>
  <c r="B15" i="2"/>
  <c r="E15" i="18"/>
  <c r="B19" i="2"/>
  <c r="E19" i="18"/>
  <c r="E27" i="18"/>
  <c r="B29" i="2"/>
  <c r="E17" i="18"/>
  <c r="B17" i="2"/>
  <c r="D13" i="19"/>
  <c r="B20" i="2"/>
  <c r="E20" i="18"/>
  <c r="B28" i="2"/>
  <c r="E26" i="18"/>
  <c r="E16" i="18"/>
  <c r="B21" i="2"/>
  <c r="E24" i="1"/>
  <c r="M43" i="8"/>
  <c r="M44" i="8" s="1"/>
  <c r="P36" i="11"/>
  <c r="Q35" i="10"/>
  <c r="P35" i="10"/>
  <c r="Q36" i="11"/>
  <c r="Q36" i="9"/>
  <c r="P36" i="9"/>
  <c r="O29" i="8"/>
  <c r="N41" i="8"/>
  <c r="Q41" i="8"/>
  <c r="B43" i="8"/>
  <c r="Q43" i="8" s="1"/>
  <c r="I44" i="8"/>
  <c r="P44" i="8" s="1"/>
  <c r="K42" i="7"/>
  <c r="R42" i="7" s="1"/>
  <c r="Q28" i="7"/>
  <c r="P39" i="7"/>
  <c r="S39" i="7"/>
  <c r="D41" i="7"/>
  <c r="S41" i="7" s="1"/>
  <c r="Q28" i="6"/>
  <c r="P39" i="6"/>
  <c r="S39" i="6"/>
  <c r="D41" i="6"/>
  <c r="S41" i="6" s="1"/>
  <c r="K42" i="6"/>
  <c r="R42" i="6" s="1"/>
  <c r="D26" i="19" l="1"/>
  <c r="D15" i="19"/>
  <c r="D24" i="19"/>
  <c r="D25" i="19"/>
  <c r="D14" i="19"/>
  <c r="D20" i="19"/>
  <c r="D16" i="19"/>
  <c r="D22" i="19"/>
  <c r="E29" i="18"/>
  <c r="D19" i="19"/>
  <c r="D23" i="19"/>
  <c r="D21" i="19"/>
  <c r="D18" i="19"/>
  <c r="B44" i="8"/>
  <c r="Q44" i="8" s="1"/>
  <c r="O41" i="8"/>
  <c r="N43" i="8"/>
  <c r="O43" i="8" s="1"/>
  <c r="D42" i="7"/>
  <c r="S42" i="7" s="1"/>
  <c r="Q39" i="7"/>
  <c r="P41" i="7"/>
  <c r="Q41" i="7" s="1"/>
  <c r="P42" i="7"/>
  <c r="Q42" i="7" s="1"/>
  <c r="Q39" i="6"/>
  <c r="P41" i="6"/>
  <c r="Q41" i="6" s="1"/>
  <c r="D42" i="6"/>
  <c r="S42" i="6" s="1"/>
  <c r="N44" i="8" l="1"/>
  <c r="O44" i="8" s="1"/>
  <c r="D28" i="19"/>
  <c r="P42" i="6"/>
  <c r="Q42" i="6" s="1"/>
  <c r="E16" i="1" l="1"/>
  <c r="K25" i="2"/>
  <c r="C15" i="18" l="1"/>
  <c r="C23" i="19" s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3" i="2"/>
  <c r="S14" i="1" s="1"/>
  <c r="C31" i="2"/>
  <c r="B31" i="2"/>
  <c r="S17" i="1" l="1"/>
  <c r="S24" i="1"/>
  <c r="R16" i="2"/>
  <c r="D31" i="2"/>
  <c r="H23" i="19"/>
  <c r="B23" i="19"/>
  <c r="O15" i="18"/>
  <c r="F15" i="18"/>
  <c r="L15" i="18"/>
  <c r="I15" i="18"/>
  <c r="R17" i="2"/>
  <c r="R24" i="2"/>
  <c r="R23" i="2"/>
  <c r="R14" i="2"/>
  <c r="R13" i="2"/>
  <c r="L14" i="2"/>
  <c r="M14" i="2"/>
  <c r="N14" i="2"/>
  <c r="L15" i="2"/>
  <c r="M15" i="2"/>
  <c r="N15" i="2"/>
  <c r="L16" i="2"/>
  <c r="M16" i="2"/>
  <c r="N16" i="2"/>
  <c r="L17" i="2"/>
  <c r="M17" i="2"/>
  <c r="N17" i="2"/>
  <c r="L18" i="2"/>
  <c r="M18" i="2"/>
  <c r="N18" i="2"/>
  <c r="L19" i="2"/>
  <c r="M19" i="2"/>
  <c r="N19" i="2"/>
  <c r="L20" i="2"/>
  <c r="M20" i="2"/>
  <c r="N20" i="2"/>
  <c r="L21" i="2"/>
  <c r="M21" i="2"/>
  <c r="N21" i="2"/>
  <c r="L22" i="2"/>
  <c r="M22" i="2"/>
  <c r="N22" i="2"/>
  <c r="L23" i="2"/>
  <c r="M23" i="2"/>
  <c r="N23" i="2"/>
  <c r="L24" i="2"/>
  <c r="M24" i="2"/>
  <c r="N24" i="2"/>
  <c r="L25" i="2"/>
  <c r="M25" i="2"/>
  <c r="N25" i="2"/>
  <c r="L26" i="2"/>
  <c r="M26" i="2"/>
  <c r="N26" i="2"/>
  <c r="L27" i="2"/>
  <c r="M27" i="2"/>
  <c r="N27" i="2"/>
  <c r="L28" i="2"/>
  <c r="M28" i="2"/>
  <c r="N28" i="2"/>
  <c r="L29" i="2"/>
  <c r="M29" i="2"/>
  <c r="N29" i="2"/>
  <c r="N13" i="2"/>
  <c r="M13" i="2"/>
  <c r="L13" i="2"/>
  <c r="O13" i="2" l="1"/>
  <c r="O26" i="2"/>
  <c r="O22" i="2"/>
  <c r="O18" i="2"/>
  <c r="O14" i="2"/>
  <c r="S13" i="2"/>
  <c r="M31" i="2"/>
  <c r="L31" i="2"/>
  <c r="O27" i="2"/>
  <c r="O23" i="2"/>
  <c r="O19" i="2"/>
  <c r="O15" i="2"/>
  <c r="O28" i="2"/>
  <c r="O24" i="2"/>
  <c r="O20" i="2"/>
  <c r="N31" i="2"/>
  <c r="O29" i="2"/>
  <c r="O25" i="2"/>
  <c r="O21" i="2"/>
  <c r="O17" i="2"/>
  <c r="O16" i="2"/>
  <c r="K29" i="2"/>
  <c r="K28" i="2"/>
  <c r="K27" i="2"/>
  <c r="S17" i="2" s="1"/>
  <c r="K26" i="2"/>
  <c r="S24" i="2" s="1"/>
  <c r="K24" i="2"/>
  <c r="K23" i="2"/>
  <c r="S23" i="2" s="1"/>
  <c r="K22" i="2"/>
  <c r="K21" i="2"/>
  <c r="K20" i="2"/>
  <c r="K19" i="2"/>
  <c r="K18" i="2"/>
  <c r="K17" i="2"/>
  <c r="K16" i="2"/>
  <c r="S16" i="2" s="1"/>
  <c r="K15" i="2"/>
  <c r="K14" i="2"/>
  <c r="S14" i="2" s="1"/>
  <c r="E30" i="1"/>
  <c r="E29" i="1"/>
  <c r="E26" i="1"/>
  <c r="E25" i="1"/>
  <c r="E23" i="1"/>
  <c r="E22" i="1"/>
  <c r="E21" i="1"/>
  <c r="E20" i="1"/>
  <c r="E19" i="1"/>
  <c r="E18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T14" i="2" l="1"/>
  <c r="C22" i="18"/>
  <c r="C25" i="19" s="1"/>
  <c r="C17" i="18"/>
  <c r="C15" i="19" s="1"/>
  <c r="C16" i="18"/>
  <c r="C14" i="19" s="1"/>
  <c r="C24" i="18"/>
  <c r="C13" i="19" s="1"/>
  <c r="C27" i="18"/>
  <c r="C20" i="19" s="1"/>
  <c r="C14" i="18"/>
  <c r="C22" i="19" s="1"/>
  <c r="C18" i="18"/>
  <c r="C17" i="19" s="1"/>
  <c r="C21" i="18"/>
  <c r="C24" i="19" s="1"/>
  <c r="C19" i="18"/>
  <c r="C18" i="19" s="1"/>
  <c r="C25" i="18"/>
  <c r="C26" i="19" s="1"/>
  <c r="C20" i="18"/>
  <c r="C19" i="19" s="1"/>
  <c r="C23" i="18"/>
  <c r="C16" i="19" s="1"/>
  <c r="C26" i="18"/>
  <c r="C21" i="19" s="1"/>
  <c r="T17" i="2"/>
  <c r="T24" i="2"/>
  <c r="D17" i="1"/>
  <c r="D24" i="1"/>
  <c r="D30" i="1"/>
  <c r="D14" i="1"/>
  <c r="D15" i="1"/>
  <c r="D22" i="1"/>
  <c r="D19" i="1"/>
  <c r="D21" i="1"/>
  <c r="D25" i="1"/>
  <c r="D29" i="1"/>
  <c r="D18" i="1"/>
  <c r="D26" i="1"/>
  <c r="D23" i="1"/>
  <c r="D27" i="1"/>
  <c r="B32" i="1"/>
  <c r="D20" i="1"/>
  <c r="D28" i="1"/>
  <c r="N28" i="1" s="1"/>
  <c r="D16" i="1"/>
  <c r="O31" i="2"/>
  <c r="P13" i="2" s="1"/>
  <c r="N19" i="1" l="1"/>
  <c r="N30" i="1"/>
  <c r="O29" i="1"/>
  <c r="M24" i="1"/>
  <c r="M25" i="1"/>
  <c r="O22" i="18"/>
  <c r="I22" i="18"/>
  <c r="M20" i="1"/>
  <c r="N26" i="1"/>
  <c r="N21" i="1"/>
  <c r="B18" i="19"/>
  <c r="H18" i="19"/>
  <c r="H20" i="19"/>
  <c r="B20" i="19"/>
  <c r="H14" i="19"/>
  <c r="B14" i="19"/>
  <c r="H21" i="19"/>
  <c r="B21" i="19"/>
  <c r="H19" i="19"/>
  <c r="B19" i="19"/>
  <c r="F22" i="18"/>
  <c r="H22" i="19"/>
  <c r="B22" i="19"/>
  <c r="H17" i="19"/>
  <c r="B17" i="19"/>
  <c r="H26" i="19"/>
  <c r="B26" i="19"/>
  <c r="L22" i="18"/>
  <c r="H24" i="19"/>
  <c r="B24" i="19"/>
  <c r="C28" i="19"/>
  <c r="H13" i="19"/>
  <c r="H15" i="19"/>
  <c r="B15" i="19"/>
  <c r="H16" i="19"/>
  <c r="B16" i="19"/>
  <c r="B25" i="19"/>
  <c r="H25" i="19"/>
  <c r="O24" i="1"/>
  <c r="M17" i="1"/>
  <c r="T25" i="1"/>
  <c r="U25" i="1" s="1"/>
  <c r="N24" i="1"/>
  <c r="F26" i="18"/>
  <c r="I26" i="18"/>
  <c r="O26" i="18"/>
  <c r="L26" i="18"/>
  <c r="F20" i="18"/>
  <c r="I20" i="18"/>
  <c r="L20" i="18"/>
  <c r="O20" i="18"/>
  <c r="O19" i="18"/>
  <c r="L19" i="18"/>
  <c r="F19" i="18"/>
  <c r="I19" i="18"/>
  <c r="L18" i="18"/>
  <c r="F18" i="18"/>
  <c r="O18" i="18"/>
  <c r="I18" i="18"/>
  <c r="O27" i="18"/>
  <c r="F27" i="18"/>
  <c r="I27" i="18"/>
  <c r="L27" i="18"/>
  <c r="O16" i="18"/>
  <c r="F16" i="18"/>
  <c r="L16" i="18"/>
  <c r="I16" i="18"/>
  <c r="L25" i="18"/>
  <c r="F25" i="18"/>
  <c r="O25" i="18"/>
  <c r="I25" i="18"/>
  <c r="C29" i="18"/>
  <c r="L14" i="18"/>
  <c r="O14" i="18"/>
  <c r="F14" i="18"/>
  <c r="I14" i="18"/>
  <c r="O23" i="18"/>
  <c r="I23" i="18"/>
  <c r="F23" i="18"/>
  <c r="L23" i="18"/>
  <c r="F21" i="18"/>
  <c r="O21" i="18"/>
  <c r="I21" i="18"/>
  <c r="L21" i="18"/>
  <c r="L24" i="18"/>
  <c r="I24" i="18"/>
  <c r="O24" i="18"/>
  <c r="F24" i="18"/>
  <c r="F17" i="18"/>
  <c r="O17" i="18"/>
  <c r="L17" i="18"/>
  <c r="I17" i="18"/>
  <c r="T17" i="1"/>
  <c r="U17" i="1" s="1"/>
  <c r="O17" i="1"/>
  <c r="N17" i="1"/>
  <c r="O19" i="1"/>
  <c r="N29" i="1"/>
  <c r="N15" i="1"/>
  <c r="T15" i="1"/>
  <c r="U15" i="1" s="1"/>
  <c r="M14" i="1"/>
  <c r="T14" i="1"/>
  <c r="U14" i="1" s="1"/>
  <c r="T24" i="1"/>
  <c r="U24" i="1" s="1"/>
  <c r="O28" i="1"/>
  <c r="T18" i="1"/>
  <c r="U18" i="1" s="1"/>
  <c r="O26" i="1"/>
  <c r="M28" i="1"/>
  <c r="M26" i="1"/>
  <c r="N25" i="1"/>
  <c r="O25" i="1"/>
  <c r="M29" i="1"/>
  <c r="M15" i="1"/>
  <c r="O30" i="1"/>
  <c r="O15" i="1"/>
  <c r="N14" i="1"/>
  <c r="O14" i="1"/>
  <c r="M30" i="1"/>
  <c r="O20" i="1"/>
  <c r="N20" i="1"/>
  <c r="M19" i="1"/>
  <c r="O27" i="1"/>
  <c r="M27" i="1"/>
  <c r="N27" i="1"/>
  <c r="M21" i="1"/>
  <c r="O21" i="1"/>
  <c r="O23" i="1"/>
  <c r="N23" i="1"/>
  <c r="M18" i="1"/>
  <c r="O18" i="1"/>
  <c r="N18" i="1"/>
  <c r="O22" i="1"/>
  <c r="M22" i="1"/>
  <c r="N22" i="1"/>
  <c r="M23" i="1"/>
  <c r="M16" i="1"/>
  <c r="N16" i="1"/>
  <c r="O16" i="1"/>
  <c r="D32" i="1"/>
  <c r="P28" i="2"/>
  <c r="P14" i="2"/>
  <c r="P20" i="2"/>
  <c r="P21" i="2"/>
  <c r="P18" i="2"/>
  <c r="P19" i="2"/>
  <c r="P22" i="2"/>
  <c r="P29" i="2"/>
  <c r="P26" i="2"/>
  <c r="P27" i="2"/>
  <c r="P23" i="2"/>
  <c r="P15" i="2"/>
  <c r="P24" i="2"/>
  <c r="P17" i="2"/>
  <c r="P25" i="2"/>
  <c r="P16" i="2"/>
  <c r="V25" i="1" l="1"/>
  <c r="P24" i="1"/>
  <c r="P29" i="1"/>
  <c r="P17" i="1"/>
  <c r="V18" i="1"/>
  <c r="P28" i="1"/>
  <c r="P19" i="1"/>
  <c r="P26" i="1"/>
  <c r="V15" i="1"/>
  <c r="P25" i="1"/>
  <c r="P15" i="1"/>
  <c r="P21" i="1"/>
  <c r="P14" i="1"/>
  <c r="P30" i="1"/>
  <c r="N32" i="1"/>
  <c r="O32" i="1"/>
  <c r="P20" i="1"/>
  <c r="P22" i="1"/>
  <c r="P27" i="1"/>
  <c r="P23" i="1"/>
  <c r="P18" i="1"/>
  <c r="P16" i="1"/>
  <c r="M32" i="1"/>
  <c r="P32" i="1" l="1"/>
  <c r="Q18" i="1" l="1"/>
  <c r="Q27" i="1"/>
  <c r="Q15" i="1"/>
  <c r="Q30" i="1"/>
  <c r="Q20" i="1"/>
  <c r="Q21" i="1"/>
  <c r="Q25" i="1"/>
  <c r="Q23" i="1"/>
  <c r="Q22" i="1"/>
  <c r="Q24" i="1"/>
  <c r="Q26" i="1"/>
  <c r="Q14" i="1"/>
  <c r="Q17" i="1"/>
  <c r="Q28" i="1"/>
  <c r="Q29" i="1"/>
  <c r="Q19" i="1"/>
  <c r="Q16" i="1"/>
  <c r="Q32" i="1" l="1"/>
  <c r="B13" i="19" l="1"/>
</calcChain>
</file>

<file path=xl/sharedStrings.xml><?xml version="1.0" encoding="utf-8"?>
<sst xmlns="http://schemas.openxmlformats.org/spreadsheetml/2006/main" count="904" uniqueCount="223">
  <si>
    <t>FPL201 -  MWH Sales</t>
  </si>
  <si>
    <t>Explanation: The total 12 month MWH Sales, adjusted for losses.</t>
  </si>
  <si>
    <t/>
  </si>
  <si>
    <t>MWH Sales @ Meter</t>
  </si>
  <si>
    <t>Voltage Level %</t>
  </si>
  <si>
    <t>Loss Expansion Factor</t>
  </si>
  <si>
    <t>MWH Sales @ Generation</t>
  </si>
  <si>
    <t>% to</t>
  </si>
  <si>
    <t>@ Meter</t>
  </si>
  <si>
    <t>Adjustment</t>
  </si>
  <si>
    <t>Adjusted</t>
  </si>
  <si>
    <t>Transm</t>
  </si>
  <si>
    <t>Primary</t>
  </si>
  <si>
    <t>Secondary</t>
  </si>
  <si>
    <t>Total</t>
  </si>
  <si>
    <t>Total Retail</t>
  </si>
  <si>
    <t>Total System</t>
  </si>
  <si>
    <t>CILC-1D</t>
  </si>
  <si>
    <t>CILC-1G</t>
  </si>
  <si>
    <t>CILC-1T</t>
  </si>
  <si>
    <t>GSD(T)-1</t>
  </si>
  <si>
    <t>GSLD(T)-1</t>
  </si>
  <si>
    <t>GSLD(T)-2</t>
  </si>
  <si>
    <t>GSLD(T)-3</t>
  </si>
  <si>
    <t>GS(T)-1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</si>
  <si>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</si>
  <si>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</si>
  <si>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</si>
  <si>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</si>
  <si>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</si>
  <si>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</si>
  <si>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</si>
  <si>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</si>
  <si>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BLOUNTSTOWN</t>
  </si>
  <si>
    <t>FKEC</t>
  </si>
  <si>
    <t>KWEST</t>
  </si>
  <si>
    <t>LCEC</t>
  </si>
  <si>
    <t>MDCSWM</t>
  </si>
  <si>
    <t>NEW SMRYNA BEACH</t>
  </si>
  <si>
    <t>SEMINOLE</t>
  </si>
  <si>
    <t>WAUCHULA</t>
  </si>
  <si>
    <t>WINTER PARK</t>
  </si>
  <si>
    <t>Total Wholesale</t>
  </si>
  <si>
    <t>Total FPL</t>
  </si>
  <si>
    <t>Jurisdictional Separation Factor</t>
  </si>
  <si>
    <t>Totals may not add due to rounding.</t>
  </si>
  <si>
    <t>FPL102 - Average of the 12 Months CP Demand - Nuclear Production</t>
  </si>
  <si>
    <t>Explanation: The total class contribution to the average of the 12 monthly Coincident Peak (12CP) demands, adjusted for losses, excluding the Key West contract.</t>
  </si>
  <si>
    <t>Purpose: Used to separate nuclear production plant and related cost between Retail and Wholesale jurisdictions.</t>
  </si>
  <si>
    <t>12 CP @ Meter</t>
  </si>
  <si>
    <t>12 CP @ Generation</t>
  </si>
  <si>
    <t>2017 JURISDICTIONAL SEPARATION STUDY</t>
  </si>
  <si>
    <t>Energy Loss Factors</t>
  </si>
  <si>
    <t>Updated based on new revenue forecast</t>
  </si>
  <si>
    <t>Demand Loss Factors</t>
  </si>
  <si>
    <t>CILC-D/CILC-G</t>
  </si>
  <si>
    <t>GSCU/SL-2</t>
  </si>
  <si>
    <t>OL-1/ SL-1</t>
  </si>
  <si>
    <t>re-calculated</t>
  </si>
  <si>
    <t>Combined Rate Classes</t>
  </si>
  <si>
    <t>12 NCP</t>
  </si>
  <si>
    <t>Load factor (CP)</t>
  </si>
  <si>
    <t>METRO</t>
  </si>
  <si>
    <t>GSCU</t>
  </si>
  <si>
    <t>Rate Class</t>
  </si>
  <si>
    <t>Loss Factors</t>
  </si>
  <si>
    <t>12 CP</t>
  </si>
  <si>
    <t>2012 COINCIDENT PEAK ANALYSIS (KW)</t>
  </si>
  <si>
    <t>DATE OF SYSTEM PEAK</t>
  </si>
  <si>
    <t>% Contribu-tion to</t>
  </si>
  <si>
    <t>DAY OF SYSTEM PEAK</t>
  </si>
  <si>
    <t>System</t>
  </si>
  <si>
    <t>Summer</t>
  </si>
  <si>
    <t>Winter</t>
  </si>
  <si>
    <t>HOUR ENDING</t>
  </si>
  <si>
    <t>Average</t>
  </si>
  <si>
    <t>Peak</t>
  </si>
  <si>
    <t>RS11</t>
  </si>
  <si>
    <t>CP</t>
  </si>
  <si>
    <t>TGSD1</t>
  </si>
  <si>
    <t>TGSLD1</t>
  </si>
  <si>
    <t>GS09</t>
  </si>
  <si>
    <t>CILC1D</t>
  </si>
  <si>
    <t>TGSLD2</t>
  </si>
  <si>
    <t>CILC1T</t>
  </si>
  <si>
    <t>TGSLD3</t>
  </si>
  <si>
    <t>CILC1G</t>
  </si>
  <si>
    <t>SL01</t>
  </si>
  <si>
    <t>SST-1(T)</t>
  </si>
  <si>
    <t>SSTTST</t>
  </si>
  <si>
    <t>GSCU09</t>
  </si>
  <si>
    <t>OL01</t>
  </si>
  <si>
    <t>SL02</t>
  </si>
  <si>
    <t>OS202</t>
  </si>
  <si>
    <t>SST-1(D)</t>
  </si>
  <si>
    <t>SSTD</t>
  </si>
  <si>
    <t xml:space="preserve">     Total Retail</t>
  </si>
  <si>
    <t>LEE</t>
  </si>
  <si>
    <t>CNTRFK</t>
  </si>
  <si>
    <t>CNTRKE</t>
  </si>
  <si>
    <t>MDWS</t>
  </si>
  <si>
    <t xml:space="preserve">     Total Wholesale</t>
  </si>
  <si>
    <t>System Peak Billed</t>
  </si>
  <si>
    <t>Demand Line Losses - 7.67% per 2011 Loss Study</t>
  </si>
  <si>
    <t>Statistical Error</t>
  </si>
  <si>
    <t>System Peak</t>
  </si>
  <si>
    <t>2013 COINCIDENT PEAK ANALYSIS (KW)</t>
  </si>
  <si>
    <t>GS12</t>
  </si>
  <si>
    <t>GSCU12</t>
  </si>
  <si>
    <t>2014 COINCIDENT PEAK ANALYSIS (KW)</t>
  </si>
  <si>
    <t>WINTERPARK</t>
  </si>
  <si>
    <t>NEW SMYRNA</t>
  </si>
  <si>
    <t>NEWSMYRNA</t>
  </si>
  <si>
    <t>Demand Line Losses - 7.37% per 2013 Loss Study</t>
  </si>
  <si>
    <t>2012 GROUP COINCIDENT PEAK ANALYSIS (KW)</t>
  </si>
  <si>
    <t>MAX GCP</t>
  </si>
  <si>
    <t>12 GCP</t>
  </si>
  <si>
    <t>GCP</t>
  </si>
  <si>
    <t xml:space="preserve">  SUB-TOTAL RETAIL</t>
  </si>
  <si>
    <t xml:space="preserve">  SUB-TOTAL WHOLESALE</t>
  </si>
  <si>
    <t>TOTAL</t>
  </si>
  <si>
    <t>2013 GROUP COINCIDENT PEAK ANALYSIS (KW)</t>
  </si>
  <si>
    <t>2014 GROUP COINCIDENT PEAK ANALYSIS (KW)</t>
  </si>
  <si>
    <t>2012 NON-COINCIDENT PEAK ANALYSIS (KW)</t>
  </si>
  <si>
    <t>Total for 12 Months</t>
  </si>
  <si>
    <t>Max NCP</t>
  </si>
  <si>
    <t>% Total</t>
  </si>
  <si>
    <t>2013 NON-COINCIDENT PEAK ANALYSIS (KW)</t>
  </si>
  <si>
    <t>2014 NON-COINCIDENT PEAK ANALYSIS (KW)</t>
  </si>
  <si>
    <t>2012 NON-COINCIDENT PEAK ON PEAK ANALYSIS (KW)</t>
  </si>
  <si>
    <t>Max NCP on Peak</t>
  </si>
  <si>
    <t>2013 NON-COINCIDENT PEAK ON PEAK ANALYSIS (KW)</t>
  </si>
  <si>
    <t>2014 NON-COINCIDENT PEAK ON PEAK ANALYSIS (KW)</t>
  </si>
  <si>
    <t>12 NCP on Peak</t>
  </si>
  <si>
    <t>(Utilized for calculation of recovery factors for the capacity, environmental, and conservation clauses)</t>
  </si>
  <si>
    <t xml:space="preserve">Average </t>
  </si>
  <si>
    <t>Annual</t>
  </si>
  <si>
    <t>ON PEAK</t>
  </si>
  <si>
    <t>Rate</t>
  </si>
  <si>
    <t>Sales</t>
  </si>
  <si>
    <t>Load</t>
  </si>
  <si>
    <t>Class</t>
  </si>
  <si>
    <t>Code</t>
  </si>
  <si>
    <t>kWH (1)</t>
  </si>
  <si>
    <t>kW (2)</t>
  </si>
  <si>
    <t>Factor (3)</t>
  </si>
  <si>
    <t>Factor (4)</t>
  </si>
  <si>
    <t>Factor (5)</t>
  </si>
  <si>
    <t>Factor (6)</t>
  </si>
  <si>
    <t>54 &amp; 56</t>
  </si>
  <si>
    <t>68, 69 &amp; 78</t>
  </si>
  <si>
    <t>GSD(T)-1 / HLFT-1 / SDTR-1A &amp; 1B</t>
  </si>
  <si>
    <t>70, 72, 170, 270 &amp; 370</t>
  </si>
  <si>
    <t>GSLD(T)-1 / CS(T)-1 / HLFT-2 / SDTR-2A &amp; 2B</t>
  </si>
  <si>
    <t>62, 64, 73, 74, 164, 264 &amp; 364</t>
  </si>
  <si>
    <t>GSLD(T)-2 / CS(T)-2 / HLFT-3 / SDTR-3A &amp; 3B</t>
  </si>
  <si>
    <t>63, 65, 71, 75, 165, 265 &amp; 365</t>
  </si>
  <si>
    <t>GSLD(T)-3 / CS(T)-3</t>
  </si>
  <si>
    <t>91, 90, 92 &amp; 82</t>
  </si>
  <si>
    <t>OL-1 / SL-1</t>
  </si>
  <si>
    <t>11 &amp; 87</t>
  </si>
  <si>
    <t>44 &amp; 45</t>
  </si>
  <si>
    <t>SL-2 / GSCU-1</t>
  </si>
  <si>
    <t>86 &amp; 168</t>
  </si>
  <si>
    <t>SST-1D</t>
  </si>
  <si>
    <t>851, 852 &amp; 853</t>
  </si>
  <si>
    <t>SST-1T</t>
  </si>
  <si>
    <t>TOTALS</t>
  </si>
  <si>
    <t>Notes</t>
  </si>
  <si>
    <t xml:space="preserve">     (2)  Source:  2010 Rate Case</t>
  </si>
  <si>
    <t xml:space="preserve">     (3)  Average 12 CP Load Factor = (KWH / 8760 / Average 12 CP) * 100</t>
  </si>
  <si>
    <t xml:space="preserve">     (4)  Average 12 GCP Load Factor = (KWH / 8760 / Average 12 GCP) * 100</t>
  </si>
  <si>
    <t xml:space="preserve">     (5)  Average 12 NCP Load Factor = (KWH / 8760 / Average 12 NCP) * 100</t>
  </si>
  <si>
    <t xml:space="preserve">     (6)  Average 12 NCP On Peak Load Factor = (KWH / 8760 / Average 12 NCP On Peak) * 100</t>
  </si>
  <si>
    <t xml:space="preserve">     (7)  Totals may not add due to rounding</t>
  </si>
  <si>
    <t>2017 Load Factor Analysis</t>
  </si>
  <si>
    <t>January 2017 through December 2017</t>
  </si>
  <si>
    <t xml:space="preserve">     (1)  Source:  2017 Forecast</t>
  </si>
  <si>
    <t xml:space="preserve">     (2)  Source:  2012 to 2014 Averages from E-11</t>
  </si>
  <si>
    <t>RATE LOAD RESEARCH INPUT</t>
  </si>
  <si>
    <t>RATE</t>
  </si>
  <si>
    <t>AVG 12 CP</t>
  </si>
  <si>
    <t>ANNUAL</t>
  </si>
  <si>
    <t>LOAD FACTOR</t>
  </si>
  <si>
    <t>CLASS</t>
  </si>
  <si>
    <t>SALES</t>
  </si>
  <si>
    <t>(KW) (3)</t>
  </si>
  <si>
    <t>% (1)</t>
  </si>
  <si>
    <t>(KWH) (2)</t>
  </si>
  <si>
    <t>(kW) (2)</t>
  </si>
  <si>
    <t>Notes:</t>
  </si>
  <si>
    <t xml:space="preserve">     (1)  AVG 12 CP LF = (KWH / 8760 / AVG 12 CP) * 100</t>
  </si>
  <si>
    <t xml:space="preserve">     (3)  Source:  2010 Rate Case</t>
  </si>
  <si>
    <t>CILC-1D/CILC-1G</t>
  </si>
  <si>
    <t xml:space="preserve">     (4)  AVG 12 GCP was used for MET.</t>
  </si>
  <si>
    <t>AVG 12 GCP (4)</t>
  </si>
  <si>
    <t xml:space="preserve">     (5)  AVG 12 NCP was used for RS(T)-1, GS(T)-1, GSD(T)-1, GSLD(T)-1, GSLD(T)-2, SST-1T, SST-1D, OS-2, OL-1/SL-1, SL-2/GSCU-1</t>
  </si>
  <si>
    <t xml:space="preserve">     (6) AVG 12 On Peak NCP was used for CILC-1D/CILC-1G, CILC-1T and GSLD(T)-3 </t>
  </si>
  <si>
    <t xml:space="preserve">     (7)  LF% = (KWH / 8760 / AVG 12 NCP or AVG 12 On Peak NCP or AVG 12 GCP as applicable (refer to note 5)) * 100</t>
  </si>
  <si>
    <t xml:space="preserve">     (8)  Totals may not add due to rounding</t>
  </si>
  <si>
    <t xml:space="preserve">AVG 12 NCP (5) </t>
  </si>
  <si>
    <t xml:space="preserve">AVG 12 NCP on Peak (6) </t>
  </si>
  <si>
    <t>LF % (7)</t>
  </si>
  <si>
    <t xml:space="preserve">CILC1D&amp;G </t>
  </si>
  <si>
    <t>GSCU-1</t>
  </si>
  <si>
    <t>OPC 015347</t>
  </si>
  <si>
    <t>FPL RC-16</t>
  </si>
  <si>
    <t>OPC 015348</t>
  </si>
  <si>
    <t>OPC 015349</t>
  </si>
  <si>
    <t>OPC 015350</t>
  </si>
  <si>
    <t>OPC 015352</t>
  </si>
  <si>
    <t>OPC 015353</t>
  </si>
  <si>
    <t>OPC 015354</t>
  </si>
  <si>
    <t>OPC 015355</t>
  </si>
  <si>
    <t>OPC 015356</t>
  </si>
  <si>
    <t>OPC 015357</t>
  </si>
  <si>
    <t>OPC 015358</t>
  </si>
  <si>
    <t>OPC 015359</t>
  </si>
  <si>
    <t>OPC 015360</t>
  </si>
  <si>
    <t>OPC 015361</t>
  </si>
  <si>
    <t>OPC 015362</t>
  </si>
  <si>
    <t>OPC 015363</t>
  </si>
  <si>
    <t>OPC 015351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</si>
</sst>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#,##0.000000_);\(#,##0.000000\)"/>
    <numFmt numFmtId="165" formatCode="#,##0.000"/>
    <numFmt numFmtId="166" formatCode="#,##0.0000%_);\(#,##0.0000%\)"/>
    <numFmt numFmtId="167" formatCode="#,##0.000000_);[Red]\(#,##0.000000\);&quot; &quot;"/>
    <numFmt numFmtId="168" formatCode="0.000%"/>
    <numFmt numFmtId="169" formatCode="#,##0.0000000"/>
    <numFmt numFmtId="170" formatCode="_(* #,##0_);_(* \(#,##0\);_(* &quot;-&quot;??_);_(@_)"/>
    <numFmt numFmtId="171" formatCode="0.0000%"/>
    <numFmt numFmtId="172" formatCode="mm/dd/yy"/>
    <numFmt numFmtId="173" formatCode="h:mm;@"/>
    <numFmt numFmtId="174" formatCode="0.00000%"/>
  </numFmts>
  <fonts count="1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sz val="10"/>
      <color theme="9" tint="-0.249977111117893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9"/>
      <color indexed="48"/>
      <name val="Arial"/>
      <family val="2"/>
    </font>
    <font>
      <b/>
      <sz val="9"/>
      <name val="Arial"/>
      <family val="2"/>
    </font>
    <font>
      <b/>
      <sz val="9"/>
      <color indexed="4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9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4" fillId="0" borderId="0"/>
    <xf numFmtId="0" fontId="115" fillId="4" borderId="19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06" fillId="0" borderId="0"/>
    <xf numFmtId="43" fontId="106" fillId="0" borderId="0" applyFont="0" applyFill="0" applyBorder="0" applyAlignment="0" applyProtection="0"/>
    <xf numFmtId="9" fontId="106" fillId="0" borderId="0" applyFont="0" applyFill="0" applyBorder="0" applyAlignment="0" applyProtection="0"/>
  </cellStyleXfs>
  <cellXfs count="338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37" fontId="6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166" fontId="15" fillId="0" borderId="2" xfId="0" applyNumberFormat="1" applyFont="1" applyBorder="1" applyAlignment="1">
      <alignment horizontal="right"/>
    </xf>
    <xf numFmtId="0" fontId="16" fillId="0" borderId="0" xfId="0" applyNumberFormat="1" applyFont="1" applyAlignment="1">
      <alignment horizontal="right"/>
    </xf>
    <xf numFmtId="0" fontId="17" fillId="0" borderId="0" xfId="0" applyNumberFormat="1" applyFont="1" applyAlignment="1">
      <alignment horizontal="right"/>
    </xf>
    <xf numFmtId="0" fontId="18" fillId="0" borderId="0" xfId="0" applyNumberFormat="1" applyFont="1" applyAlignment="1">
      <alignment horizontal="right"/>
    </xf>
    <xf numFmtId="0" fontId="19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right"/>
    </xf>
    <xf numFmtId="0" fontId="21" fillId="0" borderId="0" xfId="0" applyNumberFormat="1" applyFont="1" applyAlignment="1">
      <alignment horizontal="right"/>
    </xf>
    <xf numFmtId="0" fontId="22" fillId="0" borderId="0" xfId="0" applyNumberFormat="1" applyFont="1" applyAlignment="1">
      <alignment horizontal="right"/>
    </xf>
    <xf numFmtId="0" fontId="23" fillId="0" borderId="0" xfId="0" applyNumberFormat="1" applyFont="1" applyAlignment="1">
      <alignment horizontal="right"/>
    </xf>
    <xf numFmtId="0" fontId="24" fillId="0" borderId="0" xfId="0" applyNumberFormat="1" applyFont="1" applyAlignment="1">
      <alignment horizontal="right"/>
    </xf>
    <xf numFmtId="37" fontId="25" fillId="0" borderId="2" xfId="0" applyNumberFormat="1" applyFont="1" applyBorder="1" applyAlignment="1">
      <alignment horizontal="right"/>
    </xf>
    <xf numFmtId="0" fontId="26" fillId="0" borderId="0" xfId="0" applyNumberFormat="1" applyFont="1" applyAlignment="1">
      <alignment horizontal="right"/>
    </xf>
    <xf numFmtId="0" fontId="27" fillId="0" borderId="0" xfId="0" applyNumberFormat="1" applyFont="1" applyAlignment="1">
      <alignment horizontal="right"/>
    </xf>
    <xf numFmtId="0" fontId="28" fillId="0" borderId="0" xfId="0" applyNumberFormat="1" applyFont="1" applyAlignment="1">
      <alignment horizontal="right"/>
    </xf>
    <xf numFmtId="166" fontId="29" fillId="0" borderId="2" xfId="0" applyNumberFormat="1" applyFont="1" applyBorder="1" applyAlignment="1">
      <alignment horizontal="right"/>
    </xf>
    <xf numFmtId="37" fontId="30" fillId="0" borderId="4" xfId="0" applyNumberFormat="1" applyFont="1" applyBorder="1" applyAlignment="1">
      <alignment horizontal="right"/>
    </xf>
    <xf numFmtId="0" fontId="31" fillId="0" borderId="0" xfId="0" applyNumberFormat="1" applyFont="1" applyAlignment="1">
      <alignment horizontal="right"/>
    </xf>
    <xf numFmtId="0" fontId="32" fillId="0" borderId="0" xfId="0" applyNumberFormat="1" applyFont="1" applyAlignment="1">
      <alignment horizontal="right"/>
    </xf>
    <xf numFmtId="0" fontId="33" fillId="0" borderId="0" xfId="0" applyNumberFormat="1" applyFont="1" applyAlignment="1">
      <alignment horizontal="right"/>
    </xf>
    <xf numFmtId="166" fontId="34" fillId="0" borderId="4" xfId="0" applyNumberFormat="1" applyFont="1" applyBorder="1" applyAlignment="1">
      <alignment horizontal="right"/>
    </xf>
    <xf numFmtId="0" fontId="35" fillId="0" borderId="0" xfId="0" applyFont="1" applyAlignment="1">
      <alignment horizontal="left" wrapText="1"/>
    </xf>
    <xf numFmtId="0" fontId="36" fillId="0" borderId="0" xfId="0" applyNumberFormat="1" applyFont="1" applyAlignment="1">
      <alignment horizontal="right"/>
    </xf>
    <xf numFmtId="0" fontId="37" fillId="0" borderId="0" xfId="0" applyNumberFormat="1" applyFont="1" applyAlignment="1">
      <alignment horizontal="right"/>
    </xf>
    <xf numFmtId="0" fontId="38" fillId="0" borderId="0" xfId="0" applyNumberFormat="1" applyFont="1" applyAlignment="1">
      <alignment horizontal="right"/>
    </xf>
    <xf numFmtId="167" fontId="39" fillId="0" borderId="5" xfId="0" applyNumberFormat="1" applyFont="1" applyBorder="1" applyAlignment="1">
      <alignment horizontal="right"/>
    </xf>
    <xf numFmtId="0" fontId="40" fillId="0" borderId="0" xfId="0" applyNumberFormat="1" applyFont="1" applyAlignment="1">
      <alignment horizontal="right"/>
    </xf>
    <xf numFmtId="0" fontId="41" fillId="0" borderId="0" xfId="0" applyNumberFormat="1" applyFont="1" applyAlignment="1">
      <alignment horizontal="right"/>
    </xf>
    <xf numFmtId="0" fontId="42" fillId="0" borderId="0" xfId="0" applyFont="1"/>
    <xf numFmtId="0" fontId="0" fillId="0" borderId="1" xfId="0" applyBorder="1"/>
    <xf numFmtId="0" fontId="43" fillId="0" borderId="0" xfId="0" applyFont="1"/>
    <xf numFmtId="0" fontId="44" fillId="0" borderId="0" xfId="0" applyFont="1"/>
    <xf numFmtId="0" fontId="45" fillId="0" borderId="3" xfId="0" applyFont="1" applyBorder="1" applyAlignment="1">
      <alignment horizontal="center" vertical="center" wrapText="1"/>
    </xf>
    <xf numFmtId="0" fontId="46" fillId="0" borderId="0" xfId="0" applyFont="1" applyAlignment="1">
      <alignment horizontal="left"/>
    </xf>
    <xf numFmtId="37" fontId="47" fillId="0" borderId="0" xfId="0" applyNumberFormat="1" applyFont="1" applyAlignment="1">
      <alignment horizontal="right"/>
    </xf>
    <xf numFmtId="37" fontId="48" fillId="0" borderId="0" xfId="0" applyNumberFormat="1" applyFont="1" applyAlignment="1">
      <alignment horizontal="right"/>
    </xf>
    <xf numFmtId="37" fontId="49" fillId="0" borderId="0" xfId="0" applyNumberFormat="1" applyFont="1" applyAlignment="1">
      <alignment horizontal="right"/>
    </xf>
    <xf numFmtId="164" fontId="50" fillId="0" borderId="0" xfId="0" applyNumberFormat="1" applyFont="1" applyAlignment="1">
      <alignment horizontal="right"/>
    </xf>
    <xf numFmtId="165" fontId="51" fillId="0" borderId="0" xfId="0" applyNumberFormat="1" applyFont="1" applyAlignment="1">
      <alignment horizontal="right"/>
    </xf>
    <xf numFmtId="37" fontId="52" fillId="0" borderId="0" xfId="0" applyNumberFormat="1" applyFont="1" applyAlignment="1">
      <alignment horizontal="right"/>
    </xf>
    <xf numFmtId="37" fontId="53" fillId="0" borderId="0" xfId="0" applyNumberFormat="1" applyFont="1" applyAlignment="1">
      <alignment horizontal="right"/>
    </xf>
    <xf numFmtId="37" fontId="54" fillId="0" borderId="0" xfId="0" applyNumberFormat="1" applyFont="1" applyAlignment="1">
      <alignment horizontal="right"/>
    </xf>
    <xf numFmtId="166" fontId="55" fillId="0" borderId="0" xfId="0" applyNumberFormat="1" applyFont="1" applyAlignment="1">
      <alignment horizontal="right"/>
    </xf>
    <xf numFmtId="0" fontId="57" fillId="0" borderId="0" xfId="0" applyNumberFormat="1" applyFont="1" applyAlignment="1">
      <alignment horizontal="right"/>
    </xf>
    <xf numFmtId="0" fontId="58" fillId="0" borderId="0" xfId="0" applyNumberFormat="1" applyFont="1" applyAlignment="1">
      <alignment horizontal="right"/>
    </xf>
    <xf numFmtId="166" fontId="59" fillId="0" borderId="2" xfId="0" applyNumberFormat="1" applyFont="1" applyBorder="1" applyAlignment="1">
      <alignment horizontal="right"/>
    </xf>
    <xf numFmtId="0" fontId="60" fillId="0" borderId="0" xfId="0" applyNumberFormat="1" applyFont="1" applyAlignment="1">
      <alignment horizontal="right"/>
    </xf>
    <xf numFmtId="0" fontId="61" fillId="0" borderId="0" xfId="0" applyNumberFormat="1" applyFont="1" applyAlignment="1">
      <alignment horizontal="right"/>
    </xf>
    <xf numFmtId="0" fontId="62" fillId="0" borderId="0" xfId="0" applyNumberFormat="1" applyFont="1" applyAlignment="1">
      <alignment horizontal="right"/>
    </xf>
    <xf numFmtId="0" fontId="63" fillId="0" borderId="0" xfId="0" applyNumberFormat="1" applyFont="1" applyAlignment="1">
      <alignment horizontal="right"/>
    </xf>
    <xf numFmtId="0" fontId="64" fillId="0" borderId="0" xfId="0" applyNumberFormat="1" applyFont="1" applyAlignment="1">
      <alignment horizontal="right"/>
    </xf>
    <xf numFmtId="0" fontId="65" fillId="0" borderId="0" xfId="0" applyNumberFormat="1" applyFont="1" applyAlignment="1">
      <alignment horizontal="right"/>
    </xf>
    <xf numFmtId="0" fontId="66" fillId="0" borderId="0" xfId="0" applyNumberFormat="1" applyFont="1" applyAlignment="1">
      <alignment horizontal="right"/>
    </xf>
    <xf numFmtId="0" fontId="67" fillId="0" borderId="0" xfId="0" applyNumberFormat="1" applyFont="1" applyAlignment="1">
      <alignment horizontal="right"/>
    </xf>
    <xf numFmtId="0" fontId="68" fillId="0" borderId="0" xfId="0" applyNumberFormat="1" applyFont="1" applyAlignment="1">
      <alignment horizontal="right"/>
    </xf>
    <xf numFmtId="37" fontId="69" fillId="0" borderId="2" xfId="0" applyNumberFormat="1" applyFont="1" applyBorder="1" applyAlignment="1">
      <alignment horizontal="right"/>
    </xf>
    <xf numFmtId="37" fontId="70" fillId="0" borderId="2" xfId="0" applyNumberFormat="1" applyFont="1" applyBorder="1" applyAlignment="1">
      <alignment horizontal="right"/>
    </xf>
    <xf numFmtId="37" fontId="71" fillId="0" borderId="2" xfId="0" applyNumberFormat="1" applyFont="1" applyBorder="1" applyAlignment="1">
      <alignment horizontal="right"/>
    </xf>
    <xf numFmtId="0" fontId="72" fillId="0" borderId="0" xfId="0" applyNumberFormat="1" applyFont="1" applyAlignment="1">
      <alignment horizontal="right"/>
    </xf>
    <xf numFmtId="0" fontId="73" fillId="0" borderId="0" xfId="0" applyNumberFormat="1" applyFont="1" applyAlignment="1">
      <alignment horizontal="right"/>
    </xf>
    <xf numFmtId="37" fontId="74" fillId="0" borderId="2" xfId="0" applyNumberFormat="1" applyFont="1" applyBorder="1" applyAlignment="1">
      <alignment horizontal="right"/>
    </xf>
    <xf numFmtId="37" fontId="75" fillId="0" borderId="2" xfId="0" applyNumberFormat="1" applyFont="1" applyBorder="1" applyAlignment="1">
      <alignment horizontal="right"/>
    </xf>
    <xf numFmtId="37" fontId="76" fillId="0" borderId="2" xfId="0" applyNumberFormat="1" applyFont="1" applyBorder="1" applyAlignment="1">
      <alignment horizontal="right"/>
    </xf>
    <xf numFmtId="0" fontId="77" fillId="0" borderId="0" xfId="0" applyNumberFormat="1" applyFont="1" applyAlignment="1">
      <alignment horizontal="right"/>
    </xf>
    <xf numFmtId="166" fontId="78" fillId="0" borderId="2" xfId="0" applyNumberFormat="1" applyFont="1" applyBorder="1" applyAlignment="1">
      <alignment horizontal="right"/>
    </xf>
    <xf numFmtId="37" fontId="79" fillId="0" borderId="4" xfId="0" applyNumberFormat="1" applyFont="1" applyBorder="1" applyAlignment="1">
      <alignment horizontal="right"/>
    </xf>
    <xf numFmtId="37" fontId="80" fillId="0" borderId="4" xfId="0" applyNumberFormat="1" applyFont="1" applyBorder="1" applyAlignment="1">
      <alignment horizontal="right"/>
    </xf>
    <xf numFmtId="37" fontId="81" fillId="0" borderId="4" xfId="0" applyNumberFormat="1" applyFont="1" applyBorder="1" applyAlignment="1">
      <alignment horizontal="right"/>
    </xf>
    <xf numFmtId="0" fontId="82" fillId="0" borderId="0" xfId="0" applyNumberFormat="1" applyFont="1" applyAlignment="1">
      <alignment horizontal="right"/>
    </xf>
    <xf numFmtId="0" fontId="83" fillId="0" borderId="0" xfId="0" applyNumberFormat="1" applyFont="1" applyAlignment="1">
      <alignment horizontal="right"/>
    </xf>
    <xf numFmtId="37" fontId="84" fillId="0" borderId="4" xfId="0" applyNumberFormat="1" applyFont="1" applyBorder="1" applyAlignment="1">
      <alignment horizontal="right"/>
    </xf>
    <xf numFmtId="37" fontId="85" fillId="0" borderId="4" xfId="0" applyNumberFormat="1" applyFont="1" applyBorder="1" applyAlignment="1">
      <alignment horizontal="right"/>
    </xf>
    <xf numFmtId="37" fontId="86" fillId="0" borderId="4" xfId="0" applyNumberFormat="1" applyFont="1" applyBorder="1" applyAlignment="1">
      <alignment horizontal="right"/>
    </xf>
    <xf numFmtId="0" fontId="87" fillId="0" borderId="0" xfId="0" applyNumberFormat="1" applyFont="1" applyAlignment="1">
      <alignment horizontal="right"/>
    </xf>
    <xf numFmtId="166" fontId="88" fillId="0" borderId="4" xfId="0" applyNumberFormat="1" applyFont="1" applyBorder="1" applyAlignment="1">
      <alignment horizontal="right"/>
    </xf>
    <xf numFmtId="0" fontId="89" fillId="0" borderId="0" xfId="0" applyFont="1" applyAlignment="1">
      <alignment horizontal="left"/>
    </xf>
    <xf numFmtId="0" fontId="90" fillId="0" borderId="0" xfId="0" applyNumberFormat="1" applyFont="1" applyAlignment="1">
      <alignment horizontal="right"/>
    </xf>
    <xf numFmtId="0" fontId="91" fillId="0" borderId="0" xfId="0" applyNumberFormat="1" applyFont="1" applyAlignment="1">
      <alignment horizontal="right"/>
    </xf>
    <xf numFmtId="0" fontId="92" fillId="0" borderId="0" xfId="0" applyNumberFormat="1" applyFont="1" applyAlignment="1">
      <alignment horizontal="right"/>
    </xf>
    <xf numFmtId="0" fontId="93" fillId="0" borderId="0" xfId="0" applyNumberFormat="1" applyFont="1" applyAlignment="1">
      <alignment horizontal="right"/>
    </xf>
    <xf numFmtId="0" fontId="94" fillId="0" borderId="0" xfId="0" applyNumberFormat="1" applyFont="1" applyAlignment="1">
      <alignment horizontal="right"/>
    </xf>
    <xf numFmtId="0" fontId="95" fillId="0" borderId="0" xfId="0" applyNumberFormat="1" applyFont="1" applyAlignment="1">
      <alignment horizontal="right"/>
    </xf>
    <xf numFmtId="0" fontId="96" fillId="0" borderId="0" xfId="0" applyNumberFormat="1" applyFont="1" applyAlignment="1">
      <alignment horizontal="right"/>
    </xf>
    <xf numFmtId="167" fontId="97" fillId="0" borderId="5" xfId="0" applyNumberFormat="1" applyFont="1" applyBorder="1" applyAlignment="1">
      <alignment horizontal="right"/>
    </xf>
    <xf numFmtId="0" fontId="98" fillId="0" borderId="0" xfId="0" applyNumberFormat="1" applyFont="1" applyAlignment="1">
      <alignment horizontal="right"/>
    </xf>
    <xf numFmtId="0" fontId="99" fillId="0" borderId="0" xfId="0" applyNumberFormat="1" applyFont="1" applyAlignment="1">
      <alignment horizontal="right"/>
    </xf>
    <xf numFmtId="0" fontId="100" fillId="0" borderId="0" xfId="0" applyFont="1"/>
    <xf numFmtId="0" fontId="0" fillId="0" borderId="0" xfId="0"/>
    <xf numFmtId="0" fontId="0" fillId="0" borderId="0" xfId="0"/>
    <xf numFmtId="37" fontId="11" fillId="0" borderId="0" xfId="0" applyNumberFormat="1" applyFont="1" applyBorder="1" applyAlignment="1">
      <alignment horizontal="right"/>
    </xf>
    <xf numFmtId="37" fontId="25" fillId="0" borderId="0" xfId="0" applyNumberFormat="1" applyFont="1" applyBorder="1" applyAlignment="1">
      <alignment horizontal="right"/>
    </xf>
    <xf numFmtId="37" fontId="30" fillId="0" borderId="0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0" fillId="0" borderId="0" xfId="0"/>
    <xf numFmtId="0" fontId="0" fillId="2" borderId="0" xfId="0" applyFill="1"/>
    <xf numFmtId="0" fontId="2" fillId="2" borderId="3" xfId="0" applyFont="1" applyFill="1" applyBorder="1" applyAlignment="1">
      <alignment horizontal="center" vertical="center" wrapText="1"/>
    </xf>
    <xf numFmtId="169" fontId="8" fillId="2" borderId="0" xfId="0" applyNumberFormat="1" applyFont="1" applyFill="1" applyAlignment="1">
      <alignment horizontal="right"/>
    </xf>
    <xf numFmtId="37" fontId="6" fillId="2" borderId="0" xfId="0" applyNumberFormat="1" applyFont="1" applyFill="1" applyAlignment="1">
      <alignment horizontal="right"/>
    </xf>
    <xf numFmtId="170" fontId="0" fillId="2" borderId="0" xfId="2" applyNumberFormat="1" applyFont="1" applyFill="1"/>
    <xf numFmtId="37" fontId="11" fillId="2" borderId="2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171" fontId="0" fillId="0" borderId="0" xfId="1" applyNumberFormat="1" applyFont="1"/>
    <xf numFmtId="166" fontId="9" fillId="2" borderId="0" xfId="0" applyNumberFormat="1" applyFont="1" applyFill="1" applyAlignment="1">
      <alignment horizontal="right"/>
    </xf>
    <xf numFmtId="166" fontId="14" fillId="2" borderId="2" xfId="0" applyNumberFormat="1" applyFont="1" applyFill="1" applyBorder="1" applyAlignment="1">
      <alignment horizontal="right"/>
    </xf>
    <xf numFmtId="0" fontId="102" fillId="0" borderId="0" xfId="0" applyFont="1"/>
    <xf numFmtId="0" fontId="102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37" fontId="56" fillId="2" borderId="2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103" fillId="0" borderId="0" xfId="0" applyFont="1" applyAlignment="1">
      <alignment horizontal="left"/>
    </xf>
    <xf numFmtId="0" fontId="104" fillId="0" borderId="0" xfId="0" applyFont="1" applyAlignment="1">
      <alignment horizontal="left"/>
    </xf>
    <xf numFmtId="0" fontId="105" fillId="0" borderId="0" xfId="0" applyFont="1" applyAlignment="1">
      <alignment horizontal="left"/>
    </xf>
    <xf numFmtId="0" fontId="45" fillId="0" borderId="6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Fill="1" applyBorder="1"/>
    <xf numFmtId="0" fontId="0" fillId="0" borderId="13" xfId="0" applyBorder="1"/>
    <xf numFmtId="0" fontId="4" fillId="0" borderId="6" xfId="0" applyFont="1" applyBorder="1" applyAlignment="1">
      <alignment horizontal="center" vertical="center" wrapText="1"/>
    </xf>
    <xf numFmtId="170" fontId="0" fillId="0" borderId="0" xfId="0" applyNumberFormat="1" applyFill="1" applyBorder="1"/>
    <xf numFmtId="0" fontId="45" fillId="0" borderId="14" xfId="0" applyFont="1" applyBorder="1" applyAlignment="1">
      <alignment horizontal="center" vertical="center" wrapText="1"/>
    </xf>
    <xf numFmtId="0" fontId="0" fillId="2" borderId="15" xfId="0" applyFill="1" applyBorder="1"/>
    <xf numFmtId="0" fontId="2" fillId="2" borderId="16" xfId="0" applyFont="1" applyFill="1" applyBorder="1" applyAlignment="1">
      <alignment horizontal="center" vertical="center" wrapText="1"/>
    </xf>
    <xf numFmtId="0" fontId="0" fillId="2" borderId="0" xfId="0" applyFill="1" applyBorder="1"/>
    <xf numFmtId="17" fontId="35" fillId="3" borderId="17" xfId="3" applyNumberFormat="1" applyFont="1" applyFill="1" applyBorder="1" applyAlignment="1">
      <alignment horizontal="center" wrapText="1"/>
    </xf>
    <xf numFmtId="17" fontId="35" fillId="0" borderId="0" xfId="3" applyNumberFormat="1" applyFont="1" applyFill="1" applyBorder="1" applyAlignment="1">
      <alignment horizontal="center"/>
    </xf>
    <xf numFmtId="170" fontId="2" fillId="0" borderId="0" xfId="4" applyNumberFormat="1" applyFont="1"/>
    <xf numFmtId="0" fontId="2" fillId="0" borderId="0" xfId="3" applyFont="1"/>
    <xf numFmtId="170" fontId="2" fillId="0" borderId="18" xfId="3" applyNumberFormat="1" applyFont="1" applyBorder="1"/>
    <xf numFmtId="0" fontId="2" fillId="0" borderId="0" xfId="3" quotePrefix="1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66" fontId="15" fillId="0" borderId="0" xfId="0" applyNumberFormat="1" applyFont="1" applyBorder="1" applyAlignment="1">
      <alignment horizontal="right"/>
    </xf>
    <xf numFmtId="166" fontId="29" fillId="0" borderId="0" xfId="0" applyNumberFormat="1" applyFont="1" applyBorder="1" applyAlignment="1">
      <alignment horizontal="right"/>
    </xf>
    <xf numFmtId="166" fontId="34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0" fontId="107" fillId="5" borderId="20" xfId="2" quotePrefix="1" applyNumberFormat="1" applyFont="1" applyFill="1" applyBorder="1" applyAlignment="1">
      <alignment horizontal="center" wrapText="1"/>
    </xf>
    <xf numFmtId="0" fontId="35" fillId="5" borderId="21" xfId="0" quotePrefix="1" applyFont="1" applyFill="1" applyBorder="1" applyAlignment="1">
      <alignment horizontal="center" wrapText="1"/>
    </xf>
    <xf numFmtId="0" fontId="108" fillId="0" borderId="0" xfId="3" applyFont="1" applyAlignment="1">
      <alignment horizontal="centerContinuous"/>
    </xf>
    <xf numFmtId="0" fontId="109" fillId="0" borderId="0" xfId="3" applyFont="1" applyAlignment="1">
      <alignment horizontal="centerContinuous"/>
    </xf>
    <xf numFmtId="0" fontId="109" fillId="0" borderId="0" xfId="3" applyFont="1"/>
    <xf numFmtId="0" fontId="110" fillId="3" borderId="22" xfId="3" applyFont="1" applyFill="1" applyBorder="1"/>
    <xf numFmtId="0" fontId="110" fillId="3" borderId="23" xfId="3" applyFont="1" applyFill="1" applyBorder="1"/>
    <xf numFmtId="17" fontId="111" fillId="3" borderId="17" xfId="3" applyNumberFormat="1" applyFont="1" applyFill="1" applyBorder="1" applyAlignment="1">
      <alignment horizontal="center"/>
    </xf>
    <xf numFmtId="0" fontId="112" fillId="3" borderId="17" xfId="3" applyFont="1" applyFill="1" applyBorder="1" applyAlignment="1">
      <alignment horizontal="center"/>
    </xf>
    <xf numFmtId="0" fontId="110" fillId="3" borderId="24" xfId="3" applyFont="1" applyFill="1" applyBorder="1" applyAlignment="1">
      <alignment horizontal="center"/>
    </xf>
    <xf numFmtId="0" fontId="110" fillId="3" borderId="17" xfId="3" applyFont="1" applyFill="1" applyBorder="1" applyAlignment="1">
      <alignment horizontal="center"/>
    </xf>
    <xf numFmtId="0" fontId="110" fillId="3" borderId="21" xfId="3" applyFont="1" applyFill="1" applyBorder="1" applyAlignment="1">
      <alignment horizontal="center"/>
    </xf>
    <xf numFmtId="0" fontId="110" fillId="0" borderId="0" xfId="3" applyFont="1"/>
    <xf numFmtId="0" fontId="113" fillId="6" borderId="25" xfId="3" applyFont="1" applyFill="1" applyBorder="1" applyAlignment="1">
      <alignment wrapText="1"/>
    </xf>
    <xf numFmtId="0" fontId="113" fillId="6" borderId="26" xfId="3" applyFont="1" applyFill="1" applyBorder="1" applyAlignment="1">
      <alignment wrapText="1"/>
    </xf>
    <xf numFmtId="172" fontId="113" fillId="6" borderId="27" xfId="3" applyNumberFormat="1" applyFont="1" applyFill="1" applyBorder="1" applyAlignment="1">
      <alignment horizontal="center" wrapText="1"/>
    </xf>
    <xf numFmtId="0" fontId="113" fillId="6" borderId="27" xfId="3" applyFont="1" applyFill="1" applyBorder="1" applyAlignment="1">
      <alignment horizontal="center" wrapText="1"/>
    </xf>
    <xf numFmtId="0" fontId="113" fillId="6" borderId="28" xfId="3" applyFont="1" applyFill="1" applyBorder="1" applyAlignment="1">
      <alignment horizontal="center" wrapText="1"/>
    </xf>
    <xf numFmtId="0" fontId="113" fillId="6" borderId="29" xfId="3" applyFont="1" applyFill="1" applyBorder="1" applyAlignment="1">
      <alignment horizontal="center" wrapText="1"/>
    </xf>
    <xf numFmtId="0" fontId="113" fillId="0" borderId="0" xfId="3" applyFont="1" applyAlignment="1">
      <alignment wrapText="1"/>
    </xf>
    <xf numFmtId="0" fontId="113" fillId="6" borderId="27" xfId="3" applyNumberFormat="1" applyFont="1" applyFill="1" applyBorder="1" applyAlignment="1">
      <alignment horizontal="center" wrapText="1"/>
    </xf>
    <xf numFmtId="0" fontId="113" fillId="6" borderId="30" xfId="3" applyFont="1" applyFill="1" applyBorder="1" applyAlignment="1">
      <alignment horizontal="center" wrapText="1"/>
    </xf>
    <xf numFmtId="173" fontId="113" fillId="6" borderId="27" xfId="3" applyNumberFormat="1" applyFont="1" applyFill="1" applyBorder="1" applyAlignment="1">
      <alignment horizontal="center"/>
    </xf>
    <xf numFmtId="0" fontId="113" fillId="0" borderId="31" xfId="3" applyFont="1" applyBorder="1"/>
    <xf numFmtId="0" fontId="113" fillId="0" borderId="0" xfId="3" applyFont="1"/>
    <xf numFmtId="0" fontId="2" fillId="0" borderId="0" xfId="3"/>
    <xf numFmtId="170" fontId="2" fillId="7" borderId="0" xfId="4" applyNumberFormat="1" applyFont="1" applyFill="1"/>
    <xf numFmtId="170" fontId="2" fillId="0" borderId="0" xfId="4" applyNumberFormat="1" applyFont="1" applyFill="1"/>
    <xf numFmtId="170" fontId="2" fillId="3" borderId="0" xfId="4" applyNumberFormat="1" applyFont="1" applyFill="1"/>
    <xf numFmtId="170" fontId="113" fillId="0" borderId="0" xfId="4" applyNumberFormat="1" applyFont="1" applyBorder="1"/>
    <xf numFmtId="10" fontId="113" fillId="0" borderId="0" xfId="5" applyNumberFormat="1" applyFont="1"/>
    <xf numFmtId="0" fontId="2" fillId="0" borderId="0" xfId="3" quotePrefix="1" applyAlignment="1">
      <alignment horizontal="left"/>
    </xf>
    <xf numFmtId="170" fontId="113" fillId="0" borderId="0" xfId="4" applyNumberFormat="1" applyFont="1"/>
    <xf numFmtId="170" fontId="113" fillId="0" borderId="18" xfId="4" applyNumberFormat="1" applyFont="1" applyBorder="1"/>
    <xf numFmtId="10" fontId="113" fillId="0" borderId="18" xfId="5" applyNumberFormat="1" applyFont="1" applyBorder="1"/>
    <xf numFmtId="10" fontId="113" fillId="0" borderId="0" xfId="5" applyNumberFormat="1" applyFont="1" applyBorder="1"/>
    <xf numFmtId="43" fontId="113" fillId="0" borderId="0" xfId="4" applyNumberFormat="1" applyFont="1" applyBorder="1"/>
    <xf numFmtId="0" fontId="113" fillId="0" borderId="0" xfId="3" quotePrefix="1" applyFont="1" applyAlignment="1">
      <alignment horizontal="fill"/>
    </xf>
    <xf numFmtId="0" fontId="113" fillId="0" borderId="0" xfId="6" quotePrefix="1" applyFont="1" applyFill="1" applyAlignment="1">
      <alignment horizontal="left" wrapText="1"/>
    </xf>
    <xf numFmtId="0" fontId="113" fillId="0" borderId="0" xfId="6" applyFont="1" applyAlignment="1">
      <alignment wrapText="1"/>
    </xf>
    <xf numFmtId="170" fontId="113" fillId="0" borderId="0" xfId="6" applyNumberFormat="1" applyFont="1"/>
    <xf numFmtId="170" fontId="113" fillId="0" borderId="0" xfId="3" applyNumberFormat="1" applyFont="1"/>
    <xf numFmtId="0" fontId="113" fillId="0" borderId="0" xfId="3" applyFont="1" applyAlignment="1"/>
    <xf numFmtId="170" fontId="113" fillId="8" borderId="32" xfId="4" applyNumberFormat="1" applyFont="1" applyFill="1" applyBorder="1"/>
    <xf numFmtId="170" fontId="113" fillId="0" borderId="32" xfId="4" applyNumberFormat="1" applyFont="1" applyBorder="1"/>
    <xf numFmtId="170" fontId="113" fillId="9" borderId="32" xfId="4" applyNumberFormat="1" applyFont="1" applyFill="1" applyBorder="1"/>
    <xf numFmtId="10" fontId="113" fillId="0" borderId="32" xfId="5" applyNumberFormat="1" applyFont="1" applyBorder="1"/>
    <xf numFmtId="0" fontId="116" fillId="3" borderId="22" xfId="3" applyFont="1" applyFill="1" applyBorder="1"/>
    <xf numFmtId="17" fontId="35" fillId="3" borderId="17" xfId="3" applyNumberFormat="1" applyFont="1" applyFill="1" applyBorder="1" applyAlignment="1">
      <alignment horizontal="center"/>
    </xf>
    <xf numFmtId="0" fontId="117" fillId="3" borderId="17" xfId="3" applyFont="1" applyFill="1" applyBorder="1" applyAlignment="1">
      <alignment horizontal="center"/>
    </xf>
    <xf numFmtId="0" fontId="116" fillId="3" borderId="24" xfId="3" applyFont="1" applyFill="1" applyBorder="1" applyAlignment="1">
      <alignment horizontal="center"/>
    </xf>
    <xf numFmtId="0" fontId="116" fillId="3" borderId="17" xfId="3" applyFont="1" applyFill="1" applyBorder="1" applyAlignment="1">
      <alignment horizontal="center"/>
    </xf>
    <xf numFmtId="0" fontId="116" fillId="3" borderId="21" xfId="3" applyFont="1" applyFill="1" applyBorder="1" applyAlignment="1">
      <alignment horizontal="center"/>
    </xf>
    <xf numFmtId="0" fontId="2" fillId="6" borderId="25" xfId="3" applyFont="1" applyFill="1" applyBorder="1" applyAlignment="1">
      <alignment wrapText="1"/>
    </xf>
    <xf numFmtId="172" fontId="2" fillId="6" borderId="27" xfId="3" applyNumberFormat="1" applyFont="1" applyFill="1" applyBorder="1" applyAlignment="1">
      <alignment horizontal="center" wrapText="1"/>
    </xf>
    <xf numFmtId="0" fontId="2" fillId="6" borderId="27" xfId="3" applyFont="1" applyFill="1" applyBorder="1" applyAlignment="1">
      <alignment horizontal="center" wrapText="1"/>
    </xf>
    <xf numFmtId="0" fontId="2" fillId="6" borderId="28" xfId="3" applyFont="1" applyFill="1" applyBorder="1" applyAlignment="1">
      <alignment horizontal="center" wrapText="1"/>
    </xf>
    <xf numFmtId="0" fontId="2" fillId="6" borderId="29" xfId="3" applyFont="1" applyFill="1" applyBorder="1" applyAlignment="1">
      <alignment horizontal="center" wrapText="1"/>
    </xf>
    <xf numFmtId="0" fontId="2" fillId="6" borderId="27" xfId="3" applyNumberFormat="1" applyFont="1" applyFill="1" applyBorder="1" applyAlignment="1">
      <alignment horizontal="center" wrapText="1"/>
    </xf>
    <xf numFmtId="0" fontId="2" fillId="6" borderId="30" xfId="3" applyFont="1" applyFill="1" applyBorder="1" applyAlignment="1">
      <alignment horizontal="center" wrapText="1"/>
    </xf>
    <xf numFmtId="173" fontId="2" fillId="6" borderId="27" xfId="3" applyNumberFormat="1" applyFont="1" applyFill="1" applyBorder="1" applyAlignment="1">
      <alignment horizontal="center"/>
    </xf>
    <xf numFmtId="0" fontId="2" fillId="0" borderId="31" xfId="3" applyFont="1" applyBorder="1"/>
    <xf numFmtId="170" fontId="2" fillId="0" borderId="0" xfId="4" applyNumberFormat="1" applyFont="1" applyBorder="1"/>
    <xf numFmtId="10" fontId="2" fillId="0" borderId="0" xfId="5" applyNumberFormat="1" applyFont="1"/>
    <xf numFmtId="0" fontId="1" fillId="0" borderId="0" xfId="12"/>
    <xf numFmtId="170" fontId="2" fillId="0" borderId="18" xfId="4" applyNumberFormat="1" applyFont="1" applyBorder="1"/>
    <xf numFmtId="10" fontId="2" fillId="0" borderId="18" xfId="5" applyNumberFormat="1" applyFont="1" applyBorder="1"/>
    <xf numFmtId="10" fontId="2" fillId="0" borderId="0" xfId="5" applyNumberFormat="1" applyFont="1" applyBorder="1"/>
    <xf numFmtId="43" fontId="2" fillId="0" borderId="0" xfId="4" applyNumberFormat="1" applyFont="1" applyBorder="1"/>
    <xf numFmtId="10" fontId="2" fillId="0" borderId="0" xfId="13" applyNumberFormat="1" applyFont="1" applyFill="1"/>
    <xf numFmtId="0" fontId="2" fillId="0" borderId="0" xfId="3" quotePrefix="1" applyFont="1" applyAlignment="1">
      <alignment horizontal="fill"/>
    </xf>
    <xf numFmtId="0" fontId="2" fillId="0" borderId="0" xfId="6" quotePrefix="1" applyFont="1" applyFill="1" applyAlignment="1">
      <alignment horizontal="left" wrapText="1"/>
    </xf>
    <xf numFmtId="170" fontId="2" fillId="0" borderId="32" xfId="4" applyNumberFormat="1" applyFont="1" applyBorder="1"/>
    <xf numFmtId="170" fontId="2" fillId="9" borderId="32" xfId="4" applyNumberFormat="1" applyFont="1" applyFill="1" applyBorder="1"/>
    <xf numFmtId="170" fontId="2" fillId="8" borderId="32" xfId="4" applyNumberFormat="1" applyFont="1" applyFill="1" applyBorder="1"/>
    <xf numFmtId="10" fontId="2" fillId="0" borderId="32" xfId="5" applyNumberFormat="1" applyFont="1" applyBorder="1"/>
    <xf numFmtId="0" fontId="108" fillId="0" borderId="0" xfId="3" quotePrefix="1" applyFont="1" applyAlignment="1">
      <alignment horizontal="centerContinuous"/>
    </xf>
    <xf numFmtId="17" fontId="118" fillId="3" borderId="17" xfId="3" applyNumberFormat="1" applyFont="1" applyFill="1" applyBorder="1" applyAlignment="1">
      <alignment horizontal="center"/>
    </xf>
    <xf numFmtId="0" fontId="118" fillId="3" borderId="17" xfId="3" applyFont="1" applyFill="1" applyBorder="1" applyAlignment="1">
      <alignment horizontal="center"/>
    </xf>
    <xf numFmtId="0" fontId="118" fillId="3" borderId="33" xfId="3" applyFont="1" applyFill="1" applyBorder="1" applyAlignment="1">
      <alignment horizontal="center"/>
    </xf>
    <xf numFmtId="0" fontId="119" fillId="0" borderId="0" xfId="3" applyFont="1"/>
    <xf numFmtId="170" fontId="109" fillId="0" borderId="0" xfId="4" applyNumberFormat="1" applyFont="1" applyBorder="1"/>
    <xf numFmtId="170" fontId="109" fillId="0" borderId="0" xfId="4" applyNumberFormat="1" applyFont="1"/>
    <xf numFmtId="0" fontId="109" fillId="0" borderId="0" xfId="3" quotePrefix="1" applyFont="1" applyAlignment="1">
      <alignment horizontal="left"/>
    </xf>
    <xf numFmtId="0" fontId="109" fillId="0" borderId="0" xfId="3" applyFont="1" applyBorder="1"/>
    <xf numFmtId="170" fontId="109" fillId="0" borderId="18" xfId="3" applyNumberFormat="1" applyFont="1" applyBorder="1"/>
    <xf numFmtId="3" fontId="109" fillId="0" borderId="18" xfId="3" applyNumberFormat="1" applyFont="1" applyBorder="1"/>
    <xf numFmtId="3" fontId="109" fillId="0" borderId="0" xfId="3" applyNumberFormat="1" applyFont="1" applyBorder="1"/>
    <xf numFmtId="3" fontId="109" fillId="0" borderId="32" xfId="3" applyNumberFormat="1" applyFont="1" applyBorder="1"/>
    <xf numFmtId="0" fontId="35" fillId="3" borderId="17" xfId="3" applyFont="1" applyFill="1" applyBorder="1" applyAlignment="1">
      <alignment horizontal="center"/>
    </xf>
    <xf numFmtId="0" fontId="35" fillId="3" borderId="33" xfId="3" applyFont="1" applyFill="1" applyBorder="1" applyAlignment="1">
      <alignment horizontal="center"/>
    </xf>
    <xf numFmtId="0" fontId="120" fillId="0" borderId="0" xfId="3" applyFont="1"/>
    <xf numFmtId="17" fontId="2" fillId="0" borderId="0" xfId="3" applyNumberFormat="1" applyFont="1"/>
    <xf numFmtId="0" fontId="2" fillId="0" borderId="0" xfId="3" applyFont="1" applyBorder="1"/>
    <xf numFmtId="3" fontId="2" fillId="0" borderId="18" xfId="3" applyNumberFormat="1" applyFont="1" applyBorder="1"/>
    <xf numFmtId="3" fontId="2" fillId="0" borderId="0" xfId="3" applyNumberFormat="1" applyFont="1" applyBorder="1"/>
    <xf numFmtId="3" fontId="2" fillId="0" borderId="32" xfId="3" applyNumberFormat="1" applyFont="1" applyBorder="1"/>
    <xf numFmtId="170" fontId="0" fillId="0" borderId="0" xfId="2" applyNumberFormat="1" applyFont="1"/>
    <xf numFmtId="0" fontId="121" fillId="0" borderId="0" xfId="3" applyFont="1" applyAlignment="1">
      <alignment horizontal="centerContinuous"/>
    </xf>
    <xf numFmtId="0" fontId="109" fillId="0" borderId="0" xfId="3" applyFont="1" applyAlignment="1"/>
    <xf numFmtId="0" fontId="110" fillId="3" borderId="22" xfId="3" applyFont="1" applyFill="1" applyBorder="1" applyAlignment="1">
      <alignment wrapText="1"/>
    </xf>
    <xf numFmtId="17" fontId="111" fillId="3" borderId="17" xfId="3" applyNumberFormat="1" applyFont="1" applyFill="1" applyBorder="1" applyAlignment="1">
      <alignment horizontal="center" wrapText="1"/>
    </xf>
    <xf numFmtId="0" fontId="110" fillId="0" borderId="0" xfId="3" applyFont="1" applyFill="1" applyBorder="1"/>
    <xf numFmtId="17" fontId="111" fillId="0" borderId="0" xfId="3" applyNumberFormat="1" applyFont="1" applyFill="1" applyBorder="1" applyAlignment="1">
      <alignment horizontal="center"/>
    </xf>
    <xf numFmtId="17" fontId="111" fillId="0" borderId="0" xfId="3" applyNumberFormat="1" applyFont="1" applyFill="1" applyBorder="1"/>
    <xf numFmtId="10" fontId="113" fillId="0" borderId="0" xfId="3" applyNumberFormat="1" applyFont="1"/>
    <xf numFmtId="170" fontId="113" fillId="0" borderId="18" xfId="3" applyNumberFormat="1" applyFont="1" applyBorder="1"/>
    <xf numFmtId="170" fontId="113" fillId="0" borderId="32" xfId="3" applyNumberFormat="1" applyFont="1" applyBorder="1"/>
    <xf numFmtId="0" fontId="116" fillId="3" borderId="22" xfId="3" applyFont="1" applyFill="1" applyBorder="1" applyAlignment="1">
      <alignment wrapText="1"/>
    </xf>
    <xf numFmtId="0" fontId="116" fillId="0" borderId="0" xfId="3" applyFont="1" applyFill="1" applyBorder="1"/>
    <xf numFmtId="17" fontId="35" fillId="0" borderId="0" xfId="3" applyNumberFormat="1" applyFont="1" applyFill="1" applyBorder="1"/>
    <xf numFmtId="10" fontId="2" fillId="0" borderId="0" xfId="3" applyNumberFormat="1" applyFont="1"/>
    <xf numFmtId="170" fontId="2" fillId="0" borderId="32" xfId="3" applyNumberFormat="1" applyFont="1" applyBorder="1"/>
    <xf numFmtId="0" fontId="108" fillId="0" borderId="0" xfId="14" quotePrefix="1" applyFont="1" applyAlignment="1">
      <alignment horizontal="left"/>
    </xf>
    <xf numFmtId="0" fontId="106" fillId="0" borderId="0" xfId="14" applyAlignment="1">
      <alignment horizontal="center"/>
    </xf>
    <xf numFmtId="170" fontId="106" fillId="0" borderId="0" xfId="15" applyNumberFormat="1"/>
    <xf numFmtId="10" fontId="106" fillId="0" borderId="0" xfId="16" applyNumberFormat="1"/>
    <xf numFmtId="0" fontId="106" fillId="0" borderId="0" xfId="14"/>
    <xf numFmtId="0" fontId="122" fillId="0" borderId="0" xfId="14" applyFont="1" applyAlignment="1">
      <alignment horizontal="left"/>
    </xf>
    <xf numFmtId="0" fontId="106" fillId="0" borderId="0" xfId="14" applyAlignment="1">
      <alignment horizontal="left"/>
    </xf>
    <xf numFmtId="0" fontId="108" fillId="0" borderId="0" xfId="14" applyFont="1"/>
    <xf numFmtId="10" fontId="35" fillId="0" borderId="0" xfId="16" applyNumberFormat="1" applyFont="1" applyAlignment="1">
      <alignment horizontal="center"/>
    </xf>
    <xf numFmtId="170" fontId="35" fillId="0" borderId="0" xfId="15" applyNumberFormat="1" applyFont="1" applyAlignment="1">
      <alignment horizontal="center"/>
    </xf>
    <xf numFmtId="0" fontId="35" fillId="0" borderId="0" xfId="14" applyFont="1" applyAlignment="1">
      <alignment horizontal="center"/>
    </xf>
    <xf numFmtId="0" fontId="123" fillId="0" borderId="0" xfId="14" applyFont="1" applyAlignment="1">
      <alignment horizontal="center"/>
    </xf>
    <xf numFmtId="170" fontId="123" fillId="0" borderId="0" xfId="15" applyNumberFormat="1" applyFont="1" applyAlignment="1">
      <alignment horizontal="center"/>
    </xf>
    <xf numFmtId="10" fontId="123" fillId="0" borderId="0" xfId="16" applyNumberFormat="1" applyFont="1" applyAlignment="1">
      <alignment horizontal="center"/>
    </xf>
    <xf numFmtId="0" fontId="35" fillId="0" borderId="0" xfId="14" applyFont="1"/>
    <xf numFmtId="0" fontId="109" fillId="0" borderId="0" xfId="14" applyFont="1" applyAlignment="1">
      <alignment horizontal="center"/>
    </xf>
    <xf numFmtId="170" fontId="120" fillId="0" borderId="0" xfId="15" applyNumberFormat="1" applyFont="1"/>
    <xf numFmtId="10" fontId="2" fillId="0" borderId="0" xfId="16" applyNumberFormat="1" applyFont="1" applyBorder="1"/>
    <xf numFmtId="0" fontId="2" fillId="0" borderId="0" xfId="14" applyFont="1" applyBorder="1"/>
    <xf numFmtId="0" fontId="35" fillId="0" borderId="0" xfId="14" quotePrefix="1" applyFont="1" applyAlignment="1">
      <alignment horizontal="left"/>
    </xf>
    <xf numFmtId="0" fontId="109" fillId="0" borderId="0" xfId="14" quotePrefix="1" applyFont="1" applyAlignment="1">
      <alignment horizontal="center"/>
    </xf>
    <xf numFmtId="0" fontId="35" fillId="0" borderId="0" xfId="14" applyFont="1" applyAlignment="1">
      <alignment horizontal="right"/>
    </xf>
    <xf numFmtId="170" fontId="106" fillId="0" borderId="32" xfId="15" applyNumberFormat="1" applyBorder="1"/>
    <xf numFmtId="170" fontId="106" fillId="0" borderId="0" xfId="15" applyNumberFormat="1" applyBorder="1"/>
    <xf numFmtId="170" fontId="113" fillId="0" borderId="0" xfId="15" applyNumberFormat="1" applyFont="1"/>
    <xf numFmtId="0" fontId="2" fillId="0" borderId="0" xfId="14" quotePrefix="1" applyFont="1" applyAlignment="1">
      <alignment horizontal="left"/>
    </xf>
    <xf numFmtId="168" fontId="2" fillId="0" borderId="0" xfId="16" applyNumberFormat="1" applyFont="1"/>
    <xf numFmtId="170" fontId="2" fillId="0" borderId="0" xfId="15" applyNumberFormat="1" applyFont="1"/>
    <xf numFmtId="168" fontId="35" fillId="0" borderId="0" xfId="16" applyNumberFormat="1" applyFont="1" applyAlignment="1">
      <alignment horizontal="center"/>
    </xf>
    <xf numFmtId="170" fontId="35" fillId="0" borderId="0" xfId="15" applyNumberFormat="1" applyFont="1"/>
    <xf numFmtId="0" fontId="2" fillId="0" borderId="0" xfId="14" applyFont="1"/>
    <xf numFmtId="170" fontId="35" fillId="0" borderId="0" xfId="15" quotePrefix="1" applyNumberFormat="1" applyFont="1" applyAlignment="1">
      <alignment horizontal="center"/>
    </xf>
    <xf numFmtId="0" fontId="35" fillId="0" borderId="1" xfId="14" applyFont="1" applyBorder="1" applyAlignment="1">
      <alignment horizontal="center"/>
    </xf>
    <xf numFmtId="168" fontId="35" fillId="0" borderId="1" xfId="16" applyNumberFormat="1" applyFont="1" applyBorder="1" applyAlignment="1">
      <alignment horizontal="center"/>
    </xf>
    <xf numFmtId="170" fontId="35" fillId="0" borderId="1" xfId="15" quotePrefix="1" applyNumberFormat="1" applyFont="1" applyBorder="1" applyAlignment="1">
      <alignment horizontal="center"/>
    </xf>
    <xf numFmtId="170" fontId="35" fillId="0" borderId="1" xfId="15" applyNumberFormat="1" applyFont="1" applyBorder="1" applyAlignment="1">
      <alignment horizontal="center"/>
    </xf>
    <xf numFmtId="168" fontId="2" fillId="0" borderId="0" xfId="16" applyNumberFormat="1" applyFont="1" applyBorder="1"/>
    <xf numFmtId="170" fontId="106" fillId="0" borderId="0" xfId="15" applyNumberFormat="1" applyFont="1"/>
    <xf numFmtId="174" fontId="2" fillId="0" borderId="0" xfId="16" applyNumberFormat="1" applyFont="1" applyBorder="1"/>
    <xf numFmtId="17" fontId="35" fillId="0" borderId="0" xfId="3" applyNumberFormat="1" applyFont="1" applyFill="1" applyBorder="1" applyAlignment="1">
      <alignment horizontal="center" wrapText="1"/>
    </xf>
    <xf numFmtId="170" fontId="2" fillId="0" borderId="0" xfId="4" applyNumberFormat="1" applyFont="1" applyFill="1" applyBorder="1"/>
    <xf numFmtId="0" fontId="2" fillId="0" borderId="0" xfId="3" applyFont="1" applyFill="1" applyBorder="1"/>
    <xf numFmtId="170" fontId="2" fillId="0" borderId="0" xfId="3" applyNumberFormat="1" applyFont="1" applyFill="1" applyBorder="1"/>
    <xf numFmtId="37" fontId="2" fillId="2" borderId="0" xfId="0" applyNumberFormat="1" applyFont="1" applyFill="1" applyAlignment="1">
      <alignment horizontal="right"/>
    </xf>
    <xf numFmtId="0" fontId="124" fillId="2" borderId="0" xfId="0" applyFont="1" applyFill="1"/>
    <xf numFmtId="37" fontId="2" fillId="2" borderId="2" xfId="0" applyNumberFormat="1" applyFont="1" applyFill="1" applyBorder="1" applyAlignment="1">
      <alignment horizontal="right"/>
    </xf>
    <xf numFmtId="168" fontId="2" fillId="2" borderId="0" xfId="1" applyNumberFormat="1" applyFont="1" applyFill="1" applyAlignment="1">
      <alignment horizontal="right"/>
    </xf>
    <xf numFmtId="168" fontId="2" fillId="0" borderId="0" xfId="1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9" fontId="8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165" fontId="8" fillId="0" borderId="0" xfId="0" applyNumberFormat="1" applyFont="1" applyFill="1" applyAlignment="1">
      <alignment horizontal="right"/>
    </xf>
    <xf numFmtId="0" fontId="0" fillId="2" borderId="1" xfId="0" applyFill="1" applyBorder="1"/>
    <xf numFmtId="37" fontId="2" fillId="0" borderId="0" xfId="0" applyNumberFormat="1" applyFont="1" applyFill="1" applyAlignment="1">
      <alignment horizontal="right"/>
    </xf>
    <xf numFmtId="164" fontId="50" fillId="0" borderId="0" xfId="0" applyNumberFormat="1" applyFont="1" applyFill="1" applyAlignment="1">
      <alignment horizontal="right"/>
    </xf>
    <xf numFmtId="165" fontId="51" fillId="0" borderId="0" xfId="0" applyNumberFormat="1" applyFont="1" applyFill="1" applyAlignment="1">
      <alignment horizontal="right"/>
    </xf>
    <xf numFmtId="170" fontId="35" fillId="0" borderId="0" xfId="15" applyNumberFormat="1" applyFont="1" applyBorder="1" applyAlignment="1">
      <alignment horizontal="center"/>
    </xf>
    <xf numFmtId="170" fontId="35" fillId="0" borderId="0" xfId="15" applyNumberFormat="1" applyFont="1" applyAlignment="1">
      <alignment horizontal="center" wrapText="1"/>
    </xf>
    <xf numFmtId="170" fontId="102" fillId="0" borderId="0" xfId="2" applyNumberFormat="1" applyFont="1"/>
    <xf numFmtId="0" fontId="0" fillId="0" borderId="0" xfId="0"/>
    <xf numFmtId="0" fontId="0" fillId="0" borderId="0" xfId="0"/>
    <xf numFmtId="0" fontId="125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108" fillId="0" borderId="0" xfId="14" applyFont="1" applyAlignment="1">
      <alignment horizontal="center"/>
    </xf>
    <xf numFmtId="0" fontId="122" fillId="0" borderId="0" xfId="14" applyFont="1" applyAlignment="1">
      <alignment horizontal="center"/>
    </xf>
    <xf numFmtId="170" fontId="35" fillId="0" borderId="0" xfId="15" applyNumberFormat="1" applyFont="1" applyAlignment="1">
      <alignment horizontal="center"/>
    </xf>
  </cellXfs>
  <cellStyles count="17">
    <cellStyle name="Comma" xfId="2" builtinId="3"/>
    <cellStyle name="Comma 2" xfId="7"/>
    <cellStyle name="Comma 3" xfId="4"/>
    <cellStyle name="Comma 4" xfId="15"/>
    <cellStyle name="Normal" xfId="0" builtinId="0"/>
    <cellStyle name="Normal 2" xfId="8"/>
    <cellStyle name="Normal 3" xfId="9"/>
    <cellStyle name="Normal 4" xfId="3"/>
    <cellStyle name="Normal 4 2" xfId="6"/>
    <cellStyle name="Normal 5" xfId="12"/>
    <cellStyle name="Normal 6" xfId="14"/>
    <cellStyle name="Note 2" xfId="10"/>
    <cellStyle name="Percent" xfId="1" builtinId="5"/>
    <cellStyle name="Percent 2" xfId="11"/>
    <cellStyle name="Percent 3" xfId="5"/>
    <cellStyle name="Percent 4" xfId="13"/>
    <cellStyle name="Percent 5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X52"/>
  <sheetViews>
    <sheetView showGridLines="0" zoomScaleNormal="100" workbookViewId="0">
      <selection sqref="A1:A2"/>
    </sheetView>
  </sheetViews>
  <sheetFormatPr defaultRowHeight="15" x14ac:dyDescent="0.25"/>
  <cols>
    <col min="1" max="1" width="25.42578125" customWidth="1"/>
    <col min="2" max="2" width="16" bestFit="1" customWidth="1"/>
    <col min="3" max="3" width="11.7109375" customWidth="1"/>
    <col min="4" max="4" width="16" bestFit="1" customWidth="1"/>
    <col min="5" max="5" width="12.140625" style="98" customWidth="1"/>
    <col min="6" max="11" width="11.7109375" customWidth="1"/>
    <col min="12" max="12" width="11.7109375" style="99" customWidth="1"/>
    <col min="13" max="14" width="11.7109375" customWidth="1"/>
    <col min="15" max="16" width="12.140625" bestFit="1" customWidth="1"/>
    <col min="17" max="18" width="11.7109375" customWidth="1"/>
    <col min="19" max="19" width="11.7109375" style="104" customWidth="1"/>
    <col min="21" max="21" width="12.140625" customWidth="1"/>
  </cols>
  <sheetData>
    <row r="1" spans="1:24" s="323" customFormat="1" x14ac:dyDescent="0.25">
      <c r="A1" s="324" t="s">
        <v>205</v>
      </c>
    </row>
    <row r="2" spans="1:24" s="323" customFormat="1" x14ac:dyDescent="0.25">
      <c r="A2" s="324" t="s">
        <v>206</v>
      </c>
    </row>
    <row r="3" spans="1:24" ht="15.75" thickBot="1" x14ac:dyDescent="0.3">
      <c r="A3" s="1"/>
      <c r="B3" s="1"/>
      <c r="C3" s="1"/>
      <c r="D3" s="1"/>
      <c r="E3" s="40"/>
      <c r="F3" s="1"/>
      <c r="G3" s="1"/>
      <c r="H3" s="1"/>
      <c r="I3" s="1"/>
      <c r="J3" s="1"/>
      <c r="K3" s="1"/>
      <c r="L3" s="40"/>
      <c r="M3" s="1"/>
      <c r="N3" s="1"/>
      <c r="O3" s="1"/>
      <c r="P3" s="1"/>
      <c r="Q3" s="1"/>
      <c r="R3" s="1"/>
      <c r="S3" s="119"/>
    </row>
    <row r="5" spans="1:24" ht="15.75" x14ac:dyDescent="0.25">
      <c r="A5" s="105"/>
      <c r="B5" t="s">
        <v>53</v>
      </c>
      <c r="G5" s="3" t="s">
        <v>51</v>
      </c>
    </row>
    <row r="6" spans="1:24" ht="15.75" x14ac:dyDescent="0.25">
      <c r="A6" s="115"/>
      <c r="B6" s="115"/>
      <c r="H6" s="3" t="s">
        <v>0</v>
      </c>
    </row>
    <row r="8" spans="1:24" x14ac:dyDescent="0.25">
      <c r="O8" s="112"/>
    </row>
    <row r="10" spans="1:24" x14ac:dyDescent="0.25">
      <c r="A10" s="2" t="s">
        <v>1</v>
      </c>
      <c r="E10" s="115"/>
    </row>
    <row r="11" spans="1:24" ht="15.75" thickBot="1" x14ac:dyDescent="0.3">
      <c r="A11" s="1"/>
      <c r="B11" s="1"/>
      <c r="C11" s="1"/>
      <c r="D11" s="1"/>
      <c r="E11" s="116"/>
      <c r="F11" s="1"/>
      <c r="G11" s="1"/>
      <c r="H11" s="1"/>
      <c r="I11" s="40"/>
      <c r="J11" s="40"/>
      <c r="K11" s="40"/>
      <c r="L11" s="40"/>
      <c r="M11" s="1"/>
      <c r="N11" s="1"/>
      <c r="O11" s="1"/>
      <c r="P11" s="1"/>
      <c r="Q11" s="1"/>
      <c r="R11" s="1"/>
      <c r="S11" s="119"/>
      <c r="U11" s="119"/>
    </row>
    <row r="12" spans="1:24" ht="15.75" thickBot="1" x14ac:dyDescent="0.3">
      <c r="A12" s="328" t="s">
        <v>2</v>
      </c>
      <c r="B12" s="328" t="s">
        <v>3</v>
      </c>
      <c r="C12" s="330"/>
      <c r="D12" s="330"/>
      <c r="F12" s="331" t="s">
        <v>4</v>
      </c>
      <c r="G12" s="330"/>
      <c r="H12" s="330"/>
      <c r="I12" s="328" t="s">
        <v>5</v>
      </c>
      <c r="J12" s="330"/>
      <c r="K12" s="330"/>
      <c r="L12" s="105"/>
      <c r="M12" s="328" t="s">
        <v>6</v>
      </c>
      <c r="N12" s="330"/>
      <c r="O12" s="330"/>
      <c r="P12" s="330"/>
      <c r="Q12" s="328" t="s">
        <v>7</v>
      </c>
      <c r="R12" s="329"/>
      <c r="S12" s="144"/>
      <c r="T12" s="325" t="s">
        <v>59</v>
      </c>
      <c r="U12" s="326"/>
      <c r="V12" s="326"/>
      <c r="W12" s="326"/>
      <c r="X12" s="327"/>
    </row>
    <row r="13" spans="1:24" ht="26.25" thickBot="1" x14ac:dyDescent="0.3">
      <c r="A13" s="328"/>
      <c r="B13" s="4" t="s">
        <v>8</v>
      </c>
      <c r="C13" s="4" t="s">
        <v>9</v>
      </c>
      <c r="D13" s="4" t="s">
        <v>10</v>
      </c>
      <c r="E13" s="103" t="s">
        <v>61</v>
      </c>
      <c r="F13" s="4" t="s">
        <v>11</v>
      </c>
      <c r="G13" s="4" t="s">
        <v>12</v>
      </c>
      <c r="H13" s="4" t="s">
        <v>13</v>
      </c>
      <c r="I13" s="4" t="s">
        <v>11</v>
      </c>
      <c r="J13" s="4" t="s">
        <v>12</v>
      </c>
      <c r="K13" s="4" t="s">
        <v>13</v>
      </c>
      <c r="L13" s="106" t="s">
        <v>52</v>
      </c>
      <c r="M13" s="111" t="s">
        <v>11</v>
      </c>
      <c r="N13" s="111" t="s">
        <v>12</v>
      </c>
      <c r="O13" s="111" t="s">
        <v>13</v>
      </c>
      <c r="P13" s="111" t="s">
        <v>14</v>
      </c>
      <c r="Q13" s="111" t="s">
        <v>15</v>
      </c>
      <c r="R13" s="131" t="s">
        <v>16</v>
      </c>
      <c r="S13" s="117" t="s">
        <v>61</v>
      </c>
      <c r="T13" s="132" t="s">
        <v>65</v>
      </c>
      <c r="U13" s="121"/>
      <c r="W13" s="119"/>
      <c r="X13" s="127"/>
    </row>
    <row r="14" spans="1:24" x14ac:dyDescent="0.25">
      <c r="A14" s="122" t="s">
        <v>17</v>
      </c>
      <c r="B14" s="109">
        <v>2691593.784</v>
      </c>
      <c r="C14" s="108">
        <v>0</v>
      </c>
      <c r="D14" s="108">
        <f>B14</f>
        <v>2691593.784</v>
      </c>
      <c r="E14" s="310">
        <f>1000*B14/(8760*VLOOKUP(A14,MFR_E_10_Attachment_2__FPL102!$A$13:$B$29,2,FALSE))</f>
        <v>0.91727071916981551</v>
      </c>
      <c r="F14" s="7">
        <v>0</v>
      </c>
      <c r="G14" s="7">
        <f>0.38241</f>
        <v>0.38241000000000003</v>
      </c>
      <c r="H14" s="7">
        <f>0.61759</f>
        <v>0.61758999999999997</v>
      </c>
      <c r="I14" s="8">
        <v>1.0192606088906659</v>
      </c>
      <c r="J14" s="8">
        <v>1.0292106668034724</v>
      </c>
      <c r="K14" s="8">
        <v>1.0570946834402213</v>
      </c>
      <c r="L14" s="312">
        <f>(F14*I14)+(G14*J14)+(H14*K14)</f>
        <v>1.0464315566381621</v>
      </c>
      <c r="M14" s="108">
        <f t="shared" ref="M14:M22" si="0">$D14*F14*I14</f>
        <v>0</v>
      </c>
      <c r="N14" s="108">
        <f t="shared" ref="N14:O14" si="1">$D14*G14*J14</f>
        <v>1059358.6956639935</v>
      </c>
      <c r="O14" s="108">
        <f t="shared" si="1"/>
        <v>1757209.9775647277</v>
      </c>
      <c r="P14" s="108">
        <f>SUM(M14:O14)</f>
        <v>2816568.6732287211</v>
      </c>
      <c r="Q14" s="113">
        <f t="shared" ref="Q14:Q30" si="2">P14/$P$32</f>
        <v>2.4818301464707801E-2</v>
      </c>
      <c r="R14" s="9">
        <v>2.2339284626452179E-2</v>
      </c>
      <c r="S14" s="309">
        <f>1000*($B$14+$B$15)/(8760*(MFR_E_10_Attachment_2__FPL102!D13+MFR_E_10_Attachment_2__FPL102!D14))</f>
        <v>0.9164622446401508</v>
      </c>
      <c r="T14" s="126">
        <f>D14/($D$14+$D$15)</f>
        <v>0.96356064687914922</v>
      </c>
      <c r="U14" s="120">
        <f>L14*T14</f>
        <v>1.0083002676290225</v>
      </c>
      <c r="V14" s="120"/>
      <c r="W14" s="119"/>
      <c r="X14" s="127"/>
    </row>
    <row r="15" spans="1:24" x14ac:dyDescent="0.25">
      <c r="A15" s="122" t="s">
        <v>18</v>
      </c>
      <c r="B15" s="109">
        <v>101789.064</v>
      </c>
      <c r="C15" s="108">
        <v>0</v>
      </c>
      <c r="D15" s="108">
        <f t="shared" ref="D15:D30" si="3">B15</f>
        <v>101789.064</v>
      </c>
      <c r="E15" s="310">
        <f>1000*B15/(8760*VLOOKUP(A15,MFR_E_10_Attachment_2__FPL102!$A$13:$B$29,2,FALSE))</f>
        <v>0.89558918808430943</v>
      </c>
      <c r="F15" s="7">
        <v>0</v>
      </c>
      <c r="G15" s="7">
        <v>1.3429999999999999E-2</v>
      </c>
      <c r="H15" s="7">
        <v>0.98656999999999995</v>
      </c>
      <c r="I15" s="8">
        <v>1.0192606088906659</v>
      </c>
      <c r="J15" s="8">
        <v>1.0292106668034724</v>
      </c>
      <c r="K15" s="8">
        <v>1.0570946834402213</v>
      </c>
      <c r="L15" s="312">
        <f t="shared" ref="L15:L30" si="4">(F15*I15)+(G15*J15)+(H15*K15)</f>
        <v>1.0567202010967898</v>
      </c>
      <c r="M15" s="108">
        <f t="shared" si="0"/>
        <v>0</v>
      </c>
      <c r="N15" s="108">
        <f t="shared" ref="N15:N17" si="5">$D15*G15*J15</f>
        <v>1406.9589035117158</v>
      </c>
      <c r="O15" s="108">
        <f t="shared" ref="O15:O17" si="6">$D15*H15*K15</f>
        <v>106155.60127602228</v>
      </c>
      <c r="P15" s="108">
        <f t="shared" ref="P15:P30" si="7">SUM(M15:O15)</f>
        <v>107562.56017953399</v>
      </c>
      <c r="Q15" s="113">
        <f t="shared" si="2"/>
        <v>9.4779157001391153E-4</v>
      </c>
      <c r="R15" s="9">
        <v>1.1801667623692904E-3</v>
      </c>
      <c r="S15" s="311"/>
      <c r="T15" s="126">
        <f>D15/($D$14+$D$15)</f>
        <v>3.6439353120850837E-2</v>
      </c>
      <c r="U15" s="120">
        <f>L15*T15</f>
        <v>3.850620055770243E-2</v>
      </c>
      <c r="V15" s="136">
        <f>U14+U15</f>
        <v>1.0468064681867248</v>
      </c>
      <c r="W15" s="119" t="s">
        <v>55</v>
      </c>
      <c r="X15" s="127"/>
    </row>
    <row r="16" spans="1:24" x14ac:dyDescent="0.25">
      <c r="A16" s="5" t="s">
        <v>19</v>
      </c>
      <c r="B16" s="109">
        <v>1508609.875</v>
      </c>
      <c r="C16" s="108">
        <v>0</v>
      </c>
      <c r="D16" s="108">
        <f t="shared" si="3"/>
        <v>1508609.875</v>
      </c>
      <c r="E16" s="309">
        <f>1000*B16/(8760*VLOOKUP(A16,MFR_E_10_Attachment_2__FPL102!$A$13:$B$29,2,FALSE))</f>
        <v>0.9610391575037337</v>
      </c>
      <c r="F16" s="7">
        <v>1</v>
      </c>
      <c r="G16" s="7">
        <v>0</v>
      </c>
      <c r="H16" s="7">
        <v>0</v>
      </c>
      <c r="I16" s="8">
        <v>1.0192606088906659</v>
      </c>
      <c r="J16" s="8">
        <v>1.0292106668034724</v>
      </c>
      <c r="K16" s="8">
        <v>1.0570946834402213</v>
      </c>
      <c r="L16" s="107">
        <f t="shared" si="4"/>
        <v>1.0192606088906659</v>
      </c>
      <c r="M16" s="108">
        <f t="shared" si="0"/>
        <v>1537666.6197709714</v>
      </c>
      <c r="N16" s="108">
        <f t="shared" si="5"/>
        <v>0</v>
      </c>
      <c r="O16" s="108">
        <f t="shared" si="6"/>
        <v>0</v>
      </c>
      <c r="P16" s="108">
        <f t="shared" si="7"/>
        <v>1537666.6197709714</v>
      </c>
      <c r="Q16" s="113">
        <f t="shared" si="2"/>
        <v>1.3549207617205931E-2</v>
      </c>
      <c r="R16" s="9">
        <v>1.1132607235148181E-2</v>
      </c>
      <c r="S16" s="311"/>
      <c r="T16" s="126"/>
      <c r="U16" s="119"/>
      <c r="V16" s="119"/>
      <c r="W16" s="119"/>
      <c r="X16" s="127"/>
    </row>
    <row r="17" spans="1:24" x14ac:dyDescent="0.25">
      <c r="A17" s="123" t="s">
        <v>204</v>
      </c>
      <c r="B17" s="109">
        <v>70241.817999999999</v>
      </c>
      <c r="C17" s="108">
        <v>0</v>
      </c>
      <c r="D17" s="108">
        <f t="shared" si="3"/>
        <v>70241.817999999999</v>
      </c>
      <c r="E17" s="310">
        <f>1000*B17/(8760*VLOOKUP(A17,MFR_E_10_Attachment_2__FPL102!$A$13:$B$29,2,FALSE))</f>
        <v>0.99758499143605306</v>
      </c>
      <c r="F17" s="7">
        <v>0</v>
      </c>
      <c r="G17" s="7">
        <v>0</v>
      </c>
      <c r="H17" s="7">
        <f>1</f>
        <v>1</v>
      </c>
      <c r="I17" s="8">
        <v>1.0192606088906659</v>
      </c>
      <c r="J17" s="8">
        <v>1.0292106668034724</v>
      </c>
      <c r="K17" s="8">
        <v>1.0570946834402213</v>
      </c>
      <c r="L17" s="312">
        <f t="shared" si="4"/>
        <v>1.0570946834402213</v>
      </c>
      <c r="M17" s="108">
        <f t="shared" si="0"/>
        <v>0</v>
      </c>
      <c r="N17" s="108">
        <f t="shared" si="5"/>
        <v>0</v>
      </c>
      <c r="O17" s="108">
        <f t="shared" si="6"/>
        <v>74252.252362975632</v>
      </c>
      <c r="P17" s="108">
        <f t="shared" si="7"/>
        <v>74252.252362975632</v>
      </c>
      <c r="Q17" s="113">
        <f t="shared" si="2"/>
        <v>6.5427653197087324E-4</v>
      </c>
      <c r="R17" s="9">
        <v>7.0974884848730674E-4</v>
      </c>
      <c r="S17" s="309">
        <f>1000*($B$17+$B$28)/(8760*(MFR_E_10_Attachment_2__FPL102!D16+MFR_E_10_Attachment_2__FPL102!D27))</f>
        <v>0.99806396384430418</v>
      </c>
      <c r="T17" s="126">
        <f>D17/($D$17+$D$28)</f>
        <v>0.68192997575910408</v>
      </c>
      <c r="U17" s="120">
        <f>L17*T17</f>
        <v>0.72086455185346787</v>
      </c>
      <c r="V17" s="120"/>
      <c r="W17" s="119"/>
      <c r="X17" s="127"/>
    </row>
    <row r="18" spans="1:24" x14ac:dyDescent="0.25">
      <c r="A18" s="5" t="s">
        <v>20</v>
      </c>
      <c r="B18" s="109">
        <v>25881286.249000002</v>
      </c>
      <c r="C18" s="108">
        <v>0</v>
      </c>
      <c r="D18" s="108">
        <f t="shared" si="3"/>
        <v>25881286.249000002</v>
      </c>
      <c r="E18" s="309">
        <f>1000*B18/(8760*VLOOKUP(A18,MFR_E_10_Attachment_2__FPL102!$A$13:$B$29,2,FALSE))</f>
        <v>0.76659623540275634</v>
      </c>
      <c r="F18" s="7">
        <v>0</v>
      </c>
      <c r="G18" s="7">
        <v>2.8999999999999998E-3</v>
      </c>
      <c r="H18" s="7">
        <v>0.99709999999999999</v>
      </c>
      <c r="I18" s="8">
        <v>1.0192606088906659</v>
      </c>
      <c r="J18" s="8">
        <v>1.0292106668034724</v>
      </c>
      <c r="K18" s="8">
        <v>1.0570946834402213</v>
      </c>
      <c r="L18" s="107">
        <f t="shared" si="4"/>
        <v>1.0570138197919745</v>
      </c>
      <c r="M18" s="108">
        <f t="shared" si="0"/>
        <v>0</v>
      </c>
      <c r="N18" s="108">
        <f t="shared" ref="N18:N19" si="8">$D18*G18*J18</f>
        <v>77248.158046388009</v>
      </c>
      <c r="O18" s="108">
        <f t="shared" ref="O18:O19" si="9">$D18*H18*K18</f>
        <v>27279629.081138611</v>
      </c>
      <c r="P18" s="108">
        <f t="shared" si="7"/>
        <v>27356877.239184998</v>
      </c>
      <c r="Q18" s="113">
        <f t="shared" si="2"/>
        <v>0.24105615918705559</v>
      </c>
      <c r="R18" s="9">
        <v>0.22333030754547345</v>
      </c>
      <c r="S18" s="311"/>
      <c r="T18" s="126">
        <f>D28/($D$17+$D$28)</f>
        <v>0.31807002424089587</v>
      </c>
      <c r="U18" s="120">
        <f>L28*T18</f>
        <v>0.3362301315867533</v>
      </c>
      <c r="V18" s="136">
        <f>U17+U18</f>
        <v>1.0570946834402211</v>
      </c>
      <c r="W18" s="119" t="s">
        <v>56</v>
      </c>
      <c r="X18" s="127"/>
    </row>
    <row r="19" spans="1:24" x14ac:dyDescent="0.25">
      <c r="A19" s="5" t="s">
        <v>21</v>
      </c>
      <c r="B19" s="109">
        <v>10529674.162</v>
      </c>
      <c r="C19" s="108">
        <v>0</v>
      </c>
      <c r="D19" s="108">
        <f t="shared" si="3"/>
        <v>10529674.162</v>
      </c>
      <c r="E19" s="309">
        <f>1000*B19/(8760*VLOOKUP(A19,MFR_E_10_Attachment_2__FPL102!$A$13:$B$29,2,FALSE))</f>
        <v>0.77203718625199858</v>
      </c>
      <c r="F19" s="7">
        <v>0</v>
      </c>
      <c r="G19" s="7">
        <v>3.8420000000000003E-2</v>
      </c>
      <c r="H19" s="7">
        <v>0.96157999999999999</v>
      </c>
      <c r="I19" s="8">
        <v>1.0192606088906659</v>
      </c>
      <c r="J19" s="8">
        <v>1.0292106668034724</v>
      </c>
      <c r="K19" s="8">
        <v>1.0570946834402213</v>
      </c>
      <c r="L19" s="107">
        <f t="shared" si="4"/>
        <v>1.0560233795210372</v>
      </c>
      <c r="M19" s="108">
        <f t="shared" si="0"/>
        <v>0</v>
      </c>
      <c r="N19" s="108">
        <f t="shared" si="8"/>
        <v>416367.25893433002</v>
      </c>
      <c r="O19" s="108">
        <f t="shared" si="9"/>
        <v>10703214.834876258</v>
      </c>
      <c r="P19" s="108">
        <f t="shared" si="7"/>
        <v>11119582.093810588</v>
      </c>
      <c r="Q19" s="113">
        <f t="shared" si="2"/>
        <v>9.7980618469851066E-2</v>
      </c>
      <c r="R19" s="9">
        <v>9.1855212512469822E-2</v>
      </c>
      <c r="S19" s="311"/>
      <c r="T19" s="126"/>
      <c r="U19" s="119"/>
      <c r="V19" s="119"/>
      <c r="W19" s="119"/>
      <c r="X19" s="127"/>
    </row>
    <row r="20" spans="1:24" x14ac:dyDescent="0.25">
      <c r="A20" s="5" t="s">
        <v>22</v>
      </c>
      <c r="B20" s="109">
        <v>2520476.7549999999</v>
      </c>
      <c r="C20" s="108">
        <v>0</v>
      </c>
      <c r="D20" s="108">
        <f t="shared" si="3"/>
        <v>2520476.7549999999</v>
      </c>
      <c r="E20" s="309">
        <f>1000*B20/(8760*VLOOKUP(A20,MFR_E_10_Attachment_2__FPL102!$A$13:$B$29,2,FALSE))</f>
        <v>0.92104224184883499</v>
      </c>
      <c r="F20" s="7">
        <v>0</v>
      </c>
      <c r="G20" s="7">
        <v>0.34175</v>
      </c>
      <c r="H20" s="7">
        <v>0.65825</v>
      </c>
      <c r="I20" s="8">
        <v>1.0192606088906659</v>
      </c>
      <c r="J20" s="8">
        <v>1.0292106668034724</v>
      </c>
      <c r="K20" s="8">
        <v>1.0570946834402213</v>
      </c>
      <c r="L20" s="107">
        <f t="shared" si="4"/>
        <v>1.0475653207546123</v>
      </c>
      <c r="M20" s="108">
        <f t="shared" si="0"/>
        <v>0</v>
      </c>
      <c r="N20" s="108">
        <f t="shared" ref="N20:N23" si="10">$D20*G20*J20</f>
        <v>886534.20870284212</v>
      </c>
      <c r="O20" s="108">
        <f t="shared" ref="O20:O23" si="11">$D20*H20*K20</f>
        <v>1753829.8316032775</v>
      </c>
      <c r="P20" s="108">
        <f t="shared" si="7"/>
        <v>2640364.0403061197</v>
      </c>
      <c r="Q20" s="113">
        <f t="shared" si="2"/>
        <v>2.3265667672776047E-2</v>
      </c>
      <c r="R20" s="9">
        <v>2.1756023716093285E-2</v>
      </c>
      <c r="S20" s="311"/>
      <c r="T20" s="126"/>
      <c r="U20" s="119"/>
      <c r="V20" s="119"/>
      <c r="W20" s="119"/>
      <c r="X20" s="127"/>
    </row>
    <row r="21" spans="1:24" x14ac:dyDescent="0.25">
      <c r="A21" s="5" t="s">
        <v>23</v>
      </c>
      <c r="B21" s="109">
        <v>173015.53599999999</v>
      </c>
      <c r="C21" s="108">
        <v>0</v>
      </c>
      <c r="D21" s="108">
        <f t="shared" si="3"/>
        <v>173015.53599999999</v>
      </c>
      <c r="E21" s="309">
        <f>1000*B21/(8760*VLOOKUP(A21,MFR_E_10_Attachment_2__FPL102!$A$13:$B$29,2,FALSE))</f>
        <v>0.9157037329175538</v>
      </c>
      <c r="F21" s="7">
        <v>1</v>
      </c>
      <c r="G21" s="7">
        <v>0</v>
      </c>
      <c r="H21" s="7">
        <v>0</v>
      </c>
      <c r="I21" s="8">
        <v>1.0192606088906659</v>
      </c>
      <c r="J21" s="8">
        <v>1.0292106668034724</v>
      </c>
      <c r="K21" s="8">
        <v>1.0570946834402213</v>
      </c>
      <c r="L21" s="107">
        <f t="shared" si="4"/>
        <v>1.0192606088906659</v>
      </c>
      <c r="M21" s="108">
        <f t="shared" si="0"/>
        <v>176347.92057090491</v>
      </c>
      <c r="N21" s="108">
        <f t="shared" si="10"/>
        <v>0</v>
      </c>
      <c r="O21" s="108">
        <f t="shared" si="11"/>
        <v>0</v>
      </c>
      <c r="P21" s="108">
        <f t="shared" si="7"/>
        <v>176347.92057090491</v>
      </c>
      <c r="Q21" s="113">
        <f t="shared" si="2"/>
        <v>1.5538963764678835E-3</v>
      </c>
      <c r="R21" s="9">
        <v>1.3452986743881532E-3</v>
      </c>
      <c r="S21" s="311"/>
      <c r="T21" s="126"/>
      <c r="U21" s="119"/>
      <c r="V21" s="119"/>
      <c r="W21" s="119"/>
      <c r="X21" s="127"/>
    </row>
    <row r="22" spans="1:24" x14ac:dyDescent="0.25">
      <c r="A22" s="5" t="s">
        <v>24</v>
      </c>
      <c r="B22" s="109">
        <v>5981722.5099999998</v>
      </c>
      <c r="C22" s="108">
        <v>0</v>
      </c>
      <c r="D22" s="108">
        <f t="shared" si="3"/>
        <v>5981722.5099999998</v>
      </c>
      <c r="E22" s="309">
        <f>1000*B22/(8760*VLOOKUP(A22,MFR_E_10_Attachment_2__FPL102!$A$13:$B$29,2,FALSE))</f>
        <v>0.69064836922557571</v>
      </c>
      <c r="F22" s="7">
        <v>0</v>
      </c>
      <c r="G22" s="7">
        <v>0</v>
      </c>
      <c r="H22" s="7">
        <v>1</v>
      </c>
      <c r="I22" s="8">
        <v>1.0192606088906659</v>
      </c>
      <c r="J22" s="8">
        <v>1.0292106668034724</v>
      </c>
      <c r="K22" s="8">
        <v>1.0570946834402213</v>
      </c>
      <c r="L22" s="107">
        <f t="shared" si="4"/>
        <v>1.0570946834402213</v>
      </c>
      <c r="M22" s="108">
        <f t="shared" si="0"/>
        <v>0</v>
      </c>
      <c r="N22" s="108">
        <f t="shared" si="10"/>
        <v>0</v>
      </c>
      <c r="O22" s="108">
        <f t="shared" si="11"/>
        <v>6323247.0631356956</v>
      </c>
      <c r="P22" s="108">
        <f t="shared" si="7"/>
        <v>6323247.0631356956</v>
      </c>
      <c r="Q22" s="113">
        <f t="shared" si="2"/>
        <v>5.5717530816968709E-2</v>
      </c>
      <c r="R22" s="9">
        <v>5.177068445160956E-2</v>
      </c>
      <c r="S22" s="311"/>
      <c r="T22" s="126"/>
      <c r="U22" s="119"/>
      <c r="V22" s="119"/>
      <c r="W22" s="119"/>
      <c r="X22" s="127"/>
    </row>
    <row r="23" spans="1:24" x14ac:dyDescent="0.25">
      <c r="A23" s="5" t="s">
        <v>25</v>
      </c>
      <c r="B23" s="109">
        <v>91208.296000000002</v>
      </c>
      <c r="C23" s="108">
        <v>0</v>
      </c>
      <c r="D23" s="108">
        <f t="shared" si="3"/>
        <v>91208.296000000002</v>
      </c>
      <c r="E23" s="309">
        <f>1000*B23/(8760*VLOOKUP(A23,MFR_E_10_Attachment_2__FPL102!$A$13:$B$29,2,FALSE))</f>
        <v>0.49830815931848788</v>
      </c>
      <c r="F23" s="7">
        <v>0</v>
      </c>
      <c r="G23" s="7">
        <v>1</v>
      </c>
      <c r="H23" s="7">
        <v>0</v>
      </c>
      <c r="I23" s="8">
        <v>1.0192606088906659</v>
      </c>
      <c r="J23" s="8">
        <v>1.0292106668034724</v>
      </c>
      <c r="K23" s="8">
        <v>1.0570946834402213</v>
      </c>
      <c r="L23" s="107">
        <f t="shared" si="4"/>
        <v>1.0292106668034724</v>
      </c>
      <c r="M23" s="108">
        <f t="shared" ref="M23:M30" si="12">$D23*F23*I23</f>
        <v>0</v>
      </c>
      <c r="N23" s="108">
        <f t="shared" si="10"/>
        <v>93872.551144168479</v>
      </c>
      <c r="O23" s="108">
        <f t="shared" si="11"/>
        <v>0</v>
      </c>
      <c r="P23" s="108">
        <f t="shared" si="7"/>
        <v>93872.551144168479</v>
      </c>
      <c r="Q23" s="113">
        <f t="shared" si="2"/>
        <v>8.2716153726388657E-4</v>
      </c>
      <c r="R23" s="9">
        <v>7.5668713010606646E-4</v>
      </c>
      <c r="S23" s="311"/>
      <c r="T23" s="126"/>
      <c r="U23" s="119"/>
      <c r="V23" s="119"/>
      <c r="W23" s="119"/>
      <c r="X23" s="127"/>
    </row>
    <row r="24" spans="1:24" x14ac:dyDescent="0.25">
      <c r="A24" s="124" t="s">
        <v>26</v>
      </c>
      <c r="B24" s="109">
        <v>97899.983999999997</v>
      </c>
      <c r="C24" s="108">
        <v>0</v>
      </c>
      <c r="D24" s="108">
        <f t="shared" si="3"/>
        <v>97899.983999999997</v>
      </c>
      <c r="E24" s="310">
        <f>1000*B24/(8760*VLOOKUP(A24,MFR_E_10_Attachment_2__FPL102!$A$13:$B$29,2,FALSE))</f>
        <v>3.0758795222699122</v>
      </c>
      <c r="F24" s="313">
        <v>0</v>
      </c>
      <c r="G24" s="313">
        <v>0</v>
      </c>
      <c r="H24" s="313">
        <f>1</f>
        <v>1</v>
      </c>
      <c r="I24" s="314">
        <v>1.0192606088906659</v>
      </c>
      <c r="J24" s="314">
        <v>1.0292106668034724</v>
      </c>
      <c r="K24" s="314">
        <v>1.0570946834402213</v>
      </c>
      <c r="L24" s="312">
        <f t="shared" si="4"/>
        <v>1.0570946834402213</v>
      </c>
      <c r="M24" s="108">
        <f t="shared" si="12"/>
        <v>0</v>
      </c>
      <c r="N24" s="108">
        <f t="shared" ref="N24:N30" si="13">$D24*G24*J24</f>
        <v>0</v>
      </c>
      <c r="O24" s="108">
        <f t="shared" ref="O24:O30" si="14">$D24*H24*K24</f>
        <v>103489.55259528273</v>
      </c>
      <c r="P24" s="108">
        <f t="shared" si="7"/>
        <v>103489.55259528273</v>
      </c>
      <c r="Q24" s="113">
        <f t="shared" si="2"/>
        <v>9.119021095314472E-4</v>
      </c>
      <c r="R24" s="9">
        <v>8.3776830884923906E-4</v>
      </c>
      <c r="S24" s="309">
        <f>1000*($B$24+$B$27)/(8760*(MFR_E_10_Attachment_2__FPL102!D23+MFR_E_10_Attachment_2__FPL102!D26))</f>
        <v>3.0713995467544613</v>
      </c>
      <c r="T24" s="126">
        <f>D24/($D$24+$D$27)</f>
        <v>0.14857402489914395</v>
      </c>
      <c r="U24" s="120">
        <f>L24*T24</f>
        <v>0.15705681181820014</v>
      </c>
      <c r="V24" s="120"/>
      <c r="W24" s="119"/>
      <c r="X24" s="127"/>
    </row>
    <row r="25" spans="1:24" ht="15.75" thickBot="1" x14ac:dyDescent="0.3">
      <c r="A25" s="5" t="s">
        <v>27</v>
      </c>
      <c r="B25" s="109">
        <v>10793.313</v>
      </c>
      <c r="C25" s="108">
        <v>0</v>
      </c>
      <c r="D25" s="108">
        <f t="shared" si="3"/>
        <v>10793.313</v>
      </c>
      <c r="E25" s="309">
        <f>1000*B25/(8760*VLOOKUP(A25,MFR_E_10_Attachment_2__FPL102!$A$13:$B$29,2,FALSE))</f>
        <v>1.5101013416409526</v>
      </c>
      <c r="F25" s="7">
        <v>0</v>
      </c>
      <c r="G25" s="7">
        <v>1</v>
      </c>
      <c r="H25" s="7">
        <v>0</v>
      </c>
      <c r="I25" s="8">
        <v>1.0192606088906659</v>
      </c>
      <c r="J25" s="8">
        <v>1.0292106668034724</v>
      </c>
      <c r="K25" s="8">
        <v>1.0570946834402213</v>
      </c>
      <c r="L25" s="107">
        <f t="shared" si="4"/>
        <v>1.0292106668034724</v>
      </c>
      <c r="M25" s="108">
        <f t="shared" si="12"/>
        <v>0</v>
      </c>
      <c r="N25" s="108">
        <f t="shared" si="13"/>
        <v>11108.592869748587</v>
      </c>
      <c r="O25" s="108">
        <f t="shared" si="14"/>
        <v>0</v>
      </c>
      <c r="P25" s="108">
        <f t="shared" si="7"/>
        <v>11108.592869748587</v>
      </c>
      <c r="Q25" s="113">
        <f t="shared" si="2"/>
        <v>9.7883786506112257E-5</v>
      </c>
      <c r="R25" s="9">
        <v>8.8969450581717819E-5</v>
      </c>
      <c r="S25" s="9"/>
      <c r="T25" s="128">
        <f>D27/($D$24+$D$27)</f>
        <v>0.85142597510085594</v>
      </c>
      <c r="U25" s="129">
        <f>L27*T25</f>
        <v>0.90003787162202098</v>
      </c>
      <c r="V25" s="315">
        <f>U24+U25</f>
        <v>1.0570946834402211</v>
      </c>
      <c r="W25" s="40" t="s">
        <v>57</v>
      </c>
      <c r="X25" s="130"/>
    </row>
    <row r="26" spans="1:24" x14ac:dyDescent="0.25">
      <c r="A26" s="5" t="s">
        <v>28</v>
      </c>
      <c r="B26" s="109">
        <v>57133325.762999997</v>
      </c>
      <c r="C26" s="108">
        <v>0</v>
      </c>
      <c r="D26" s="108">
        <f t="shared" si="3"/>
        <v>57133325.762999997</v>
      </c>
      <c r="E26" s="309">
        <f>1000*B26/(8760*VLOOKUP(A26,MFR_E_10_Attachment_2__FPL102!$A$13:$B$29,2,FALSE))</f>
        <v>0.62452247066734168</v>
      </c>
      <c r="F26" s="7">
        <v>0</v>
      </c>
      <c r="G26" s="7">
        <v>0</v>
      </c>
      <c r="H26" s="7">
        <v>1</v>
      </c>
      <c r="I26" s="8">
        <v>1.0192606088906659</v>
      </c>
      <c r="J26" s="8">
        <v>1.0292106668034724</v>
      </c>
      <c r="K26" s="8">
        <v>1.0570946834402213</v>
      </c>
      <c r="L26" s="107">
        <f t="shared" si="4"/>
        <v>1.0570946834402213</v>
      </c>
      <c r="M26" s="108">
        <f t="shared" si="12"/>
        <v>0</v>
      </c>
      <c r="N26" s="108">
        <f t="shared" si="13"/>
        <v>0</v>
      </c>
      <c r="O26" s="108">
        <f t="shared" si="14"/>
        <v>60395334.911325522</v>
      </c>
      <c r="P26" s="108">
        <f t="shared" si="7"/>
        <v>60395334.911325522</v>
      </c>
      <c r="Q26" s="113">
        <f t="shared" si="2"/>
        <v>0.53217577939366245</v>
      </c>
      <c r="R26" s="9">
        <v>0.51848288652758234</v>
      </c>
      <c r="S26" s="9"/>
    </row>
    <row r="27" spans="1:24" x14ac:dyDescent="0.25">
      <c r="A27" s="124" t="s">
        <v>29</v>
      </c>
      <c r="B27" s="109">
        <v>561030.701</v>
      </c>
      <c r="C27" s="108">
        <v>0</v>
      </c>
      <c r="D27" s="108">
        <f t="shared" si="3"/>
        <v>561030.701</v>
      </c>
      <c r="E27" s="309">
        <f>1000*B27/(8760*VLOOKUP(A27,MFR_E_10_Attachment_2__FPL102!$A$13:$B$29,2,FALSE))</f>
        <v>3.0706191269824936</v>
      </c>
      <c r="F27" s="313">
        <v>0</v>
      </c>
      <c r="G27" s="313">
        <v>0</v>
      </c>
      <c r="H27" s="313">
        <v>1</v>
      </c>
      <c r="I27" s="314">
        <v>1.0192606088906659</v>
      </c>
      <c r="J27" s="314">
        <v>1.0292106668034724</v>
      </c>
      <c r="K27" s="314">
        <v>1.0570946834402213</v>
      </c>
      <c r="L27" s="312">
        <f t="shared" si="4"/>
        <v>1.0570946834402213</v>
      </c>
      <c r="M27" s="108">
        <f t="shared" si="12"/>
        <v>0</v>
      </c>
      <c r="N27" s="108">
        <f t="shared" si="13"/>
        <v>0</v>
      </c>
      <c r="O27" s="108">
        <f t="shared" si="14"/>
        <v>593062.57127384038</v>
      </c>
      <c r="P27" s="108">
        <f t="shared" si="7"/>
        <v>593062.57127384038</v>
      </c>
      <c r="Q27" s="113">
        <f t="shared" si="2"/>
        <v>5.2257932928140884E-3</v>
      </c>
      <c r="R27" s="9">
        <v>4.676442248939045E-3</v>
      </c>
      <c r="S27" s="9"/>
    </row>
    <row r="28" spans="1:24" x14ac:dyDescent="0.25">
      <c r="A28" s="123" t="s">
        <v>30</v>
      </c>
      <c r="B28" s="109">
        <v>32762.626</v>
      </c>
      <c r="C28" s="108">
        <v>0</v>
      </c>
      <c r="D28" s="108">
        <f t="shared" si="3"/>
        <v>32762.626</v>
      </c>
      <c r="E28" s="309">
        <f>1000*B28/(8760*VLOOKUP(A28,MFR_E_10_Attachment_2__FPL102!$A$13:$B$29,2,FALSE))</f>
        <v>0.99909241409944627</v>
      </c>
      <c r="F28" s="313">
        <v>0</v>
      </c>
      <c r="G28" s="313">
        <v>0</v>
      </c>
      <c r="H28" s="313">
        <v>1</v>
      </c>
      <c r="I28" s="314">
        <v>1.0192606088906659</v>
      </c>
      <c r="J28" s="314">
        <v>1.0292106668034724</v>
      </c>
      <c r="K28" s="314">
        <v>1.0570946834402213</v>
      </c>
      <c r="L28" s="312">
        <f t="shared" si="4"/>
        <v>1.0570946834402213</v>
      </c>
      <c r="M28" s="108">
        <f t="shared" si="12"/>
        <v>0</v>
      </c>
      <c r="N28" s="108">
        <f t="shared" si="13"/>
        <v>0</v>
      </c>
      <c r="O28" s="108">
        <f t="shared" si="14"/>
        <v>34633.197760140363</v>
      </c>
      <c r="P28" s="108">
        <f t="shared" si="7"/>
        <v>34633.197760140363</v>
      </c>
      <c r="Q28" s="113">
        <f t="shared" si="2"/>
        <v>3.0517173284920907E-4</v>
      </c>
      <c r="R28" s="9">
        <v>2.8224167496918717E-4</v>
      </c>
      <c r="S28" s="9"/>
    </row>
    <row r="29" spans="1:24" x14ac:dyDescent="0.25">
      <c r="A29" s="5" t="s">
        <v>31</v>
      </c>
      <c r="B29" s="109">
        <v>11856.925999999999</v>
      </c>
      <c r="C29" s="108">
        <v>0</v>
      </c>
      <c r="D29" s="108">
        <f t="shared" si="3"/>
        <v>11856.925999999999</v>
      </c>
      <c r="E29" s="309">
        <f>1000*B29/(8760*VLOOKUP(A29,MFR_E_10_Attachment_2__FPL102!$A$13:$B$29,2,FALSE))</f>
        <v>0.81305192392116021</v>
      </c>
      <c r="F29" s="7">
        <v>0</v>
      </c>
      <c r="G29" s="7">
        <v>1</v>
      </c>
      <c r="H29" s="7">
        <v>0</v>
      </c>
      <c r="I29" s="8">
        <v>1.0192606088906659</v>
      </c>
      <c r="J29" s="8">
        <v>1.0292106668034724</v>
      </c>
      <c r="K29" s="8">
        <v>1.0570946834402213</v>
      </c>
      <c r="L29" s="107">
        <f t="shared" si="4"/>
        <v>1.0292106668034724</v>
      </c>
      <c r="M29" s="108">
        <f t="shared" si="12"/>
        <v>0</v>
      </c>
      <c r="N29" s="108">
        <f t="shared" si="13"/>
        <v>12203.274714699428</v>
      </c>
      <c r="O29" s="108">
        <f t="shared" si="14"/>
        <v>0</v>
      </c>
      <c r="P29" s="108">
        <f t="shared" si="7"/>
        <v>12203.274714699428</v>
      </c>
      <c r="Q29" s="113">
        <f t="shared" si="2"/>
        <v>1.075296170140504E-4</v>
      </c>
      <c r="R29" s="9">
        <v>1.1715257875725622E-4</v>
      </c>
      <c r="S29" s="9"/>
    </row>
    <row r="30" spans="1:24" x14ac:dyDescent="0.25">
      <c r="A30" s="5" t="s">
        <v>32</v>
      </c>
      <c r="B30" s="109">
        <v>89667.754000000001</v>
      </c>
      <c r="C30" s="108">
        <v>0</v>
      </c>
      <c r="D30" s="108">
        <f t="shared" si="3"/>
        <v>89667.754000000001</v>
      </c>
      <c r="E30" s="309">
        <f>1000*B30/(8760*VLOOKUP(A30,MFR_E_10_Attachment_2__FPL102!$A$13:$B$29,2,FALSE))</f>
        <v>1.6973779931299782</v>
      </c>
      <c r="F30" s="7">
        <v>1</v>
      </c>
      <c r="G30" s="7">
        <v>0</v>
      </c>
      <c r="H30" s="7">
        <v>0</v>
      </c>
      <c r="I30" s="8">
        <v>1.0192606088906659</v>
      </c>
      <c r="J30" s="8">
        <v>1.0292106668034724</v>
      </c>
      <c r="K30" s="8">
        <v>1.0570946834402213</v>
      </c>
      <c r="L30" s="107">
        <f t="shared" si="4"/>
        <v>1.0192606088906659</v>
      </c>
      <c r="M30" s="108">
        <f t="shared" si="12"/>
        <v>91394.809539898444</v>
      </c>
      <c r="N30" s="108">
        <f t="shared" si="13"/>
        <v>0</v>
      </c>
      <c r="O30" s="108">
        <f t="shared" si="14"/>
        <v>0</v>
      </c>
      <c r="P30" s="108">
        <f t="shared" si="7"/>
        <v>91394.809539898444</v>
      </c>
      <c r="Q30" s="113">
        <f t="shared" si="2"/>
        <v>8.0532882334112229E-4</v>
      </c>
      <c r="R30" s="9">
        <v>6.9776176166168617E-4</v>
      </c>
      <c r="S30" s="9"/>
    </row>
    <row r="31" spans="1:24" ht="15.75" thickBot="1" x14ac:dyDescent="0.3">
      <c r="B31" s="105"/>
      <c r="C31" s="105"/>
      <c r="D31" s="105"/>
      <c r="M31" s="105"/>
      <c r="N31" s="105"/>
      <c r="O31" s="105"/>
      <c r="P31" s="105"/>
      <c r="Q31" s="105"/>
    </row>
    <row r="32" spans="1:24" ht="15.75" thickBot="1" x14ac:dyDescent="0.3">
      <c r="A32" s="5" t="s">
        <v>15</v>
      </c>
      <c r="B32" s="110">
        <f>SUM(B14:B30)</f>
        <v>107486955.116</v>
      </c>
      <c r="C32" s="110">
        <v>0</v>
      </c>
      <c r="D32" s="110">
        <f>SUM(D14:D30)</f>
        <v>107486955.116</v>
      </c>
      <c r="E32" s="100"/>
      <c r="F32" s="10" t="s">
        <v>2</v>
      </c>
      <c r="G32" s="10" t="s">
        <v>2</v>
      </c>
      <c r="H32" s="10" t="s">
        <v>2</v>
      </c>
      <c r="I32" s="11" t="s">
        <v>2</v>
      </c>
      <c r="J32" s="11" t="s">
        <v>2</v>
      </c>
      <c r="K32" s="11" t="s">
        <v>2</v>
      </c>
      <c r="L32" s="11"/>
      <c r="M32" s="110">
        <f>SUM(M14:M30)</f>
        <v>1805409.3498817747</v>
      </c>
      <c r="N32" s="110">
        <f t="shared" ref="N32:P32" si="15">SUM(N14:N30)</f>
        <v>2558099.6989796818</v>
      </c>
      <c r="O32" s="110">
        <f t="shared" si="15"/>
        <v>109124058.87491234</v>
      </c>
      <c r="P32" s="110">
        <f t="shared" si="15"/>
        <v>113487567.9237738</v>
      </c>
      <c r="Q32" s="114">
        <f>SUM(Q14:Q30)</f>
        <v>1.0000000000000002</v>
      </c>
      <c r="R32" s="12">
        <v>0.95135924405393768</v>
      </c>
      <c r="S32" s="145"/>
    </row>
    <row r="33" spans="1:19" x14ac:dyDescent="0.25">
      <c r="N33" s="99"/>
      <c r="O33" s="99"/>
    </row>
    <row r="34" spans="1:19" x14ac:dyDescent="0.25">
      <c r="A34" s="5" t="s">
        <v>33</v>
      </c>
      <c r="B34" s="6">
        <v>14519.795000000002</v>
      </c>
      <c r="C34" s="6">
        <v>0</v>
      </c>
      <c r="D34" s="6">
        <v>14519.795000000002</v>
      </c>
      <c r="E34" s="6"/>
      <c r="F34" s="7">
        <v>1</v>
      </c>
      <c r="G34" s="7">
        <v>0</v>
      </c>
      <c r="H34" s="7">
        <v>0</v>
      </c>
      <c r="I34" s="8">
        <v>1.0192606088906659</v>
      </c>
      <c r="J34" s="8">
        <v>1.0292106668034724</v>
      </c>
      <c r="K34" s="8">
        <v>1.0570946834402213</v>
      </c>
      <c r="L34" s="8"/>
      <c r="M34" s="6">
        <v>14799.455092667649</v>
      </c>
      <c r="N34" s="6">
        <v>0</v>
      </c>
      <c r="O34" s="6">
        <v>0</v>
      </c>
      <c r="P34" s="6">
        <v>14799.455092667649</v>
      </c>
      <c r="Q34" s="13" t="s">
        <v>2</v>
      </c>
      <c r="R34" s="9">
        <v>1.2006369394234988E-4</v>
      </c>
      <c r="S34" s="9"/>
    </row>
    <row r="35" spans="1:19" x14ac:dyDescent="0.25">
      <c r="A35" s="5" t="s">
        <v>34</v>
      </c>
      <c r="B35" s="6">
        <v>824930.67800000007</v>
      </c>
      <c r="C35" s="6">
        <v>0</v>
      </c>
      <c r="D35" s="6">
        <v>824930.67800000007</v>
      </c>
      <c r="E35" s="6"/>
      <c r="F35" s="7">
        <v>1</v>
      </c>
      <c r="G35" s="7">
        <v>0</v>
      </c>
      <c r="H35" s="7">
        <v>0</v>
      </c>
      <c r="I35" s="8">
        <v>1.0192606088906659</v>
      </c>
      <c r="J35" s="8">
        <v>1.0292106668034724</v>
      </c>
      <c r="K35" s="8">
        <v>1.0570946834402213</v>
      </c>
      <c r="L35" s="8"/>
      <c r="M35" s="6">
        <v>840819.34515086992</v>
      </c>
      <c r="N35" s="6">
        <v>0</v>
      </c>
      <c r="O35" s="6">
        <v>0</v>
      </c>
      <c r="P35" s="6">
        <v>840819.34515086992</v>
      </c>
      <c r="Q35" s="14" t="s">
        <v>2</v>
      </c>
      <c r="R35" s="9">
        <v>6.8213238855677483E-3</v>
      </c>
      <c r="S35" s="9"/>
    </row>
    <row r="36" spans="1:19" x14ac:dyDescent="0.25">
      <c r="A36" s="5" t="s">
        <v>35</v>
      </c>
      <c r="B36" s="6">
        <v>0</v>
      </c>
      <c r="C36" s="6">
        <v>0</v>
      </c>
      <c r="D36" s="6">
        <v>0</v>
      </c>
      <c r="E36" s="6"/>
      <c r="F36" s="7">
        <v>1</v>
      </c>
      <c r="G36" s="7">
        <v>0</v>
      </c>
      <c r="H36" s="7">
        <v>0</v>
      </c>
      <c r="I36" s="8">
        <v>1.0192606088906659</v>
      </c>
      <c r="J36" s="8">
        <v>1.0292106668034724</v>
      </c>
      <c r="K36" s="8">
        <v>1.0570946834402213</v>
      </c>
      <c r="L36" s="8"/>
      <c r="M36" s="6">
        <v>0</v>
      </c>
      <c r="N36" s="6">
        <v>0</v>
      </c>
      <c r="O36" s="6">
        <v>0</v>
      </c>
      <c r="P36" s="6">
        <v>0</v>
      </c>
      <c r="Q36" s="15" t="s">
        <v>2</v>
      </c>
      <c r="R36" s="9">
        <v>0</v>
      </c>
      <c r="S36" s="9"/>
    </row>
    <row r="37" spans="1:19" x14ac:dyDescent="0.25">
      <c r="A37" s="5" t="s">
        <v>36</v>
      </c>
      <c r="B37" s="6">
        <v>3881793.1639999999</v>
      </c>
      <c r="C37" s="6">
        <v>0</v>
      </c>
      <c r="D37" s="6">
        <v>3881793.1639999999</v>
      </c>
      <c r="E37" s="6"/>
      <c r="F37" s="7">
        <v>1</v>
      </c>
      <c r="G37" s="7">
        <v>0</v>
      </c>
      <c r="H37" s="7">
        <v>0</v>
      </c>
      <c r="I37" s="8">
        <v>1.0192606088906659</v>
      </c>
      <c r="J37" s="8">
        <v>1.0292106668034724</v>
      </c>
      <c r="K37" s="8">
        <v>1.0570946834402213</v>
      </c>
      <c r="L37" s="8"/>
      <c r="M37" s="6">
        <v>3956558.8639262645</v>
      </c>
      <c r="N37" s="6">
        <v>0</v>
      </c>
      <c r="O37" s="6">
        <v>0</v>
      </c>
      <c r="P37" s="6">
        <v>3956558.8639262645</v>
      </c>
      <c r="Q37" s="16" t="s">
        <v>2</v>
      </c>
      <c r="R37" s="9">
        <v>3.2098416430121901E-2</v>
      </c>
      <c r="S37" s="9"/>
    </row>
    <row r="38" spans="1:19" x14ac:dyDescent="0.25">
      <c r="A38" s="5" t="s">
        <v>37</v>
      </c>
      <c r="B38" s="6">
        <v>0</v>
      </c>
      <c r="C38" s="6">
        <v>0</v>
      </c>
      <c r="D38" s="6">
        <v>0</v>
      </c>
      <c r="E38" s="6"/>
      <c r="F38" s="7">
        <v>1</v>
      </c>
      <c r="G38" s="7">
        <v>0</v>
      </c>
      <c r="H38" s="7">
        <v>0</v>
      </c>
      <c r="I38" s="8">
        <v>1.0192606088906659</v>
      </c>
      <c r="J38" s="8">
        <v>1.0292106668034724</v>
      </c>
      <c r="K38" s="8">
        <v>1.0570946834402213</v>
      </c>
      <c r="L38" s="8"/>
      <c r="M38" s="6">
        <v>0</v>
      </c>
      <c r="N38" s="6">
        <v>0</v>
      </c>
      <c r="O38" s="6">
        <v>0</v>
      </c>
      <c r="P38" s="6">
        <v>0</v>
      </c>
      <c r="Q38" s="17" t="s">
        <v>2</v>
      </c>
      <c r="R38" s="9">
        <v>0</v>
      </c>
      <c r="S38" s="9"/>
    </row>
    <row r="39" spans="1:19" x14ac:dyDescent="0.25">
      <c r="A39" s="5" t="s">
        <v>38</v>
      </c>
      <c r="B39" s="6">
        <v>302640</v>
      </c>
      <c r="C39" s="6">
        <v>0</v>
      </c>
      <c r="D39" s="6">
        <v>302640</v>
      </c>
      <c r="E39" s="6"/>
      <c r="F39" s="7">
        <v>1</v>
      </c>
      <c r="G39" s="7">
        <v>0</v>
      </c>
      <c r="H39" s="7">
        <v>0</v>
      </c>
      <c r="I39" s="8">
        <v>1.0192606088906659</v>
      </c>
      <c r="J39" s="8">
        <v>1.0292106668034724</v>
      </c>
      <c r="K39" s="8">
        <v>1.0570946834402213</v>
      </c>
      <c r="L39" s="8"/>
      <c r="M39" s="6">
        <v>308469.03067467111</v>
      </c>
      <c r="N39" s="6">
        <v>0</v>
      </c>
      <c r="O39" s="6">
        <v>0</v>
      </c>
      <c r="P39" s="6">
        <v>308469.03067467111</v>
      </c>
      <c r="Q39" s="18" t="s">
        <v>2</v>
      </c>
      <c r="R39" s="9">
        <v>2.5025199277753409E-3</v>
      </c>
      <c r="S39" s="9"/>
    </row>
    <row r="40" spans="1:19" x14ac:dyDescent="0.25">
      <c r="A40" s="5" t="s">
        <v>39</v>
      </c>
      <c r="B40" s="6">
        <v>835200</v>
      </c>
      <c r="C40" s="6">
        <v>0</v>
      </c>
      <c r="D40" s="6">
        <v>835200</v>
      </c>
      <c r="E40" s="6"/>
      <c r="F40" s="7">
        <v>1</v>
      </c>
      <c r="G40" s="7">
        <v>0</v>
      </c>
      <c r="H40" s="7">
        <v>0</v>
      </c>
      <c r="I40" s="8">
        <v>1.0192606088906659</v>
      </c>
      <c r="J40" s="8">
        <v>1.0292106668034724</v>
      </c>
      <c r="K40" s="8">
        <v>1.0570946834402213</v>
      </c>
      <c r="L40" s="8"/>
      <c r="M40" s="6">
        <v>851286.46054548421</v>
      </c>
      <c r="N40" s="6">
        <v>0</v>
      </c>
      <c r="O40" s="6">
        <v>0</v>
      </c>
      <c r="P40" s="6">
        <v>851286.46054548421</v>
      </c>
      <c r="Q40" s="19" t="s">
        <v>2</v>
      </c>
      <c r="R40" s="9">
        <v>6.9062405619811163E-3</v>
      </c>
      <c r="S40" s="9"/>
    </row>
    <row r="41" spans="1:19" x14ac:dyDescent="0.25">
      <c r="A41" s="5" t="s">
        <v>40</v>
      </c>
      <c r="B41" s="6">
        <v>4610.84</v>
      </c>
      <c r="C41" s="6">
        <v>0</v>
      </c>
      <c r="D41" s="6">
        <v>4610.84</v>
      </c>
      <c r="E41" s="6"/>
      <c r="F41" s="7">
        <v>1</v>
      </c>
      <c r="G41" s="7">
        <v>0</v>
      </c>
      <c r="H41" s="7">
        <v>0</v>
      </c>
      <c r="I41" s="8">
        <v>1.0192606088906659</v>
      </c>
      <c r="J41" s="8">
        <v>1.0292106668034724</v>
      </c>
      <c r="K41" s="8">
        <v>1.0570946834402213</v>
      </c>
      <c r="L41" s="8"/>
      <c r="M41" s="6">
        <v>4699.6475858974381</v>
      </c>
      <c r="N41" s="6">
        <v>0</v>
      </c>
      <c r="O41" s="6">
        <v>0</v>
      </c>
      <c r="P41" s="6">
        <v>4699.6475858974381</v>
      </c>
      <c r="Q41" s="20" t="s">
        <v>2</v>
      </c>
      <c r="R41" s="9">
        <v>3.8126880068013657E-5</v>
      </c>
      <c r="S41" s="9"/>
    </row>
    <row r="42" spans="1:19" x14ac:dyDescent="0.25">
      <c r="A42" s="5" t="s">
        <v>41</v>
      </c>
      <c r="B42" s="6">
        <v>18631.66</v>
      </c>
      <c r="C42" s="6">
        <v>0</v>
      </c>
      <c r="D42" s="6">
        <v>18631.66</v>
      </c>
      <c r="E42" s="6"/>
      <c r="F42" s="7">
        <v>1</v>
      </c>
      <c r="G42" s="7">
        <v>0</v>
      </c>
      <c r="H42" s="7">
        <v>0</v>
      </c>
      <c r="I42" s="8">
        <v>1.0192606088906659</v>
      </c>
      <c r="J42" s="8">
        <v>1.0292106668034724</v>
      </c>
      <c r="K42" s="8">
        <v>1.0570946834402213</v>
      </c>
      <c r="L42" s="8"/>
      <c r="M42" s="6">
        <v>18990.517116243864</v>
      </c>
      <c r="N42" s="6">
        <v>0</v>
      </c>
      <c r="O42" s="6">
        <v>0</v>
      </c>
      <c r="P42" s="6">
        <v>18990.517116243864</v>
      </c>
      <c r="Q42" s="21" t="s">
        <v>2</v>
      </c>
      <c r="R42" s="9">
        <v>1.5406456660565262E-4</v>
      </c>
      <c r="S42" s="9"/>
    </row>
    <row r="44" spans="1:19" ht="15.75" thickBot="1" x14ac:dyDescent="0.3">
      <c r="A44" s="5" t="s">
        <v>42</v>
      </c>
      <c r="B44" s="22">
        <v>5882326.1370000001</v>
      </c>
      <c r="C44" s="22">
        <v>0</v>
      </c>
      <c r="D44" s="22">
        <v>5882326.1370000001</v>
      </c>
      <c r="E44" s="101"/>
      <c r="F44" s="23" t="s">
        <v>2</v>
      </c>
      <c r="G44" s="23" t="s">
        <v>2</v>
      </c>
      <c r="H44" s="23" t="s">
        <v>2</v>
      </c>
      <c r="I44" s="24" t="s">
        <v>2</v>
      </c>
      <c r="J44" s="24" t="s">
        <v>2</v>
      </c>
      <c r="K44" s="24" t="s">
        <v>2</v>
      </c>
      <c r="L44" s="24"/>
      <c r="M44" s="22">
        <v>5995623.3200920988</v>
      </c>
      <c r="N44" s="22">
        <v>0</v>
      </c>
      <c r="O44" s="22">
        <v>0</v>
      </c>
      <c r="P44" s="22">
        <v>5995623.3200920988</v>
      </c>
      <c r="Q44" s="25" t="s">
        <v>2</v>
      </c>
      <c r="R44" s="26">
        <v>4.8640755946062125E-2</v>
      </c>
      <c r="S44" s="146"/>
    </row>
    <row r="46" spans="1:19" ht="15.75" thickBot="1" x14ac:dyDescent="0.3">
      <c r="A46" s="5" t="s">
        <v>43</v>
      </c>
      <c r="B46" s="27">
        <v>116938925.28100002</v>
      </c>
      <c r="C46" s="27">
        <v>0</v>
      </c>
      <c r="D46" s="27">
        <v>116938925.28100002</v>
      </c>
      <c r="E46" s="102"/>
      <c r="F46" s="28" t="s">
        <v>2</v>
      </c>
      <c r="G46" s="28" t="s">
        <v>2</v>
      </c>
      <c r="H46" s="28" t="s">
        <v>2</v>
      </c>
      <c r="I46" s="29" t="s">
        <v>2</v>
      </c>
      <c r="J46" s="29" t="s">
        <v>2</v>
      </c>
      <c r="K46" s="29" t="s">
        <v>2</v>
      </c>
      <c r="L46" s="29"/>
      <c r="M46" s="27">
        <v>7619700.4712535171</v>
      </c>
      <c r="N46" s="27">
        <v>2558376.7038896382</v>
      </c>
      <c r="O46" s="27">
        <v>113085289.18249862</v>
      </c>
      <c r="P46" s="27">
        <v>123263366.35764179</v>
      </c>
      <c r="Q46" s="30" t="s">
        <v>2</v>
      </c>
      <c r="R46" s="31">
        <v>0.99999999999999978</v>
      </c>
      <c r="S46" s="147"/>
    </row>
    <row r="49" spans="1:19" ht="27" thickBot="1" x14ac:dyDescent="0.3">
      <c r="A49" s="32" t="s">
        <v>44</v>
      </c>
      <c r="B49" s="33" t="s">
        <v>2</v>
      </c>
      <c r="C49" s="33" t="s">
        <v>2</v>
      </c>
      <c r="D49" s="33" t="s">
        <v>2</v>
      </c>
      <c r="E49" s="33"/>
      <c r="F49" s="34" t="s">
        <v>2</v>
      </c>
      <c r="G49" s="34" t="s">
        <v>2</v>
      </c>
      <c r="H49" s="34" t="s">
        <v>2</v>
      </c>
      <c r="I49" s="35" t="s">
        <v>2</v>
      </c>
      <c r="J49" s="35" t="s">
        <v>2</v>
      </c>
      <c r="K49" s="35" t="s">
        <v>2</v>
      </c>
      <c r="L49" s="35"/>
      <c r="M49" s="33" t="s">
        <v>2</v>
      </c>
      <c r="N49" s="33" t="s">
        <v>2</v>
      </c>
      <c r="O49" s="33" t="s">
        <v>2</v>
      </c>
      <c r="P49" s="36">
        <v>0.9513592440539379</v>
      </c>
      <c r="Q49" s="37" t="s">
        <v>2</v>
      </c>
      <c r="R49" s="38" t="s">
        <v>2</v>
      </c>
      <c r="S49" s="38"/>
    </row>
    <row r="51" spans="1:19" x14ac:dyDescent="0.25">
      <c r="A51" s="39" t="s">
        <v>2</v>
      </c>
    </row>
    <row r="52" spans="1:19" x14ac:dyDescent="0.25">
      <c r="A52" s="39" t="s">
        <v>45</v>
      </c>
    </row>
  </sheetData>
  <mergeCells count="7">
    <mergeCell ref="T12:X12"/>
    <mergeCell ref="Q12:R12"/>
    <mergeCell ref="A12:A13"/>
    <mergeCell ref="B12:D12"/>
    <mergeCell ref="F12:H12"/>
    <mergeCell ref="I12:K12"/>
    <mergeCell ref="M12:P12"/>
  </mergeCells>
  <pageMargins left="0.5" right="0.5" top="0.75" bottom="0.5" header="0.75" footer="0.5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T52"/>
  <sheetViews>
    <sheetView zoomScaleNormal="100" zoomScaleSheetLayoutView="75" workbookViewId="0">
      <selection activeCell="A2" sqref="A2"/>
    </sheetView>
  </sheetViews>
  <sheetFormatPr defaultColWidth="9.140625" defaultRowHeight="12.75" x14ac:dyDescent="0.2"/>
  <cols>
    <col min="1" max="1" width="14" style="175" customWidth="1"/>
    <col min="2" max="2" width="9.140625" style="175" customWidth="1"/>
    <col min="3" max="3" width="9.7109375" style="175" customWidth="1"/>
    <col min="4" max="15" width="10.7109375" style="175" customWidth="1"/>
    <col min="16" max="16" width="10.7109375" style="175" bestFit="1" customWidth="1"/>
    <col min="17" max="17" width="11.28515625" style="175" bestFit="1" customWidth="1"/>
    <col min="18" max="16384" width="9.140625" style="175"/>
  </cols>
  <sheetData>
    <row r="1" spans="1:20" ht="15" x14ac:dyDescent="0.25">
      <c r="A1" s="324" t="s">
        <v>214</v>
      </c>
    </row>
    <row r="2" spans="1:20" ht="15" x14ac:dyDescent="0.25">
      <c r="A2" s="324" t="s">
        <v>206</v>
      </c>
    </row>
    <row r="3" spans="1:20" s="154" customFormat="1" ht="20.25" x14ac:dyDescent="0.3">
      <c r="A3" s="226" t="s">
        <v>121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3"/>
    </row>
    <row r="4" spans="1:20" s="154" customFormat="1" ht="12" thickBot="1" x14ac:dyDescent="0.25"/>
    <row r="5" spans="1:20" s="154" customFormat="1" ht="12" thickBot="1" x14ac:dyDescent="0.25">
      <c r="D5" s="227">
        <v>41275</v>
      </c>
      <c r="E5" s="227">
        <v>41306</v>
      </c>
      <c r="F5" s="227">
        <v>41334</v>
      </c>
      <c r="G5" s="227">
        <v>41365</v>
      </c>
      <c r="H5" s="227">
        <v>41395</v>
      </c>
      <c r="I5" s="227">
        <v>41426</v>
      </c>
      <c r="J5" s="227">
        <v>41456</v>
      </c>
      <c r="K5" s="227">
        <v>41487</v>
      </c>
      <c r="L5" s="227">
        <v>41518</v>
      </c>
      <c r="M5" s="227">
        <v>41548</v>
      </c>
      <c r="N5" s="227">
        <v>41579</v>
      </c>
      <c r="O5" s="227">
        <v>41609</v>
      </c>
      <c r="P5" s="228" t="s">
        <v>115</v>
      </c>
      <c r="Q5" s="229" t="s">
        <v>116</v>
      </c>
    </row>
    <row r="6" spans="1:20" s="154" customFormat="1" ht="11.25" x14ac:dyDescent="0.2"/>
    <row r="7" spans="1:20" x14ac:dyDescent="0.2">
      <c r="A7" s="154" t="s">
        <v>28</v>
      </c>
      <c r="B7" s="230"/>
      <c r="C7" s="154"/>
      <c r="D7" s="231">
        <v>8291154</v>
      </c>
      <c r="E7" s="231">
        <v>9241469</v>
      </c>
      <c r="F7" s="231">
        <v>8720911</v>
      </c>
      <c r="G7" s="231">
        <v>9049227</v>
      </c>
      <c r="H7" s="231">
        <v>10398686</v>
      </c>
      <c r="I7" s="231">
        <v>10930175</v>
      </c>
      <c r="J7" s="231">
        <v>11297498</v>
      </c>
      <c r="K7" s="231">
        <v>12065227</v>
      </c>
      <c r="L7" s="231">
        <v>12887259</v>
      </c>
      <c r="M7" s="231">
        <v>10915857</v>
      </c>
      <c r="N7" s="231">
        <v>9718972</v>
      </c>
      <c r="O7" s="231">
        <v>8585304</v>
      </c>
      <c r="P7" s="232">
        <v>12887259</v>
      </c>
      <c r="Q7" s="232">
        <v>10175144.916666666</v>
      </c>
    </row>
    <row r="8" spans="1:20" x14ac:dyDescent="0.2">
      <c r="A8" s="154" t="s">
        <v>20</v>
      </c>
      <c r="B8" s="230"/>
      <c r="C8" s="154"/>
      <c r="D8" s="231">
        <v>3718687</v>
      </c>
      <c r="E8" s="231">
        <v>4029480</v>
      </c>
      <c r="F8" s="231">
        <v>3443746</v>
      </c>
      <c r="G8" s="231">
        <v>3834841</v>
      </c>
      <c r="H8" s="231">
        <v>4056388</v>
      </c>
      <c r="I8" s="231">
        <v>4252129</v>
      </c>
      <c r="J8" s="231">
        <v>4222956</v>
      </c>
      <c r="K8" s="231">
        <v>4408520</v>
      </c>
      <c r="L8" s="231">
        <v>4754302</v>
      </c>
      <c r="M8" s="231">
        <v>4139363</v>
      </c>
      <c r="N8" s="231">
        <v>4138085</v>
      </c>
      <c r="O8" s="231">
        <v>3954194</v>
      </c>
      <c r="P8" s="232">
        <v>4754302</v>
      </c>
      <c r="Q8" s="232">
        <v>4079390.9166666665</v>
      </c>
    </row>
    <row r="9" spans="1:20" x14ac:dyDescent="0.2">
      <c r="A9" s="154" t="s">
        <v>21</v>
      </c>
      <c r="B9" s="230"/>
      <c r="C9" s="154"/>
      <c r="D9" s="231">
        <v>1717389</v>
      </c>
      <c r="E9" s="231">
        <v>1854537</v>
      </c>
      <c r="F9" s="231">
        <v>1620765</v>
      </c>
      <c r="G9" s="231">
        <v>1681831</v>
      </c>
      <c r="H9" s="231">
        <v>1788105</v>
      </c>
      <c r="I9" s="231">
        <v>1786484</v>
      </c>
      <c r="J9" s="231">
        <v>1741315</v>
      </c>
      <c r="K9" s="231">
        <v>1872146</v>
      </c>
      <c r="L9" s="231">
        <v>2065260</v>
      </c>
      <c r="M9" s="231">
        <v>1793082</v>
      </c>
      <c r="N9" s="231">
        <v>1841255</v>
      </c>
      <c r="O9" s="231">
        <v>1841312</v>
      </c>
      <c r="P9" s="232">
        <v>2065260</v>
      </c>
      <c r="Q9" s="232">
        <v>1800290.0833333333</v>
      </c>
    </row>
    <row r="10" spans="1:20" x14ac:dyDescent="0.2">
      <c r="A10" s="154" t="s">
        <v>24</v>
      </c>
      <c r="B10" s="230"/>
      <c r="C10" s="154"/>
      <c r="D10" s="231">
        <v>979569</v>
      </c>
      <c r="E10" s="231">
        <v>1054849</v>
      </c>
      <c r="F10" s="231">
        <v>886639</v>
      </c>
      <c r="G10" s="231">
        <v>1081166</v>
      </c>
      <c r="H10" s="231">
        <v>1135987</v>
      </c>
      <c r="I10" s="231">
        <v>1188137</v>
      </c>
      <c r="J10" s="231">
        <v>1215462</v>
      </c>
      <c r="K10" s="231">
        <v>1234954</v>
      </c>
      <c r="L10" s="231">
        <v>1363722</v>
      </c>
      <c r="M10" s="231">
        <v>1173059</v>
      </c>
      <c r="N10" s="231">
        <v>1141850</v>
      </c>
      <c r="O10" s="231">
        <v>1106222</v>
      </c>
      <c r="P10" s="232">
        <v>1363722</v>
      </c>
      <c r="Q10" s="232">
        <v>1130134.6666666667</v>
      </c>
    </row>
    <row r="11" spans="1:20" x14ac:dyDescent="0.2">
      <c r="A11" s="154" t="s">
        <v>17</v>
      </c>
      <c r="B11" s="230"/>
      <c r="C11" s="154"/>
      <c r="D11" s="231">
        <v>374886</v>
      </c>
      <c r="E11" s="231">
        <v>398989</v>
      </c>
      <c r="F11" s="231">
        <v>342129</v>
      </c>
      <c r="G11" s="231">
        <v>373383</v>
      </c>
      <c r="H11" s="231">
        <v>379168</v>
      </c>
      <c r="I11" s="231">
        <v>386503</v>
      </c>
      <c r="J11" s="231">
        <v>381032</v>
      </c>
      <c r="K11" s="231">
        <v>392308</v>
      </c>
      <c r="L11" s="231">
        <v>416826</v>
      </c>
      <c r="M11" s="231">
        <v>368642</v>
      </c>
      <c r="N11" s="231">
        <v>373453</v>
      </c>
      <c r="O11" s="231">
        <v>374946</v>
      </c>
      <c r="P11" s="232">
        <v>416826</v>
      </c>
      <c r="Q11" s="232">
        <v>380188.75</v>
      </c>
    </row>
    <row r="12" spans="1:20" x14ac:dyDescent="0.2">
      <c r="A12" s="154" t="s">
        <v>22</v>
      </c>
      <c r="B12" s="230"/>
      <c r="C12" s="154"/>
      <c r="D12" s="231">
        <v>335977</v>
      </c>
      <c r="E12" s="231">
        <v>357286</v>
      </c>
      <c r="F12" s="231">
        <v>307137</v>
      </c>
      <c r="G12" s="231">
        <v>331800</v>
      </c>
      <c r="H12" s="231">
        <v>336676</v>
      </c>
      <c r="I12" s="231">
        <v>358396</v>
      </c>
      <c r="J12" s="231">
        <v>350386</v>
      </c>
      <c r="K12" s="231">
        <v>364018</v>
      </c>
      <c r="L12" s="231">
        <v>377895</v>
      </c>
      <c r="M12" s="231">
        <v>334595</v>
      </c>
      <c r="N12" s="231">
        <v>345990</v>
      </c>
      <c r="O12" s="231">
        <v>344823</v>
      </c>
      <c r="P12" s="232">
        <v>377895</v>
      </c>
      <c r="Q12" s="232">
        <v>345414.91666666669</v>
      </c>
    </row>
    <row r="13" spans="1:20" x14ac:dyDescent="0.2">
      <c r="A13" s="154" t="s">
        <v>19</v>
      </c>
      <c r="B13" s="230"/>
      <c r="C13" s="154"/>
      <c r="D13" s="231">
        <v>172733</v>
      </c>
      <c r="E13" s="231">
        <v>171789</v>
      </c>
      <c r="F13" s="231">
        <v>166606</v>
      </c>
      <c r="G13" s="231">
        <v>166730</v>
      </c>
      <c r="H13" s="231">
        <v>175094</v>
      </c>
      <c r="I13" s="231">
        <v>181842</v>
      </c>
      <c r="J13" s="231">
        <v>180847</v>
      </c>
      <c r="K13" s="231">
        <v>190332</v>
      </c>
      <c r="L13" s="231">
        <v>184543</v>
      </c>
      <c r="M13" s="231">
        <v>167631</v>
      </c>
      <c r="N13" s="231">
        <v>177380</v>
      </c>
      <c r="O13" s="231">
        <v>168654</v>
      </c>
      <c r="P13" s="232">
        <v>190332</v>
      </c>
      <c r="Q13" s="232">
        <v>175348.41666666666</v>
      </c>
    </row>
    <row r="14" spans="1:20" x14ac:dyDescent="0.2">
      <c r="A14" s="154" t="s">
        <v>29</v>
      </c>
      <c r="B14" s="230"/>
      <c r="C14" s="154"/>
      <c r="D14" s="231">
        <v>101427</v>
      </c>
      <c r="E14" s="231">
        <v>122596</v>
      </c>
      <c r="F14" s="231">
        <v>113568</v>
      </c>
      <c r="G14" s="231">
        <v>124832</v>
      </c>
      <c r="H14" s="231">
        <v>131319</v>
      </c>
      <c r="I14" s="231">
        <v>137234</v>
      </c>
      <c r="J14" s="231">
        <v>112257</v>
      </c>
      <c r="K14" s="231">
        <v>143265</v>
      </c>
      <c r="L14" s="231">
        <v>124161</v>
      </c>
      <c r="M14" s="231">
        <v>109060</v>
      </c>
      <c r="N14" s="231">
        <v>109373</v>
      </c>
      <c r="O14" s="231">
        <v>102154</v>
      </c>
      <c r="P14" s="232">
        <v>143265</v>
      </c>
      <c r="Q14" s="232">
        <v>119270.5</v>
      </c>
    </row>
    <row r="15" spans="1:20" x14ac:dyDescent="0.2">
      <c r="A15" s="154" t="s">
        <v>88</v>
      </c>
      <c r="B15" s="230"/>
      <c r="C15" s="154"/>
      <c r="D15" s="231">
        <v>21812</v>
      </c>
      <c r="E15" s="231">
        <v>27775</v>
      </c>
      <c r="F15" s="231">
        <v>40711</v>
      </c>
      <c r="G15" s="231">
        <v>48668</v>
      </c>
      <c r="H15" s="231">
        <v>37593</v>
      </c>
      <c r="I15" s="231">
        <v>27751</v>
      </c>
      <c r="J15" s="231">
        <v>22338</v>
      </c>
      <c r="K15" s="231">
        <v>28376</v>
      </c>
      <c r="L15" s="231">
        <v>49044</v>
      </c>
      <c r="M15" s="231">
        <v>42570</v>
      </c>
      <c r="N15" s="231">
        <v>34740</v>
      </c>
      <c r="O15" s="231">
        <v>30298</v>
      </c>
      <c r="P15" s="232">
        <v>49044</v>
      </c>
      <c r="Q15" s="232">
        <v>34306.333333333336</v>
      </c>
    </row>
    <row r="16" spans="1:20" x14ac:dyDescent="0.2">
      <c r="A16" s="154" t="s">
        <v>23</v>
      </c>
      <c r="B16" s="230"/>
      <c r="C16" s="154"/>
      <c r="D16" s="231">
        <v>31544</v>
      </c>
      <c r="E16" s="231">
        <v>29139</v>
      </c>
      <c r="F16" s="231">
        <v>29955</v>
      </c>
      <c r="G16" s="231">
        <v>31101</v>
      </c>
      <c r="H16" s="231">
        <v>26108</v>
      </c>
      <c r="I16" s="231">
        <v>28619</v>
      </c>
      <c r="J16" s="231">
        <v>23434</v>
      </c>
      <c r="K16" s="231">
        <v>26355</v>
      </c>
      <c r="L16" s="231">
        <v>23617</v>
      </c>
      <c r="M16" s="231">
        <v>22934</v>
      </c>
      <c r="N16" s="231">
        <v>21354</v>
      </c>
      <c r="O16" s="231">
        <v>25855</v>
      </c>
      <c r="P16" s="232">
        <v>31544</v>
      </c>
      <c r="Q16" s="232">
        <v>26667.916666666668</v>
      </c>
      <c r="T16" s="140"/>
    </row>
    <row r="17" spans="1:17" x14ac:dyDescent="0.2">
      <c r="A17" s="154" t="s">
        <v>18</v>
      </c>
      <c r="B17" s="230"/>
      <c r="C17" s="154"/>
      <c r="D17" s="231">
        <v>24910</v>
      </c>
      <c r="E17" s="231">
        <v>26264</v>
      </c>
      <c r="F17" s="231">
        <v>22751</v>
      </c>
      <c r="G17" s="231">
        <v>25352</v>
      </c>
      <c r="H17" s="231">
        <v>25091</v>
      </c>
      <c r="I17" s="231">
        <v>26367</v>
      </c>
      <c r="J17" s="231">
        <v>25681</v>
      </c>
      <c r="K17" s="231">
        <v>26051</v>
      </c>
      <c r="L17" s="231">
        <v>28011</v>
      </c>
      <c r="M17" s="231">
        <v>25175</v>
      </c>
      <c r="N17" s="231">
        <v>25271</v>
      </c>
      <c r="O17" s="231">
        <v>25532</v>
      </c>
      <c r="P17" s="232">
        <v>28011</v>
      </c>
      <c r="Q17" s="232">
        <v>25538</v>
      </c>
    </row>
    <row r="18" spans="1:17" x14ac:dyDescent="0.2">
      <c r="A18" s="154" t="s">
        <v>26</v>
      </c>
      <c r="B18" s="230"/>
      <c r="C18" s="154"/>
      <c r="D18" s="231">
        <v>20401</v>
      </c>
      <c r="E18" s="231">
        <v>23508</v>
      </c>
      <c r="F18" s="231">
        <v>22720</v>
      </c>
      <c r="G18" s="231">
        <v>24943</v>
      </c>
      <c r="H18" s="231">
        <v>25372</v>
      </c>
      <c r="I18" s="231">
        <v>27183</v>
      </c>
      <c r="J18" s="231">
        <v>25980</v>
      </c>
      <c r="K18" s="231">
        <v>24928</v>
      </c>
      <c r="L18" s="231">
        <v>23906</v>
      </c>
      <c r="M18" s="231">
        <v>21779</v>
      </c>
      <c r="N18" s="231">
        <v>21313</v>
      </c>
      <c r="O18" s="231">
        <v>20130</v>
      </c>
      <c r="P18" s="232">
        <v>27183</v>
      </c>
      <c r="Q18" s="232">
        <v>23513.583333333332</v>
      </c>
    </row>
    <row r="19" spans="1:17" x14ac:dyDescent="0.2">
      <c r="A19" s="154" t="s">
        <v>62</v>
      </c>
      <c r="B19" s="230"/>
      <c r="C19" s="154"/>
      <c r="D19" s="231">
        <v>14286</v>
      </c>
      <c r="E19" s="231">
        <v>14969</v>
      </c>
      <c r="F19" s="231">
        <v>14705</v>
      </c>
      <c r="G19" s="231">
        <v>15329</v>
      </c>
      <c r="H19" s="231">
        <v>15435</v>
      </c>
      <c r="I19" s="231">
        <v>16812</v>
      </c>
      <c r="J19" s="231">
        <v>16534</v>
      </c>
      <c r="K19" s="231">
        <v>16130</v>
      </c>
      <c r="L19" s="231">
        <v>16209</v>
      </c>
      <c r="M19" s="231">
        <v>15763</v>
      </c>
      <c r="N19" s="231">
        <v>15498</v>
      </c>
      <c r="O19" s="231">
        <v>15727</v>
      </c>
      <c r="P19" s="232">
        <v>16812</v>
      </c>
      <c r="Q19" s="232">
        <v>15616.416666666666</v>
      </c>
    </row>
    <row r="20" spans="1:17" x14ac:dyDescent="0.2">
      <c r="A20" s="154" t="s">
        <v>27</v>
      </c>
      <c r="B20" s="230"/>
      <c r="C20" s="154"/>
      <c r="D20" s="231">
        <v>8085</v>
      </c>
      <c r="E20" s="231">
        <v>11996</v>
      </c>
      <c r="F20" s="231">
        <v>12719</v>
      </c>
      <c r="G20" s="231">
        <v>9543</v>
      </c>
      <c r="H20" s="231">
        <v>8577</v>
      </c>
      <c r="I20" s="231">
        <v>6160</v>
      </c>
      <c r="J20" s="231">
        <v>5574</v>
      </c>
      <c r="K20" s="231">
        <v>6435</v>
      </c>
      <c r="L20" s="231">
        <v>9318</v>
      </c>
      <c r="M20" s="231">
        <v>9720</v>
      </c>
      <c r="N20" s="231">
        <v>12201</v>
      </c>
      <c r="O20" s="231">
        <v>10220</v>
      </c>
      <c r="P20" s="232">
        <v>12719</v>
      </c>
      <c r="Q20" s="232">
        <v>9212.3333333333339</v>
      </c>
    </row>
    <row r="21" spans="1:17" x14ac:dyDescent="0.2">
      <c r="A21" s="154" t="s">
        <v>63</v>
      </c>
      <c r="B21" s="230"/>
      <c r="C21" s="154"/>
      <c r="D21" s="231">
        <v>2993</v>
      </c>
      <c r="E21" s="231">
        <v>3078</v>
      </c>
      <c r="F21" s="231">
        <v>2685</v>
      </c>
      <c r="G21" s="231">
        <v>2865</v>
      </c>
      <c r="H21" s="231">
        <v>2759</v>
      </c>
      <c r="I21" s="231">
        <v>5888</v>
      </c>
      <c r="J21" s="231">
        <v>6576</v>
      </c>
      <c r="K21" s="231">
        <v>6672</v>
      </c>
      <c r="L21" s="231">
        <v>6841</v>
      </c>
      <c r="M21" s="231">
        <v>1215</v>
      </c>
      <c r="N21" s="231">
        <v>1204</v>
      </c>
      <c r="O21" s="231">
        <v>1222</v>
      </c>
      <c r="P21" s="232">
        <v>6841</v>
      </c>
      <c r="Q21" s="232">
        <v>3666.5</v>
      </c>
    </row>
    <row r="22" spans="1:17" x14ac:dyDescent="0.2">
      <c r="A22" s="154" t="s">
        <v>94</v>
      </c>
      <c r="B22" s="230"/>
      <c r="C22" s="154"/>
      <c r="D22" s="231">
        <v>937</v>
      </c>
      <c r="E22" s="231">
        <v>1088</v>
      </c>
      <c r="F22" s="231">
        <v>3356</v>
      </c>
      <c r="G22" s="231">
        <v>3908</v>
      </c>
      <c r="H22" s="231">
        <v>3652</v>
      </c>
      <c r="I22" s="231">
        <v>3334</v>
      </c>
      <c r="J22" s="231">
        <v>4452</v>
      </c>
      <c r="K22" s="231">
        <v>4367</v>
      </c>
      <c r="L22" s="231">
        <v>4112</v>
      </c>
      <c r="M22" s="231">
        <v>5073</v>
      </c>
      <c r="N22" s="231">
        <v>3720</v>
      </c>
      <c r="O22" s="231">
        <v>4038</v>
      </c>
      <c r="P22" s="232">
        <v>5073</v>
      </c>
      <c r="Q22" s="232">
        <v>3503.0833333333335</v>
      </c>
    </row>
    <row r="23" spans="1:17" x14ac:dyDescent="0.2">
      <c r="A23" s="154" t="s">
        <v>30</v>
      </c>
      <c r="B23" s="230"/>
      <c r="C23" s="154"/>
      <c r="D23" s="231">
        <v>3527</v>
      </c>
      <c r="E23" s="231">
        <v>3908</v>
      </c>
      <c r="F23" s="231">
        <v>3544</v>
      </c>
      <c r="G23" s="231">
        <v>3655</v>
      </c>
      <c r="H23" s="231">
        <v>3542</v>
      </c>
      <c r="I23" s="231">
        <v>3199</v>
      </c>
      <c r="J23" s="231">
        <v>3506</v>
      </c>
      <c r="K23" s="231">
        <v>3512</v>
      </c>
      <c r="L23" s="231">
        <v>3473</v>
      </c>
      <c r="M23" s="231">
        <v>3507</v>
      </c>
      <c r="N23" s="231">
        <v>3625</v>
      </c>
      <c r="O23" s="231">
        <v>3517</v>
      </c>
      <c r="P23" s="232">
        <v>3908</v>
      </c>
      <c r="Q23" s="232">
        <v>3542.9166666666665</v>
      </c>
    </row>
    <row r="24" spans="1:17" x14ac:dyDescent="0.2">
      <c r="A24" s="154" t="s">
        <v>118</v>
      </c>
      <c r="B24" s="154"/>
      <c r="C24" s="234"/>
      <c r="D24" s="235">
        <f t="shared" ref="D24:O24" si="0">SUM(D22,D21,D23,D20,D19,D18,D17,D16,D15,D14,D12,D13,D11,D9,D10,D8,D7)</f>
        <v>15820317</v>
      </c>
      <c r="E24" s="235">
        <f t="shared" si="0"/>
        <v>17372720</v>
      </c>
      <c r="F24" s="235">
        <f t="shared" si="0"/>
        <v>15754647</v>
      </c>
      <c r="G24" s="235">
        <f t="shared" si="0"/>
        <v>16809174</v>
      </c>
      <c r="H24" s="235">
        <f t="shared" si="0"/>
        <v>18549552</v>
      </c>
      <c r="I24" s="235">
        <f t="shared" si="0"/>
        <v>19366213</v>
      </c>
      <c r="J24" s="235">
        <f t="shared" si="0"/>
        <v>19635828</v>
      </c>
      <c r="K24" s="235">
        <f t="shared" si="0"/>
        <v>20813596</v>
      </c>
      <c r="L24" s="235">
        <f t="shared" si="0"/>
        <v>22338499</v>
      </c>
      <c r="M24" s="235">
        <f t="shared" si="0"/>
        <v>19149025</v>
      </c>
      <c r="N24" s="235">
        <f t="shared" si="0"/>
        <v>17985284</v>
      </c>
      <c r="O24" s="235">
        <f t="shared" si="0"/>
        <v>16614148</v>
      </c>
      <c r="P24" s="236">
        <f>SUM(P7:P23)</f>
        <v>22379996</v>
      </c>
      <c r="Q24" s="236">
        <f>SUM(Q7:Q23)</f>
        <v>18350750.25</v>
      </c>
    </row>
    <row r="25" spans="1:17" x14ac:dyDescent="0.2">
      <c r="A25" s="154"/>
      <c r="B25" s="230" t="s">
        <v>97</v>
      </c>
      <c r="C25" s="154" t="s">
        <v>117</v>
      </c>
      <c r="D25" s="231">
        <v>172867</v>
      </c>
      <c r="E25" s="231">
        <v>194639</v>
      </c>
      <c r="F25" s="231">
        <v>196069</v>
      </c>
      <c r="G25" s="231">
        <v>223880</v>
      </c>
      <c r="H25" s="231">
        <v>224198</v>
      </c>
      <c r="I25" s="231">
        <v>231785</v>
      </c>
      <c r="J25" s="231">
        <v>226251</v>
      </c>
      <c r="K25" s="231">
        <v>236361</v>
      </c>
      <c r="L25" s="231">
        <v>227263</v>
      </c>
      <c r="M25" s="231">
        <v>220995</v>
      </c>
      <c r="N25" s="231">
        <v>200240</v>
      </c>
      <c r="O25" s="231">
        <v>186591</v>
      </c>
      <c r="P25" s="232">
        <f t="shared" ref="P25:P30" si="1">MAX(D25:O25)</f>
        <v>236361</v>
      </c>
      <c r="Q25" s="232">
        <f t="shared" ref="Q25:Q30" si="2">SUM(D25:O25)/12</f>
        <v>211761.58333333334</v>
      </c>
    </row>
    <row r="26" spans="1:17" x14ac:dyDescent="0.2">
      <c r="A26" s="154"/>
      <c r="B26" s="230" t="s">
        <v>98</v>
      </c>
      <c r="C26" s="154" t="s">
        <v>117</v>
      </c>
      <c r="D26" s="231">
        <v>104213</v>
      </c>
      <c r="E26" s="231">
        <v>114437</v>
      </c>
      <c r="F26" s="231">
        <v>126051</v>
      </c>
      <c r="G26" s="231">
        <v>126807</v>
      </c>
      <c r="H26" s="231">
        <v>139147</v>
      </c>
      <c r="I26" s="231">
        <v>141451</v>
      </c>
      <c r="J26" s="231">
        <v>147695</v>
      </c>
      <c r="K26" s="231">
        <v>143002</v>
      </c>
      <c r="L26" s="231">
        <v>140826</v>
      </c>
      <c r="M26" s="231">
        <v>129638</v>
      </c>
      <c r="N26" s="231">
        <v>114961</v>
      </c>
      <c r="O26" s="231">
        <v>115885</v>
      </c>
      <c r="P26" s="232">
        <f t="shared" si="1"/>
        <v>147695</v>
      </c>
      <c r="Q26" s="232">
        <f t="shared" si="2"/>
        <v>128676.08333333333</v>
      </c>
    </row>
    <row r="27" spans="1:17" x14ac:dyDescent="0.2">
      <c r="A27" s="154"/>
      <c r="B27" s="230" t="s">
        <v>99</v>
      </c>
      <c r="C27" s="154" t="s">
        <v>117</v>
      </c>
      <c r="D27" s="231">
        <v>45000</v>
      </c>
      <c r="E27" s="231">
        <v>45000</v>
      </c>
      <c r="F27" s="231">
        <v>45000</v>
      </c>
      <c r="G27" s="231">
        <v>45000</v>
      </c>
      <c r="H27" s="231">
        <v>45000</v>
      </c>
      <c r="I27" s="231">
        <v>0</v>
      </c>
      <c r="J27" s="231">
        <v>0</v>
      </c>
      <c r="K27" s="231">
        <v>0</v>
      </c>
      <c r="L27" s="231">
        <v>0</v>
      </c>
      <c r="M27" s="231">
        <v>0</v>
      </c>
      <c r="N27" s="231">
        <v>0</v>
      </c>
      <c r="O27" s="231">
        <v>0</v>
      </c>
      <c r="P27" s="232">
        <f t="shared" si="1"/>
        <v>45000</v>
      </c>
      <c r="Q27" s="232">
        <f t="shared" si="2"/>
        <v>18750</v>
      </c>
    </row>
    <row r="28" spans="1:17" x14ac:dyDescent="0.2">
      <c r="A28" s="154"/>
      <c r="B28" s="230" t="s">
        <v>40</v>
      </c>
      <c r="C28" s="154" t="s">
        <v>117</v>
      </c>
      <c r="D28" s="231">
        <v>8962</v>
      </c>
      <c r="E28" s="231">
        <v>10853</v>
      </c>
      <c r="F28" s="231">
        <v>11363</v>
      </c>
      <c r="G28" s="231">
        <v>11581</v>
      </c>
      <c r="H28" s="231">
        <v>12367</v>
      </c>
      <c r="I28" s="231">
        <v>13187</v>
      </c>
      <c r="J28" s="231">
        <v>12500</v>
      </c>
      <c r="K28" s="231">
        <v>13557</v>
      </c>
      <c r="L28" s="231">
        <v>13021</v>
      </c>
      <c r="M28" s="231">
        <v>11905</v>
      </c>
      <c r="N28" s="231">
        <v>10309</v>
      </c>
      <c r="O28" s="231">
        <v>9574</v>
      </c>
      <c r="P28" s="232">
        <f t="shared" si="1"/>
        <v>13557</v>
      </c>
      <c r="Q28" s="232">
        <f t="shared" si="2"/>
        <v>11598.25</v>
      </c>
    </row>
    <row r="29" spans="1:17" x14ac:dyDescent="0.2">
      <c r="A29" s="154"/>
      <c r="B29" s="230" t="s">
        <v>33</v>
      </c>
      <c r="C29" s="154" t="s">
        <v>117</v>
      </c>
      <c r="D29" s="231">
        <v>6529</v>
      </c>
      <c r="E29" s="231">
        <v>6727</v>
      </c>
      <c r="F29" s="231">
        <v>6742</v>
      </c>
      <c r="G29" s="231">
        <v>6324</v>
      </c>
      <c r="H29" s="231">
        <v>7555</v>
      </c>
      <c r="I29" s="231">
        <v>7987</v>
      </c>
      <c r="J29" s="231">
        <v>8255</v>
      </c>
      <c r="K29" s="231">
        <v>8389</v>
      </c>
      <c r="L29" s="231">
        <v>8163</v>
      </c>
      <c r="M29" s="231">
        <v>7220</v>
      </c>
      <c r="N29" s="231">
        <v>5707</v>
      </c>
      <c r="O29" s="231">
        <v>6401</v>
      </c>
      <c r="P29" s="232">
        <f t="shared" si="1"/>
        <v>8389</v>
      </c>
      <c r="Q29" s="232">
        <f t="shared" si="2"/>
        <v>7166.583333333333</v>
      </c>
    </row>
    <row r="30" spans="1:17" x14ac:dyDescent="0.2">
      <c r="A30" s="154"/>
      <c r="B30" s="230" t="s">
        <v>100</v>
      </c>
      <c r="C30" s="154" t="s">
        <v>117</v>
      </c>
      <c r="D30" s="231">
        <v>986</v>
      </c>
      <c r="E30" s="231">
        <v>602</v>
      </c>
      <c r="F30" s="231">
        <v>980</v>
      </c>
      <c r="G30" s="231">
        <v>978</v>
      </c>
      <c r="H30" s="231">
        <v>1001</v>
      </c>
      <c r="I30" s="231">
        <v>972</v>
      </c>
      <c r="J30" s="231">
        <v>951</v>
      </c>
      <c r="K30" s="231">
        <v>949</v>
      </c>
      <c r="L30" s="231">
        <v>919</v>
      </c>
      <c r="M30" s="231">
        <v>960</v>
      </c>
      <c r="N30" s="231">
        <v>947</v>
      </c>
      <c r="O30" s="231">
        <v>0</v>
      </c>
      <c r="P30" s="232">
        <f t="shared" si="1"/>
        <v>1001</v>
      </c>
      <c r="Q30" s="232">
        <f t="shared" si="2"/>
        <v>853.75</v>
      </c>
    </row>
    <row r="31" spans="1:17" x14ac:dyDescent="0.2">
      <c r="A31" s="154"/>
      <c r="B31" s="154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154"/>
    </row>
    <row r="32" spans="1:17" x14ac:dyDescent="0.2">
      <c r="A32" s="154" t="s">
        <v>119</v>
      </c>
      <c r="B32" s="154"/>
      <c r="C32" s="234"/>
      <c r="D32" s="236">
        <f t="shared" ref="D32:O32" si="3">SUM(D25,D26,D28,D30,D29,D27)</f>
        <v>338557</v>
      </c>
      <c r="E32" s="236">
        <f t="shared" si="3"/>
        <v>372258</v>
      </c>
      <c r="F32" s="236">
        <f t="shared" si="3"/>
        <v>386205</v>
      </c>
      <c r="G32" s="236">
        <f t="shared" si="3"/>
        <v>414570</v>
      </c>
      <c r="H32" s="236">
        <f t="shared" si="3"/>
        <v>429268</v>
      </c>
      <c r="I32" s="236">
        <f t="shared" si="3"/>
        <v>395382</v>
      </c>
      <c r="J32" s="236">
        <f t="shared" si="3"/>
        <v>395652</v>
      </c>
      <c r="K32" s="236">
        <f t="shared" si="3"/>
        <v>402258</v>
      </c>
      <c r="L32" s="236">
        <f t="shared" si="3"/>
        <v>390192</v>
      </c>
      <c r="M32" s="236">
        <f t="shared" si="3"/>
        <v>370718</v>
      </c>
      <c r="N32" s="236">
        <f t="shared" si="3"/>
        <v>332164</v>
      </c>
      <c r="O32" s="236">
        <f t="shared" si="3"/>
        <v>318451</v>
      </c>
      <c r="P32" s="236">
        <f>SUM(P25:P31)</f>
        <v>452003</v>
      </c>
      <c r="Q32" s="236">
        <f>SUM(Q25:Q31)</f>
        <v>378806.25</v>
      </c>
    </row>
    <row r="33" spans="1:17" x14ac:dyDescent="0.2">
      <c r="A33" s="154"/>
      <c r="B33" s="154"/>
      <c r="C33" s="234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</row>
    <row r="34" spans="1:17" x14ac:dyDescent="0.2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</row>
    <row r="35" spans="1:17" ht="13.5" thickBot="1" x14ac:dyDescent="0.25">
      <c r="A35" s="154" t="s">
        <v>120</v>
      </c>
      <c r="B35" s="154"/>
      <c r="C35" s="154"/>
      <c r="D35" s="238">
        <f t="shared" ref="D35:Q35" si="4">+D24+D32</f>
        <v>16158874</v>
      </c>
      <c r="E35" s="238">
        <f t="shared" si="4"/>
        <v>17744978</v>
      </c>
      <c r="F35" s="238">
        <f t="shared" si="4"/>
        <v>16140852</v>
      </c>
      <c r="G35" s="238">
        <f t="shared" si="4"/>
        <v>17223744</v>
      </c>
      <c r="H35" s="238">
        <f t="shared" si="4"/>
        <v>18978820</v>
      </c>
      <c r="I35" s="238">
        <f t="shared" si="4"/>
        <v>19761595</v>
      </c>
      <c r="J35" s="238">
        <f t="shared" si="4"/>
        <v>20031480</v>
      </c>
      <c r="K35" s="238">
        <f t="shared" si="4"/>
        <v>21215854</v>
      </c>
      <c r="L35" s="238">
        <f t="shared" si="4"/>
        <v>22728691</v>
      </c>
      <c r="M35" s="238">
        <f t="shared" si="4"/>
        <v>19519743</v>
      </c>
      <c r="N35" s="238">
        <f t="shared" si="4"/>
        <v>18317448</v>
      </c>
      <c r="O35" s="238">
        <f t="shared" si="4"/>
        <v>16932599</v>
      </c>
      <c r="P35" s="238">
        <f t="shared" si="4"/>
        <v>22831999</v>
      </c>
      <c r="Q35" s="238">
        <f t="shared" si="4"/>
        <v>18729556.5</v>
      </c>
    </row>
    <row r="36" spans="1:17" ht="13.5" thickTop="1" x14ac:dyDescent="0.2"/>
    <row r="44" spans="1:17" x14ac:dyDescent="0.2">
      <c r="B44" s="140"/>
      <c r="D44" s="139"/>
    </row>
    <row r="45" spans="1:17" x14ac:dyDescent="0.2">
      <c r="B45" s="140"/>
      <c r="D45" s="139"/>
    </row>
    <row r="46" spans="1:17" x14ac:dyDescent="0.2">
      <c r="B46" s="140"/>
      <c r="D46" s="139"/>
    </row>
    <row r="47" spans="1:17" x14ac:dyDescent="0.2">
      <c r="B47" s="140"/>
      <c r="D47" s="139"/>
    </row>
    <row r="48" spans="1:17" x14ac:dyDescent="0.2">
      <c r="B48" s="140"/>
      <c r="D48" s="139"/>
    </row>
    <row r="49" spans="2:4" x14ac:dyDescent="0.2">
      <c r="B49" s="140"/>
      <c r="D49" s="139"/>
    </row>
    <row r="50" spans="2:4" x14ac:dyDescent="0.2">
      <c r="B50" s="140"/>
      <c r="D50" s="139"/>
    </row>
    <row r="51" spans="2:4" x14ac:dyDescent="0.2">
      <c r="B51" s="140"/>
      <c r="D51" s="139"/>
    </row>
    <row r="52" spans="2:4" x14ac:dyDescent="0.2">
      <c r="B52" s="140"/>
      <c r="D52" s="139"/>
    </row>
  </sheetData>
  <pageMargins left="0.5" right="0.5" top="1" bottom="1" header="0.5" footer="0.5"/>
  <pageSetup scale="75" fitToHeight="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T53"/>
  <sheetViews>
    <sheetView zoomScaleNormal="100" zoomScaleSheetLayoutView="75" workbookViewId="0">
      <selection activeCell="A2" sqref="A2"/>
    </sheetView>
  </sheetViews>
  <sheetFormatPr defaultColWidth="9.140625" defaultRowHeight="12.75" x14ac:dyDescent="0.2"/>
  <cols>
    <col min="1" max="1" width="25" style="175" bestFit="1" customWidth="1"/>
    <col min="2" max="2" width="15.28515625" style="175" customWidth="1"/>
    <col min="3" max="3" width="10.42578125" style="175" bestFit="1" customWidth="1"/>
    <col min="4" max="4" width="13.28515625" style="175" customWidth="1"/>
    <col min="5" max="5" width="12.85546875" style="175" customWidth="1"/>
    <col min="6" max="6" width="13.5703125" style="175" customWidth="1"/>
    <col min="7" max="7" width="13.28515625" style="175" customWidth="1"/>
    <col min="8" max="8" width="14" style="175" customWidth="1"/>
    <col min="9" max="9" width="13.28515625" style="175" customWidth="1"/>
    <col min="10" max="10" width="12.5703125" style="175" customWidth="1"/>
    <col min="11" max="11" width="13.7109375" style="175" customWidth="1"/>
    <col min="12" max="14" width="13.42578125" style="175" customWidth="1"/>
    <col min="15" max="15" width="13.7109375" style="175" customWidth="1"/>
    <col min="16" max="16" width="11.28515625" style="175" bestFit="1" customWidth="1"/>
    <col min="17" max="17" width="11.28515625" style="175" customWidth="1"/>
    <col min="18" max="16384" width="9.140625" style="175"/>
  </cols>
  <sheetData>
    <row r="1" spans="1:20" ht="15" x14ac:dyDescent="0.25">
      <c r="A1" s="324" t="s">
        <v>215</v>
      </c>
    </row>
    <row r="2" spans="1:20" ht="15" x14ac:dyDescent="0.25">
      <c r="A2" s="324" t="s">
        <v>206</v>
      </c>
    </row>
    <row r="3" spans="1:20" s="154" customFormat="1" ht="20.25" x14ac:dyDescent="0.3">
      <c r="A3" s="226" t="s">
        <v>122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3"/>
    </row>
    <row r="4" spans="1:20" s="154" customFormat="1" ht="12" thickBot="1" x14ac:dyDescent="0.25"/>
    <row r="5" spans="1:20" s="154" customFormat="1" ht="13.5" thickBot="1" x14ac:dyDescent="0.25">
      <c r="A5" s="140"/>
      <c r="B5" s="140"/>
      <c r="C5" s="140"/>
      <c r="D5" s="198">
        <v>41640</v>
      </c>
      <c r="E5" s="198">
        <v>41671</v>
      </c>
      <c r="F5" s="198">
        <v>41699</v>
      </c>
      <c r="G5" s="198">
        <v>41730</v>
      </c>
      <c r="H5" s="198">
        <v>41760</v>
      </c>
      <c r="I5" s="198">
        <v>41791</v>
      </c>
      <c r="J5" s="198">
        <v>41821</v>
      </c>
      <c r="K5" s="198">
        <v>41852</v>
      </c>
      <c r="L5" s="198">
        <v>41883</v>
      </c>
      <c r="M5" s="198">
        <v>41913</v>
      </c>
      <c r="N5" s="198">
        <v>41944</v>
      </c>
      <c r="O5" s="198">
        <v>41974</v>
      </c>
      <c r="P5" s="239" t="s">
        <v>115</v>
      </c>
      <c r="Q5" s="240" t="s">
        <v>116</v>
      </c>
    </row>
    <row r="6" spans="1:20" s="154" customFormat="1" x14ac:dyDescent="0.2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</row>
    <row r="7" spans="1:20" x14ac:dyDescent="0.2">
      <c r="A7" s="154" t="s">
        <v>28</v>
      </c>
      <c r="B7" s="241"/>
      <c r="C7" s="140"/>
      <c r="D7" s="212">
        <v>11077038</v>
      </c>
      <c r="E7" s="212">
        <v>9753860</v>
      </c>
      <c r="F7" s="212">
        <v>9243748</v>
      </c>
      <c r="G7" s="212">
        <v>9768230</v>
      </c>
      <c r="H7" s="212">
        <v>10678156</v>
      </c>
      <c r="I7" s="212">
        <v>11881815</v>
      </c>
      <c r="J7" s="212">
        <v>12367046</v>
      </c>
      <c r="K7" s="212">
        <v>12241609</v>
      </c>
      <c r="L7" s="212">
        <v>14177423</v>
      </c>
      <c r="M7" s="212">
        <v>11505260</v>
      </c>
      <c r="N7" s="212">
        <v>9678526</v>
      </c>
      <c r="O7" s="212">
        <v>8995446</v>
      </c>
      <c r="P7" s="139">
        <v>14177423</v>
      </c>
      <c r="Q7" s="139">
        <v>10947346.416666666</v>
      </c>
    </row>
    <row r="8" spans="1:20" x14ac:dyDescent="0.2">
      <c r="A8" s="154" t="s">
        <v>20</v>
      </c>
      <c r="B8" s="241"/>
      <c r="C8" s="140"/>
      <c r="D8" s="212">
        <v>3888033</v>
      </c>
      <c r="E8" s="212">
        <v>3967306</v>
      </c>
      <c r="F8" s="212">
        <v>3590660</v>
      </c>
      <c r="G8" s="212">
        <v>4103300</v>
      </c>
      <c r="H8" s="212">
        <v>4223266</v>
      </c>
      <c r="I8" s="212">
        <v>4442457</v>
      </c>
      <c r="J8" s="212">
        <v>4347017</v>
      </c>
      <c r="K8" s="212">
        <v>4508362</v>
      </c>
      <c r="L8" s="212">
        <v>4772110</v>
      </c>
      <c r="M8" s="212">
        <v>4327672</v>
      </c>
      <c r="N8" s="212">
        <v>4453263</v>
      </c>
      <c r="O8" s="212">
        <v>3712640</v>
      </c>
      <c r="P8" s="139">
        <v>4772110</v>
      </c>
      <c r="Q8" s="139">
        <v>4194673.833333333</v>
      </c>
    </row>
    <row r="9" spans="1:20" x14ac:dyDescent="0.2">
      <c r="A9" s="154" t="s">
        <v>21</v>
      </c>
      <c r="B9" s="241"/>
      <c r="C9" s="140"/>
      <c r="D9" s="212">
        <v>1587181</v>
      </c>
      <c r="E9" s="212">
        <v>1635866</v>
      </c>
      <c r="F9" s="212">
        <v>1481351</v>
      </c>
      <c r="G9" s="212">
        <v>1607753</v>
      </c>
      <c r="H9" s="212">
        <v>1696002</v>
      </c>
      <c r="I9" s="212">
        <v>1685675</v>
      </c>
      <c r="J9" s="212">
        <v>1675900</v>
      </c>
      <c r="K9" s="212">
        <v>1801163</v>
      </c>
      <c r="L9" s="212">
        <v>1892928</v>
      </c>
      <c r="M9" s="212">
        <v>1755255</v>
      </c>
      <c r="N9" s="212">
        <v>1810063</v>
      </c>
      <c r="O9" s="212">
        <v>1614253</v>
      </c>
      <c r="P9" s="139">
        <v>1892928</v>
      </c>
      <c r="Q9" s="139">
        <v>1686949.1666666667</v>
      </c>
    </row>
    <row r="10" spans="1:20" x14ac:dyDescent="0.2">
      <c r="A10" s="154" t="s">
        <v>24</v>
      </c>
      <c r="B10" s="241"/>
      <c r="C10" s="140"/>
      <c r="D10" s="212">
        <v>1231551</v>
      </c>
      <c r="E10" s="212">
        <v>1313378</v>
      </c>
      <c r="F10" s="212">
        <v>1182539</v>
      </c>
      <c r="G10" s="212">
        <v>1384291</v>
      </c>
      <c r="H10" s="212">
        <v>1434550</v>
      </c>
      <c r="I10" s="212">
        <v>1605649</v>
      </c>
      <c r="J10" s="212">
        <v>1543768</v>
      </c>
      <c r="K10" s="212">
        <v>1293480</v>
      </c>
      <c r="L10" s="212">
        <v>1398431</v>
      </c>
      <c r="M10" s="212">
        <v>1241796</v>
      </c>
      <c r="N10" s="212">
        <v>1211747</v>
      </c>
      <c r="O10" s="212">
        <v>954068</v>
      </c>
      <c r="P10" s="139">
        <v>1605649</v>
      </c>
      <c r="Q10" s="139">
        <v>1316270.6666666667</v>
      </c>
    </row>
    <row r="11" spans="1:20" x14ac:dyDescent="0.2">
      <c r="A11" s="154" t="s">
        <v>17</v>
      </c>
      <c r="B11" s="241"/>
      <c r="C11" s="140"/>
      <c r="D11" s="212">
        <v>379547</v>
      </c>
      <c r="E11" s="212">
        <v>382269</v>
      </c>
      <c r="F11" s="212">
        <v>344528</v>
      </c>
      <c r="G11" s="212">
        <v>375042</v>
      </c>
      <c r="H11" s="212">
        <v>362582</v>
      </c>
      <c r="I11" s="212">
        <v>372897</v>
      </c>
      <c r="J11" s="212">
        <v>368770</v>
      </c>
      <c r="K11" s="212">
        <v>376342</v>
      </c>
      <c r="L11" s="212">
        <v>387428</v>
      </c>
      <c r="M11" s="212">
        <v>363279</v>
      </c>
      <c r="N11" s="212">
        <v>379131</v>
      </c>
      <c r="O11" s="212">
        <v>345387</v>
      </c>
      <c r="P11" s="139">
        <v>387428</v>
      </c>
      <c r="Q11" s="139">
        <v>369766.83333333331</v>
      </c>
    </row>
    <row r="12" spans="1:20" x14ac:dyDescent="0.2">
      <c r="A12" s="154" t="s">
        <v>22</v>
      </c>
      <c r="B12" s="241"/>
      <c r="C12" s="140"/>
      <c r="D12" s="212">
        <v>354006</v>
      </c>
      <c r="E12" s="212">
        <v>346208</v>
      </c>
      <c r="F12" s="212">
        <v>316709</v>
      </c>
      <c r="G12" s="212">
        <v>337405</v>
      </c>
      <c r="H12" s="212">
        <v>338744</v>
      </c>
      <c r="I12" s="212">
        <v>360551</v>
      </c>
      <c r="J12" s="212">
        <v>343410</v>
      </c>
      <c r="K12" s="212">
        <v>365959</v>
      </c>
      <c r="L12" s="212">
        <v>384908</v>
      </c>
      <c r="M12" s="212">
        <v>351669</v>
      </c>
      <c r="N12" s="212">
        <v>373929</v>
      </c>
      <c r="O12" s="212">
        <v>334840</v>
      </c>
      <c r="P12" s="139">
        <v>384908</v>
      </c>
      <c r="Q12" s="139">
        <v>350694.83333333331</v>
      </c>
    </row>
    <row r="13" spans="1:20" x14ac:dyDescent="0.2">
      <c r="A13" s="154" t="s">
        <v>19</v>
      </c>
      <c r="B13" s="241"/>
      <c r="C13" s="140"/>
      <c r="D13" s="212">
        <v>170267</v>
      </c>
      <c r="E13" s="212">
        <v>171842</v>
      </c>
      <c r="F13" s="212">
        <v>178811</v>
      </c>
      <c r="G13" s="212">
        <v>187233</v>
      </c>
      <c r="H13" s="212">
        <v>191114</v>
      </c>
      <c r="I13" s="212">
        <v>185371</v>
      </c>
      <c r="J13" s="212">
        <v>189900</v>
      </c>
      <c r="K13" s="212">
        <v>185458</v>
      </c>
      <c r="L13" s="212">
        <v>190694</v>
      </c>
      <c r="M13" s="212">
        <v>193326</v>
      </c>
      <c r="N13" s="212">
        <v>178305</v>
      </c>
      <c r="O13" s="212">
        <v>184525</v>
      </c>
      <c r="P13" s="139">
        <v>193326</v>
      </c>
      <c r="Q13" s="139">
        <v>183903.83333333334</v>
      </c>
    </row>
    <row r="14" spans="1:20" x14ac:dyDescent="0.2">
      <c r="A14" s="154" t="s">
        <v>29</v>
      </c>
      <c r="B14" s="241"/>
      <c r="C14" s="140"/>
      <c r="D14" s="212">
        <v>98671</v>
      </c>
      <c r="E14" s="212">
        <v>111238</v>
      </c>
      <c r="F14" s="212">
        <v>132005</v>
      </c>
      <c r="G14" s="212">
        <v>126507</v>
      </c>
      <c r="H14" s="212">
        <v>132850</v>
      </c>
      <c r="I14" s="212">
        <v>129852</v>
      </c>
      <c r="J14" s="212">
        <v>140741</v>
      </c>
      <c r="K14" s="212">
        <v>125898</v>
      </c>
      <c r="L14" s="212">
        <v>124291</v>
      </c>
      <c r="M14" s="212">
        <v>98173</v>
      </c>
      <c r="N14" s="212">
        <v>108524</v>
      </c>
      <c r="O14" s="212">
        <v>118061</v>
      </c>
      <c r="P14" s="139">
        <v>140741</v>
      </c>
      <c r="Q14" s="139">
        <v>120567.58333333333</v>
      </c>
    </row>
    <row r="15" spans="1:20" x14ac:dyDescent="0.2">
      <c r="A15" s="154" t="s">
        <v>88</v>
      </c>
      <c r="B15" s="241"/>
      <c r="C15" s="140"/>
      <c r="D15" s="212">
        <v>23786</v>
      </c>
      <c r="E15" s="212">
        <v>28525</v>
      </c>
      <c r="F15" s="212">
        <v>26449</v>
      </c>
      <c r="G15" s="212">
        <v>21693</v>
      </c>
      <c r="H15" s="212">
        <v>33037</v>
      </c>
      <c r="I15" s="212">
        <v>34118</v>
      </c>
      <c r="J15" s="212">
        <v>15725</v>
      </c>
      <c r="K15" s="212">
        <v>20400</v>
      </c>
      <c r="L15" s="212">
        <v>39259</v>
      </c>
      <c r="M15" s="212">
        <v>24496</v>
      </c>
      <c r="N15" s="212">
        <v>36623</v>
      </c>
      <c r="O15" s="212">
        <v>29585</v>
      </c>
      <c r="P15" s="139">
        <v>39259</v>
      </c>
      <c r="Q15" s="139">
        <v>27808</v>
      </c>
    </row>
    <row r="16" spans="1:20" x14ac:dyDescent="0.2">
      <c r="A16" s="154" t="s">
        <v>23</v>
      </c>
      <c r="B16" s="241"/>
      <c r="C16" s="140"/>
      <c r="D16" s="212">
        <v>24808</v>
      </c>
      <c r="E16" s="212">
        <v>26358</v>
      </c>
      <c r="F16" s="212">
        <v>26008</v>
      </c>
      <c r="G16" s="212">
        <v>32321</v>
      </c>
      <c r="H16" s="212">
        <v>33464</v>
      </c>
      <c r="I16" s="212">
        <v>24514</v>
      </c>
      <c r="J16" s="212">
        <v>23763</v>
      </c>
      <c r="K16" s="212">
        <v>28206</v>
      </c>
      <c r="L16" s="212">
        <v>24664</v>
      </c>
      <c r="M16" s="212">
        <v>27435</v>
      </c>
      <c r="N16" s="212">
        <v>26489</v>
      </c>
      <c r="O16" s="212">
        <v>28713</v>
      </c>
      <c r="P16" s="139">
        <v>33464</v>
      </c>
      <c r="Q16" s="139">
        <v>27228.583333333332</v>
      </c>
      <c r="T16" s="140"/>
    </row>
    <row r="17" spans="1:17" x14ac:dyDescent="0.2">
      <c r="A17" s="154" t="s">
        <v>18</v>
      </c>
      <c r="B17" s="241"/>
      <c r="C17" s="140"/>
      <c r="D17" s="212">
        <v>20308</v>
      </c>
      <c r="E17" s="212">
        <v>23536</v>
      </c>
      <c r="F17" s="212">
        <v>22679</v>
      </c>
      <c r="G17" s="212">
        <v>24797</v>
      </c>
      <c r="H17" s="212">
        <v>25707</v>
      </c>
      <c r="I17" s="212">
        <v>27201</v>
      </c>
      <c r="J17" s="212">
        <v>26082</v>
      </c>
      <c r="K17" s="212">
        <v>24714</v>
      </c>
      <c r="L17" s="212">
        <v>23891</v>
      </c>
      <c r="M17" s="212">
        <v>21754</v>
      </c>
      <c r="N17" s="212">
        <v>21117</v>
      </c>
      <c r="O17" s="212">
        <v>20192</v>
      </c>
      <c r="P17" s="139">
        <v>27201</v>
      </c>
      <c r="Q17" s="139">
        <v>23498.166666666668</v>
      </c>
    </row>
    <row r="18" spans="1:17" x14ac:dyDescent="0.2">
      <c r="A18" s="154" t="s">
        <v>26</v>
      </c>
      <c r="B18" s="241"/>
      <c r="C18" s="140"/>
      <c r="D18" s="212">
        <v>25511</v>
      </c>
      <c r="E18" s="212">
        <v>26507</v>
      </c>
      <c r="F18" s="212">
        <v>23547</v>
      </c>
      <c r="G18" s="212">
        <v>25426</v>
      </c>
      <c r="H18" s="212">
        <v>17549</v>
      </c>
      <c r="I18" s="212">
        <v>18673</v>
      </c>
      <c r="J18" s="212">
        <v>18246</v>
      </c>
      <c r="K18" s="212">
        <v>17883</v>
      </c>
      <c r="L18" s="212">
        <v>18434</v>
      </c>
      <c r="M18" s="212">
        <v>17067</v>
      </c>
      <c r="N18" s="212">
        <v>17204</v>
      </c>
      <c r="O18" s="212">
        <v>15812</v>
      </c>
      <c r="P18" s="139">
        <v>26507</v>
      </c>
      <c r="Q18" s="139">
        <v>20154.916666666668</v>
      </c>
    </row>
    <row r="19" spans="1:17" x14ac:dyDescent="0.2">
      <c r="A19" s="154" t="s">
        <v>62</v>
      </c>
      <c r="B19" s="241"/>
      <c r="C19" s="140"/>
      <c r="D19" s="212">
        <v>15931</v>
      </c>
      <c r="E19" s="212">
        <v>16334</v>
      </c>
      <c r="F19" s="212">
        <v>16009</v>
      </c>
      <c r="G19" s="212">
        <v>15901</v>
      </c>
      <c r="H19" s="212">
        <v>16016</v>
      </c>
      <c r="I19" s="212">
        <v>16493</v>
      </c>
      <c r="J19" s="212">
        <v>16494</v>
      </c>
      <c r="K19" s="212">
        <v>16573</v>
      </c>
      <c r="L19" s="212">
        <v>16315</v>
      </c>
      <c r="M19" s="212">
        <v>16308</v>
      </c>
      <c r="N19" s="212">
        <v>16525</v>
      </c>
      <c r="O19" s="212">
        <v>15723</v>
      </c>
      <c r="P19" s="139">
        <v>16573</v>
      </c>
      <c r="Q19" s="139">
        <v>16218.5</v>
      </c>
    </row>
    <row r="20" spans="1:17" x14ac:dyDescent="0.2">
      <c r="A20" s="154" t="s">
        <v>27</v>
      </c>
      <c r="B20" s="241"/>
      <c r="C20" s="140"/>
      <c r="D20" s="212">
        <v>9128</v>
      </c>
      <c r="E20" s="212">
        <v>11286</v>
      </c>
      <c r="F20" s="212">
        <v>12949</v>
      </c>
      <c r="G20" s="212">
        <v>8683</v>
      </c>
      <c r="H20" s="212">
        <v>8170</v>
      </c>
      <c r="I20" s="212">
        <v>7644</v>
      </c>
      <c r="J20" s="212">
        <v>5191</v>
      </c>
      <c r="K20" s="212">
        <v>5634</v>
      </c>
      <c r="L20" s="212">
        <v>8161</v>
      </c>
      <c r="M20" s="212">
        <v>9538</v>
      </c>
      <c r="N20" s="212">
        <v>11457</v>
      </c>
      <c r="O20" s="212">
        <v>9996</v>
      </c>
      <c r="P20" s="139">
        <v>12949</v>
      </c>
      <c r="Q20" s="139">
        <v>8986.4166666666661</v>
      </c>
    </row>
    <row r="21" spans="1:17" x14ac:dyDescent="0.2">
      <c r="A21" s="154" t="s">
        <v>63</v>
      </c>
      <c r="B21" s="241"/>
      <c r="C21" s="140"/>
      <c r="D21" s="212">
        <v>11473</v>
      </c>
      <c r="E21" s="212">
        <v>11409</v>
      </c>
      <c r="F21" s="212">
        <v>10046</v>
      </c>
      <c r="G21" s="212">
        <v>10666</v>
      </c>
      <c r="H21" s="212">
        <v>10712</v>
      </c>
      <c r="I21" s="212">
        <v>11291</v>
      </c>
      <c r="J21" s="212">
        <v>10819</v>
      </c>
      <c r="K21" s="212">
        <v>9338</v>
      </c>
      <c r="L21" s="212">
        <v>9488</v>
      </c>
      <c r="M21" s="212">
        <v>8854</v>
      </c>
      <c r="N21" s="212">
        <v>8999</v>
      </c>
      <c r="O21" s="212">
        <v>9115</v>
      </c>
      <c r="P21" s="139">
        <v>11473</v>
      </c>
      <c r="Q21" s="139">
        <v>10184.166666666666</v>
      </c>
    </row>
    <row r="22" spans="1:17" x14ac:dyDescent="0.2">
      <c r="A22" s="154" t="s">
        <v>94</v>
      </c>
      <c r="B22" s="241"/>
      <c r="C22" s="140"/>
      <c r="D22" s="212">
        <v>3083</v>
      </c>
      <c r="E22" s="212">
        <v>4470</v>
      </c>
      <c r="F22" s="212">
        <v>5550</v>
      </c>
      <c r="G22" s="212">
        <v>4126</v>
      </c>
      <c r="H22" s="212">
        <v>5238</v>
      </c>
      <c r="I22" s="212">
        <v>3018</v>
      </c>
      <c r="J22" s="212">
        <v>3591</v>
      </c>
      <c r="K22" s="212">
        <v>4705</v>
      </c>
      <c r="L22" s="212">
        <v>3722</v>
      </c>
      <c r="M22" s="212">
        <v>2842</v>
      </c>
      <c r="N22" s="212">
        <v>4342</v>
      </c>
      <c r="O22" s="212">
        <v>1124</v>
      </c>
      <c r="P22" s="139">
        <v>5550</v>
      </c>
      <c r="Q22" s="139">
        <v>3817.5833333333335</v>
      </c>
    </row>
    <row r="23" spans="1:17" x14ac:dyDescent="0.2">
      <c r="A23" s="154" t="s">
        <v>30</v>
      </c>
      <c r="B23" s="241"/>
      <c r="C23" s="140"/>
      <c r="D23" s="212">
        <v>3473</v>
      </c>
      <c r="E23" s="212">
        <v>3853</v>
      </c>
      <c r="F23" s="212">
        <v>3488</v>
      </c>
      <c r="G23" s="212">
        <v>3597</v>
      </c>
      <c r="H23" s="212">
        <v>3481</v>
      </c>
      <c r="I23" s="212">
        <v>3601</v>
      </c>
      <c r="J23" s="212">
        <v>3484</v>
      </c>
      <c r="K23" s="212">
        <v>3499</v>
      </c>
      <c r="L23" s="212">
        <v>3381</v>
      </c>
      <c r="M23" s="212">
        <v>3483</v>
      </c>
      <c r="N23" s="212">
        <v>3566</v>
      </c>
      <c r="O23" s="212">
        <v>3503</v>
      </c>
      <c r="P23" s="139">
        <v>3853</v>
      </c>
      <c r="Q23" s="139">
        <v>3534.0833333333335</v>
      </c>
    </row>
    <row r="24" spans="1:17" x14ac:dyDescent="0.2">
      <c r="A24" s="140" t="s">
        <v>118</v>
      </c>
      <c r="B24" s="140"/>
      <c r="C24" s="243"/>
      <c r="D24" s="141">
        <f t="shared" ref="D24:O24" si="0">SUM(D22,D21,D23,D20,D19,D17,D18,D16,D15,D14,D12,D13,D11,D9,D10,D8,D7)</f>
        <v>18923795</v>
      </c>
      <c r="E24" s="141">
        <f t="shared" si="0"/>
        <v>17834245</v>
      </c>
      <c r="F24" s="141">
        <f t="shared" si="0"/>
        <v>16617076</v>
      </c>
      <c r="G24" s="141">
        <f t="shared" si="0"/>
        <v>18036971</v>
      </c>
      <c r="H24" s="141">
        <f t="shared" si="0"/>
        <v>19210638</v>
      </c>
      <c r="I24" s="141">
        <f t="shared" si="0"/>
        <v>20810820</v>
      </c>
      <c r="J24" s="141">
        <f t="shared" si="0"/>
        <v>21099947</v>
      </c>
      <c r="K24" s="141">
        <f t="shared" si="0"/>
        <v>21029223</v>
      </c>
      <c r="L24" s="141">
        <f t="shared" si="0"/>
        <v>23475528</v>
      </c>
      <c r="M24" s="141">
        <f t="shared" si="0"/>
        <v>19968207</v>
      </c>
      <c r="N24" s="141">
        <f t="shared" si="0"/>
        <v>18339810</v>
      </c>
      <c r="O24" s="141">
        <f t="shared" si="0"/>
        <v>16392983</v>
      </c>
      <c r="P24" s="244">
        <f>SUM(P7:P23)</f>
        <v>23731342</v>
      </c>
      <c r="Q24" s="244">
        <f>SUM(Q7:Q23)</f>
        <v>19311603.583333332</v>
      </c>
    </row>
    <row r="25" spans="1:17" x14ac:dyDescent="0.2">
      <c r="A25" s="140"/>
      <c r="B25" s="241" t="s">
        <v>97</v>
      </c>
      <c r="C25" s="140" t="s">
        <v>117</v>
      </c>
      <c r="D25" s="212">
        <v>759818</v>
      </c>
      <c r="E25" s="212">
        <v>607977</v>
      </c>
      <c r="F25" s="212">
        <v>587761</v>
      </c>
      <c r="G25" s="212">
        <v>720832</v>
      </c>
      <c r="H25" s="212">
        <v>754990</v>
      </c>
      <c r="I25" s="212">
        <v>810713</v>
      </c>
      <c r="J25" s="212">
        <v>805670</v>
      </c>
      <c r="K25" s="212">
        <v>837392</v>
      </c>
      <c r="L25" s="212">
        <v>788046</v>
      </c>
      <c r="M25" s="212">
        <v>761167</v>
      </c>
      <c r="N25" s="212">
        <v>598817</v>
      </c>
      <c r="O25" s="212">
        <v>561480</v>
      </c>
      <c r="P25" s="139">
        <f t="shared" ref="P25:P31" si="1">MAX(D25:O25)</f>
        <v>837392</v>
      </c>
      <c r="Q25" s="139">
        <f t="shared" ref="Q25:Q31" si="2">SUM(D25:O25)/12</f>
        <v>716221.91666666663</v>
      </c>
    </row>
    <row r="26" spans="1:17" x14ac:dyDescent="0.2">
      <c r="A26" s="140"/>
      <c r="B26" s="241" t="s">
        <v>39</v>
      </c>
      <c r="C26" s="140" t="s">
        <v>117</v>
      </c>
      <c r="D26" s="212">
        <v>0</v>
      </c>
      <c r="E26" s="212">
        <v>0</v>
      </c>
      <c r="F26" s="212">
        <v>0</v>
      </c>
      <c r="G26" s="212">
        <v>0</v>
      </c>
      <c r="H26" s="212">
        <v>0</v>
      </c>
      <c r="I26" s="212">
        <v>200000</v>
      </c>
      <c r="J26" s="212">
        <v>200000</v>
      </c>
      <c r="K26" s="212">
        <v>200000</v>
      </c>
      <c r="L26" s="212">
        <v>200000</v>
      </c>
      <c r="M26" s="212">
        <v>200000</v>
      </c>
      <c r="N26" s="212">
        <v>225000</v>
      </c>
      <c r="O26" s="212">
        <v>200000</v>
      </c>
      <c r="P26" s="139">
        <f t="shared" si="1"/>
        <v>225000</v>
      </c>
      <c r="Q26" s="139">
        <f t="shared" si="2"/>
        <v>118750</v>
      </c>
    </row>
    <row r="27" spans="1:17" x14ac:dyDescent="0.2">
      <c r="A27" s="140"/>
      <c r="B27" s="241" t="s">
        <v>98</v>
      </c>
      <c r="C27" s="140" t="s">
        <v>117</v>
      </c>
      <c r="D27" s="212">
        <v>119648</v>
      </c>
      <c r="E27" s="212">
        <v>118724</v>
      </c>
      <c r="F27" s="212">
        <v>124969</v>
      </c>
      <c r="G27" s="212">
        <v>130649</v>
      </c>
      <c r="H27" s="212">
        <v>135618</v>
      </c>
      <c r="I27" s="212">
        <v>144202</v>
      </c>
      <c r="J27" s="212">
        <v>158706</v>
      </c>
      <c r="K27" s="212">
        <v>156563</v>
      </c>
      <c r="L27" s="212">
        <v>143516</v>
      </c>
      <c r="M27" s="212">
        <v>136857</v>
      </c>
      <c r="N27" s="212">
        <v>115289</v>
      </c>
      <c r="O27" s="212">
        <v>118302</v>
      </c>
      <c r="P27" s="139">
        <f t="shared" si="1"/>
        <v>158706</v>
      </c>
      <c r="Q27" s="139">
        <f t="shared" si="2"/>
        <v>133586.91666666666</v>
      </c>
    </row>
    <row r="28" spans="1:17" x14ac:dyDescent="0.2">
      <c r="A28" s="140"/>
      <c r="B28" s="241" t="s">
        <v>112</v>
      </c>
      <c r="C28" s="140" t="s">
        <v>117</v>
      </c>
      <c r="D28" s="212">
        <v>0</v>
      </c>
      <c r="E28" s="212">
        <v>35000</v>
      </c>
      <c r="F28" s="212">
        <v>20000</v>
      </c>
      <c r="G28" s="212">
        <v>10000</v>
      </c>
      <c r="H28" s="212">
        <v>20000</v>
      </c>
      <c r="I28" s="212">
        <v>35000</v>
      </c>
      <c r="J28" s="212">
        <v>35000</v>
      </c>
      <c r="K28" s="212">
        <v>35000</v>
      </c>
      <c r="L28" s="212">
        <v>25000</v>
      </c>
      <c r="M28" s="212">
        <v>20000</v>
      </c>
      <c r="N28" s="212">
        <v>10000</v>
      </c>
      <c r="O28" s="212">
        <v>20000</v>
      </c>
      <c r="P28" s="139">
        <f t="shared" si="1"/>
        <v>35000</v>
      </c>
      <c r="Q28" s="139">
        <f t="shared" si="2"/>
        <v>22083.333333333332</v>
      </c>
    </row>
    <row r="29" spans="1:17" x14ac:dyDescent="0.2">
      <c r="A29" s="140"/>
      <c r="B29" s="241" t="s">
        <v>110</v>
      </c>
      <c r="C29" s="140" t="s">
        <v>117</v>
      </c>
      <c r="D29" s="212">
        <v>23000</v>
      </c>
      <c r="E29" s="212">
        <v>23000</v>
      </c>
      <c r="F29" s="212">
        <v>23000</v>
      </c>
      <c r="G29" s="212">
        <v>23000</v>
      </c>
      <c r="H29" s="212">
        <v>23000</v>
      </c>
      <c r="I29" s="212">
        <v>23000</v>
      </c>
      <c r="J29" s="212">
        <v>23000</v>
      </c>
      <c r="K29" s="212">
        <v>23000</v>
      </c>
      <c r="L29" s="212">
        <v>23000</v>
      </c>
      <c r="M29" s="212">
        <v>23000</v>
      </c>
      <c r="N29" s="212">
        <v>23000</v>
      </c>
      <c r="O29" s="212">
        <v>23000</v>
      </c>
      <c r="P29" s="139">
        <f t="shared" si="1"/>
        <v>23000</v>
      </c>
      <c r="Q29" s="139">
        <f t="shared" si="2"/>
        <v>23000</v>
      </c>
    </row>
    <row r="30" spans="1:17" x14ac:dyDescent="0.2">
      <c r="A30" s="140"/>
      <c r="B30" s="241" t="s">
        <v>40</v>
      </c>
      <c r="C30" s="140" t="s">
        <v>117</v>
      </c>
      <c r="D30" s="212">
        <v>12444</v>
      </c>
      <c r="E30" s="212">
        <v>9408</v>
      </c>
      <c r="F30" s="212">
        <v>9018</v>
      </c>
      <c r="G30" s="212">
        <v>12473</v>
      </c>
      <c r="H30" s="212">
        <v>12655</v>
      </c>
      <c r="I30" s="212">
        <v>13244</v>
      </c>
      <c r="J30" s="212">
        <v>12957</v>
      </c>
      <c r="K30" s="212">
        <v>13556</v>
      </c>
      <c r="L30" s="212">
        <v>13084</v>
      </c>
      <c r="M30" s="212">
        <v>12339</v>
      </c>
      <c r="N30" s="212">
        <v>9516</v>
      </c>
      <c r="O30" s="212">
        <v>9621</v>
      </c>
      <c r="P30" s="139">
        <f t="shared" si="1"/>
        <v>13556</v>
      </c>
      <c r="Q30" s="139">
        <f t="shared" si="2"/>
        <v>11692.916666666666</v>
      </c>
    </row>
    <row r="31" spans="1:17" x14ac:dyDescent="0.2">
      <c r="A31" s="140"/>
      <c r="B31" s="241" t="s">
        <v>33</v>
      </c>
      <c r="C31" s="140" t="s">
        <v>117</v>
      </c>
      <c r="D31" s="212">
        <v>8505</v>
      </c>
      <c r="E31" s="212">
        <v>6861</v>
      </c>
      <c r="F31" s="212">
        <v>5883</v>
      </c>
      <c r="G31" s="212">
        <v>6515</v>
      </c>
      <c r="H31" s="212">
        <v>7297</v>
      </c>
      <c r="I31" s="212">
        <v>8300</v>
      </c>
      <c r="J31" s="212">
        <v>8358</v>
      </c>
      <c r="K31" s="212">
        <v>8658</v>
      </c>
      <c r="L31" s="212">
        <v>8237</v>
      </c>
      <c r="M31" s="212">
        <v>6928</v>
      </c>
      <c r="N31" s="212">
        <v>7506</v>
      </c>
      <c r="O31" s="212">
        <v>6384</v>
      </c>
      <c r="P31" s="139">
        <f t="shared" si="1"/>
        <v>8658</v>
      </c>
      <c r="Q31" s="139">
        <f t="shared" si="2"/>
        <v>7452.666666666667</v>
      </c>
    </row>
    <row r="32" spans="1:17" x14ac:dyDescent="0.2">
      <c r="A32" s="140"/>
      <c r="B32" s="140"/>
      <c r="C32" s="140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140"/>
      <c r="Q32" s="140"/>
    </row>
    <row r="33" spans="1:17" x14ac:dyDescent="0.2">
      <c r="A33" s="140" t="s">
        <v>119</v>
      </c>
      <c r="B33" s="140"/>
      <c r="C33" s="243"/>
      <c r="D33" s="244">
        <f t="shared" ref="D33:O33" si="3">SUM(D25,D27,D30,D28,D31,D26)</f>
        <v>900415</v>
      </c>
      <c r="E33" s="244">
        <f t="shared" si="3"/>
        <v>777970</v>
      </c>
      <c r="F33" s="244">
        <f t="shared" si="3"/>
        <v>747631</v>
      </c>
      <c r="G33" s="244">
        <f t="shared" si="3"/>
        <v>880469</v>
      </c>
      <c r="H33" s="244">
        <f t="shared" si="3"/>
        <v>930560</v>
      </c>
      <c r="I33" s="244">
        <f t="shared" si="3"/>
        <v>1211459</v>
      </c>
      <c r="J33" s="244">
        <f t="shared" si="3"/>
        <v>1220691</v>
      </c>
      <c r="K33" s="244">
        <f t="shared" si="3"/>
        <v>1251169</v>
      </c>
      <c r="L33" s="244">
        <f t="shared" si="3"/>
        <v>1177883</v>
      </c>
      <c r="M33" s="244">
        <f t="shared" si="3"/>
        <v>1137291</v>
      </c>
      <c r="N33" s="244">
        <f t="shared" si="3"/>
        <v>966128</v>
      </c>
      <c r="O33" s="244">
        <f t="shared" si="3"/>
        <v>915787</v>
      </c>
      <c r="P33" s="244">
        <f>SUM(P25:P32)</f>
        <v>1301312</v>
      </c>
      <c r="Q33" s="244">
        <f>SUM(Q25:Q32)</f>
        <v>1032787.7499999999</v>
      </c>
    </row>
    <row r="34" spans="1:17" x14ac:dyDescent="0.2">
      <c r="A34" s="140"/>
      <c r="B34" s="140"/>
      <c r="C34" s="243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</row>
    <row r="35" spans="1:17" x14ac:dyDescent="0.2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</row>
    <row r="36" spans="1:17" ht="13.5" thickBot="1" x14ac:dyDescent="0.25">
      <c r="A36" s="140" t="s">
        <v>120</v>
      </c>
      <c r="B36" s="140"/>
      <c r="C36" s="140"/>
      <c r="D36" s="246">
        <f t="shared" ref="D36:Q36" si="4">+D24+D33</f>
        <v>19824210</v>
      </c>
      <c r="E36" s="246">
        <f t="shared" si="4"/>
        <v>18612215</v>
      </c>
      <c r="F36" s="246">
        <f t="shared" si="4"/>
        <v>17364707</v>
      </c>
      <c r="G36" s="246">
        <f t="shared" si="4"/>
        <v>18917440</v>
      </c>
      <c r="H36" s="246">
        <f t="shared" si="4"/>
        <v>20141198</v>
      </c>
      <c r="I36" s="246">
        <f t="shared" si="4"/>
        <v>22022279</v>
      </c>
      <c r="J36" s="246">
        <f t="shared" si="4"/>
        <v>22320638</v>
      </c>
      <c r="K36" s="246">
        <f t="shared" si="4"/>
        <v>22280392</v>
      </c>
      <c r="L36" s="246">
        <f t="shared" si="4"/>
        <v>24653411</v>
      </c>
      <c r="M36" s="246">
        <f t="shared" si="4"/>
        <v>21105498</v>
      </c>
      <c r="N36" s="246">
        <f t="shared" si="4"/>
        <v>19305938</v>
      </c>
      <c r="O36" s="246">
        <f t="shared" si="4"/>
        <v>17308770</v>
      </c>
      <c r="P36" s="246">
        <f t="shared" si="4"/>
        <v>25032654</v>
      </c>
      <c r="Q36" s="246">
        <f t="shared" si="4"/>
        <v>20344391.333333332</v>
      </c>
    </row>
    <row r="37" spans="1:17" ht="13.5" thickTop="1" x14ac:dyDescent="0.2"/>
    <row r="45" spans="1:17" x14ac:dyDescent="0.2">
      <c r="B45" s="140"/>
      <c r="D45" s="139"/>
    </row>
    <row r="46" spans="1:17" x14ac:dyDescent="0.2">
      <c r="B46" s="140"/>
      <c r="D46" s="139"/>
    </row>
    <row r="47" spans="1:17" x14ac:dyDescent="0.2">
      <c r="B47" s="140"/>
      <c r="D47" s="139"/>
    </row>
    <row r="48" spans="1:17" x14ac:dyDescent="0.2">
      <c r="B48" s="140"/>
      <c r="D48" s="139"/>
    </row>
    <row r="49" spans="2:4" x14ac:dyDescent="0.2">
      <c r="B49" s="140"/>
      <c r="D49" s="139"/>
    </row>
    <row r="50" spans="2:4" x14ac:dyDescent="0.2">
      <c r="B50" s="140"/>
      <c r="D50" s="139"/>
    </row>
    <row r="51" spans="2:4" x14ac:dyDescent="0.2">
      <c r="B51" s="140"/>
      <c r="D51" s="139"/>
    </row>
    <row r="52" spans="2:4" x14ac:dyDescent="0.2">
      <c r="B52" s="140"/>
      <c r="D52" s="139"/>
    </row>
    <row r="53" spans="2:4" x14ac:dyDescent="0.2">
      <c r="B53" s="140"/>
      <c r="D53" s="139"/>
    </row>
  </sheetData>
  <pageMargins left="0.5" right="0.5" top="1" bottom="1" header="0.5" footer="0.5"/>
  <pageSetup scale="75" fitToHeight="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Q37"/>
  <sheetViews>
    <sheetView zoomScale="75" workbookViewId="0">
      <selection activeCell="A2" sqref="A2"/>
    </sheetView>
  </sheetViews>
  <sheetFormatPr defaultColWidth="9.140625" defaultRowHeight="12.75" x14ac:dyDescent="0.2"/>
  <cols>
    <col min="1" max="1" width="16.7109375" style="175" customWidth="1"/>
    <col min="2" max="3" width="9.140625" style="175" customWidth="1"/>
    <col min="4" max="15" width="10.7109375" style="175" customWidth="1"/>
    <col min="16" max="16" width="12.7109375" style="175" customWidth="1"/>
    <col min="17" max="18" width="10.7109375" style="175" customWidth="1"/>
    <col min="19" max="19" width="8.7109375" style="175" customWidth="1"/>
    <col min="20" max="16384" width="9.140625" style="175"/>
  </cols>
  <sheetData>
    <row r="1" spans="1:17" ht="15" x14ac:dyDescent="0.25">
      <c r="A1" s="324" t="s">
        <v>216</v>
      </c>
    </row>
    <row r="2" spans="1:17" ht="15" x14ac:dyDescent="0.25">
      <c r="A2" s="324" t="s">
        <v>206</v>
      </c>
    </row>
    <row r="3" spans="1:17" s="249" customFormat="1" ht="23.25" x14ac:dyDescent="0.35">
      <c r="A3" s="248" t="s">
        <v>123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</row>
    <row r="4" spans="1:17" s="140" customFormat="1" ht="13.5" thickBot="1" x14ac:dyDescent="0.25"/>
    <row r="5" spans="1:17" ht="24.75" thickBot="1" x14ac:dyDescent="0.25">
      <c r="A5" s="250"/>
      <c r="B5" s="157">
        <v>40909</v>
      </c>
      <c r="C5" s="157">
        <v>40940</v>
      </c>
      <c r="D5" s="157">
        <v>40969</v>
      </c>
      <c r="E5" s="157">
        <v>41000</v>
      </c>
      <c r="F5" s="157">
        <v>41030</v>
      </c>
      <c r="G5" s="157">
        <v>41061</v>
      </c>
      <c r="H5" s="157">
        <v>41091</v>
      </c>
      <c r="I5" s="157">
        <v>41122</v>
      </c>
      <c r="J5" s="157">
        <v>41153</v>
      </c>
      <c r="K5" s="157">
        <v>41183</v>
      </c>
      <c r="L5" s="157">
        <v>41214</v>
      </c>
      <c r="M5" s="157">
        <v>41244</v>
      </c>
      <c r="N5" s="251" t="s">
        <v>124</v>
      </c>
      <c r="O5" s="251" t="s">
        <v>125</v>
      </c>
      <c r="P5" s="251" t="s">
        <v>60</v>
      </c>
      <c r="Q5" s="251" t="s">
        <v>126</v>
      </c>
    </row>
    <row r="6" spans="1:17" x14ac:dyDescent="0.2">
      <c r="A6" s="252"/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</row>
    <row r="7" spans="1:17" x14ac:dyDescent="0.2">
      <c r="A7" s="175" t="s">
        <v>28</v>
      </c>
      <c r="B7" s="182">
        <v>31118474</v>
      </c>
      <c r="C7" s="182">
        <v>25886873</v>
      </c>
      <c r="D7" s="182">
        <v>23440701</v>
      </c>
      <c r="E7" s="182">
        <v>25212065</v>
      </c>
      <c r="F7" s="182">
        <v>21553115</v>
      </c>
      <c r="G7" s="182">
        <v>25029198</v>
      </c>
      <c r="H7" s="182">
        <v>24226593</v>
      </c>
      <c r="I7" s="182">
        <v>25406883</v>
      </c>
      <c r="J7" s="182">
        <v>25973806</v>
      </c>
      <c r="K7" s="182">
        <v>26534798</v>
      </c>
      <c r="L7" s="182">
        <v>27621089</v>
      </c>
      <c r="M7" s="182">
        <v>25025983</v>
      </c>
      <c r="N7" s="182">
        <f t="shared" ref="N7:N23" si="0">SUM(B7:M7)</f>
        <v>307029578</v>
      </c>
      <c r="O7" s="182">
        <f t="shared" ref="O7:O23" si="1">MAX(B7:M7)</f>
        <v>31118474</v>
      </c>
      <c r="P7" s="182">
        <f t="shared" ref="P7:P23" si="2">SUM(B7:M7)/12</f>
        <v>25585798.166666668</v>
      </c>
      <c r="Q7" s="180">
        <f t="shared" ref="Q7:Q23" si="3">$P7/$P$36</f>
        <v>0.69058790616720456</v>
      </c>
    </row>
    <row r="8" spans="1:17" x14ac:dyDescent="0.2">
      <c r="A8" s="181" t="s">
        <v>20</v>
      </c>
      <c r="B8" s="182">
        <v>5374431</v>
      </c>
      <c r="C8" s="182">
        <v>5274091</v>
      </c>
      <c r="D8" s="182">
        <v>5008972</v>
      </c>
      <c r="E8" s="182">
        <v>5521833</v>
      </c>
      <c r="F8" s="182">
        <v>5193640</v>
      </c>
      <c r="G8" s="182">
        <v>5882347</v>
      </c>
      <c r="H8" s="182">
        <v>5601284</v>
      </c>
      <c r="I8" s="182">
        <v>5747980</v>
      </c>
      <c r="J8" s="182">
        <v>5914223</v>
      </c>
      <c r="K8" s="182">
        <v>5836802</v>
      </c>
      <c r="L8" s="182">
        <v>5457009</v>
      </c>
      <c r="M8" s="182">
        <v>5185520</v>
      </c>
      <c r="N8" s="182">
        <f t="shared" si="0"/>
        <v>65998132</v>
      </c>
      <c r="O8" s="182">
        <f t="shared" si="1"/>
        <v>5914223</v>
      </c>
      <c r="P8" s="182">
        <f t="shared" si="2"/>
        <v>5499844.333333333</v>
      </c>
      <c r="Q8" s="180">
        <f t="shared" si="3"/>
        <v>0.14844664831877133</v>
      </c>
    </row>
    <row r="9" spans="1:17" x14ac:dyDescent="0.2">
      <c r="A9" s="175" t="s">
        <v>21</v>
      </c>
      <c r="B9" s="182">
        <v>2098175</v>
      </c>
      <c r="C9" s="182">
        <v>2057824</v>
      </c>
      <c r="D9" s="182">
        <v>2013556</v>
      </c>
      <c r="E9" s="182">
        <v>2150695</v>
      </c>
      <c r="F9" s="182">
        <v>2145826</v>
      </c>
      <c r="G9" s="182">
        <v>2348628</v>
      </c>
      <c r="H9" s="182">
        <v>2239010</v>
      </c>
      <c r="I9" s="182">
        <v>2245256</v>
      </c>
      <c r="J9" s="182">
        <v>2395989</v>
      </c>
      <c r="K9" s="182">
        <v>2438934</v>
      </c>
      <c r="L9" s="182">
        <v>2078698</v>
      </c>
      <c r="M9" s="182">
        <v>2101903</v>
      </c>
      <c r="N9" s="182">
        <f>SUM(B9:M9)</f>
        <v>26314494</v>
      </c>
      <c r="O9" s="182">
        <f>MAX(B9:M9)</f>
        <v>2438934</v>
      </c>
      <c r="P9" s="182">
        <f>SUM(B9:M9)/12</f>
        <v>2192874.5</v>
      </c>
      <c r="Q9" s="180">
        <f t="shared" si="3"/>
        <v>5.9188015147222932E-2</v>
      </c>
    </row>
    <row r="10" spans="1:17" x14ac:dyDescent="0.2">
      <c r="A10" s="175" t="s">
        <v>24</v>
      </c>
      <c r="B10" s="182">
        <v>2050823</v>
      </c>
      <c r="C10" s="182">
        <v>1881623</v>
      </c>
      <c r="D10" s="182">
        <v>1787686</v>
      </c>
      <c r="E10" s="182">
        <v>1974048</v>
      </c>
      <c r="F10" s="182">
        <v>1808592</v>
      </c>
      <c r="G10" s="182">
        <v>2059033</v>
      </c>
      <c r="H10" s="182">
        <v>1945565</v>
      </c>
      <c r="I10" s="182">
        <v>2015514</v>
      </c>
      <c r="J10" s="182">
        <v>2127107</v>
      </c>
      <c r="K10" s="182">
        <v>2054774</v>
      </c>
      <c r="L10" s="182">
        <v>1948475</v>
      </c>
      <c r="M10" s="182">
        <v>1846402</v>
      </c>
      <c r="N10" s="182">
        <f t="shared" si="0"/>
        <v>23499642</v>
      </c>
      <c r="O10" s="182">
        <f t="shared" si="1"/>
        <v>2127107</v>
      </c>
      <c r="P10" s="182">
        <f t="shared" si="2"/>
        <v>1958303.5</v>
      </c>
      <c r="Q10" s="180">
        <f t="shared" si="3"/>
        <v>5.2856694362062071E-2</v>
      </c>
    </row>
    <row r="11" spans="1:17" x14ac:dyDescent="0.2">
      <c r="A11" s="175" t="s">
        <v>17</v>
      </c>
      <c r="B11" s="182">
        <v>464891</v>
      </c>
      <c r="C11" s="182">
        <v>450121</v>
      </c>
      <c r="D11" s="182">
        <v>436741</v>
      </c>
      <c r="E11" s="182">
        <v>472311</v>
      </c>
      <c r="F11" s="182">
        <v>445083</v>
      </c>
      <c r="G11" s="182">
        <v>489022</v>
      </c>
      <c r="H11" s="182">
        <v>464823</v>
      </c>
      <c r="I11" s="182">
        <v>479985</v>
      </c>
      <c r="J11" s="182">
        <v>482019</v>
      </c>
      <c r="K11" s="182">
        <v>466700</v>
      </c>
      <c r="L11" s="182">
        <v>448728</v>
      </c>
      <c r="M11" s="182">
        <v>443355</v>
      </c>
      <c r="N11" s="182">
        <f t="shared" si="0"/>
        <v>5543779</v>
      </c>
      <c r="O11" s="182">
        <f t="shared" si="1"/>
        <v>489022</v>
      </c>
      <c r="P11" s="182">
        <f t="shared" si="2"/>
        <v>461981.58333333331</v>
      </c>
      <c r="Q11" s="180">
        <f t="shared" si="3"/>
        <v>1.2469374308503003E-2</v>
      </c>
    </row>
    <row r="12" spans="1:17" x14ac:dyDescent="0.2">
      <c r="A12" s="181" t="s">
        <v>22</v>
      </c>
      <c r="B12" s="182">
        <v>404433</v>
      </c>
      <c r="C12" s="182">
        <v>403383</v>
      </c>
      <c r="D12" s="182">
        <v>396749</v>
      </c>
      <c r="E12" s="182">
        <v>416585</v>
      </c>
      <c r="F12" s="182">
        <v>401592</v>
      </c>
      <c r="G12" s="182">
        <v>453309</v>
      </c>
      <c r="H12" s="182">
        <v>433698</v>
      </c>
      <c r="I12" s="182">
        <v>451522</v>
      </c>
      <c r="J12" s="182">
        <v>460146</v>
      </c>
      <c r="K12" s="182">
        <v>461794</v>
      </c>
      <c r="L12" s="182">
        <v>422550</v>
      </c>
      <c r="M12" s="182">
        <v>413979</v>
      </c>
      <c r="N12" s="182">
        <f t="shared" si="0"/>
        <v>5119740</v>
      </c>
      <c r="O12" s="182">
        <f t="shared" si="1"/>
        <v>461794</v>
      </c>
      <c r="P12" s="182">
        <f t="shared" si="2"/>
        <v>426645</v>
      </c>
      <c r="Q12" s="180">
        <f t="shared" si="3"/>
        <v>1.151560233952601E-2</v>
      </c>
    </row>
    <row r="13" spans="1:17" x14ac:dyDescent="0.2">
      <c r="A13" s="175" t="s">
        <v>19</v>
      </c>
      <c r="B13" s="182">
        <v>217973</v>
      </c>
      <c r="C13" s="182">
        <v>187035</v>
      </c>
      <c r="D13" s="182">
        <v>215155</v>
      </c>
      <c r="E13" s="182">
        <v>194563</v>
      </c>
      <c r="F13" s="182">
        <v>211637</v>
      </c>
      <c r="G13" s="182">
        <v>207944</v>
      </c>
      <c r="H13" s="182">
        <v>219513</v>
      </c>
      <c r="I13" s="182">
        <v>215704</v>
      </c>
      <c r="J13" s="182">
        <v>217027</v>
      </c>
      <c r="K13" s="182">
        <v>221144</v>
      </c>
      <c r="L13" s="182">
        <v>203537</v>
      </c>
      <c r="M13" s="182">
        <v>196475</v>
      </c>
      <c r="N13" s="182">
        <f t="shared" si="0"/>
        <v>2507707</v>
      </c>
      <c r="O13" s="182">
        <f t="shared" si="1"/>
        <v>221144</v>
      </c>
      <c r="P13" s="182">
        <f t="shared" si="2"/>
        <v>208975.58333333334</v>
      </c>
      <c r="Q13" s="180">
        <f t="shared" si="3"/>
        <v>5.6404732654481973E-3</v>
      </c>
    </row>
    <row r="14" spans="1:17" x14ac:dyDescent="0.2">
      <c r="A14" s="181" t="s">
        <v>29</v>
      </c>
      <c r="B14" s="182">
        <v>101421</v>
      </c>
      <c r="C14" s="182">
        <v>113971</v>
      </c>
      <c r="D14" s="182">
        <v>116110</v>
      </c>
      <c r="E14" s="182">
        <v>126781</v>
      </c>
      <c r="F14" s="182">
        <v>125952</v>
      </c>
      <c r="G14" s="182">
        <v>144305</v>
      </c>
      <c r="H14" s="182">
        <v>125150</v>
      </c>
      <c r="I14" s="182">
        <v>129358</v>
      </c>
      <c r="J14" s="182">
        <v>121260</v>
      </c>
      <c r="K14" s="182">
        <v>96470</v>
      </c>
      <c r="L14" s="182">
        <v>121343</v>
      </c>
      <c r="M14" s="182">
        <v>102654</v>
      </c>
      <c r="N14" s="182">
        <f t="shared" si="0"/>
        <v>1424775</v>
      </c>
      <c r="O14" s="182">
        <f t="shared" si="1"/>
        <v>144305</v>
      </c>
      <c r="P14" s="182">
        <f t="shared" si="2"/>
        <v>118731.25</v>
      </c>
      <c r="Q14" s="180">
        <f t="shared" si="3"/>
        <v>3.2046827228136916E-3</v>
      </c>
    </row>
    <row r="15" spans="1:17" x14ac:dyDescent="0.2">
      <c r="A15" s="181" t="s">
        <v>88</v>
      </c>
      <c r="B15" s="182">
        <v>95511</v>
      </c>
      <c r="C15" s="182">
        <v>56730</v>
      </c>
      <c r="D15" s="182">
        <v>62571</v>
      </c>
      <c r="E15" s="182">
        <v>83426</v>
      </c>
      <c r="F15" s="182">
        <v>65762</v>
      </c>
      <c r="G15" s="182">
        <v>68651</v>
      </c>
      <c r="H15" s="182">
        <v>42232</v>
      </c>
      <c r="I15" s="182">
        <v>91235</v>
      </c>
      <c r="J15" s="182">
        <v>68088</v>
      </c>
      <c r="K15" s="182">
        <v>89054</v>
      </c>
      <c r="L15" s="182">
        <v>70729</v>
      </c>
      <c r="M15" s="182">
        <v>78262</v>
      </c>
      <c r="N15" s="182">
        <f t="shared" si="0"/>
        <v>872251</v>
      </c>
      <c r="O15" s="182">
        <f t="shared" si="1"/>
        <v>95511</v>
      </c>
      <c r="P15" s="182">
        <f t="shared" si="2"/>
        <v>72687.583333333328</v>
      </c>
      <c r="Q15" s="180">
        <f t="shared" si="3"/>
        <v>1.9619151863676477E-3</v>
      </c>
    </row>
    <row r="16" spans="1:17" x14ac:dyDescent="0.2">
      <c r="A16" s="175" t="s">
        <v>23</v>
      </c>
      <c r="B16" s="182">
        <v>36769</v>
      </c>
      <c r="C16" s="182">
        <v>35955</v>
      </c>
      <c r="D16" s="182">
        <v>36567</v>
      </c>
      <c r="E16" s="182">
        <v>36171</v>
      </c>
      <c r="F16" s="182">
        <v>37716</v>
      </c>
      <c r="G16" s="182">
        <v>31012</v>
      </c>
      <c r="H16" s="182">
        <v>31690</v>
      </c>
      <c r="I16" s="182">
        <v>31593</v>
      </c>
      <c r="J16" s="182">
        <v>35242</v>
      </c>
      <c r="K16" s="182">
        <v>35476</v>
      </c>
      <c r="L16" s="182">
        <v>36969</v>
      </c>
      <c r="M16" s="182">
        <v>34145</v>
      </c>
      <c r="N16" s="182">
        <f t="shared" si="0"/>
        <v>419305</v>
      </c>
      <c r="O16" s="182">
        <f t="shared" si="1"/>
        <v>37716</v>
      </c>
      <c r="P16" s="182">
        <f t="shared" si="2"/>
        <v>34942.083333333336</v>
      </c>
      <c r="Q16" s="180">
        <f t="shared" si="3"/>
        <v>9.4312399437763517E-4</v>
      </c>
    </row>
    <row r="17" spans="1:17" x14ac:dyDescent="0.2">
      <c r="A17" s="175" t="s">
        <v>18</v>
      </c>
      <c r="B17" s="182">
        <v>31607</v>
      </c>
      <c r="C17" s="182">
        <v>29796</v>
      </c>
      <c r="D17" s="182">
        <v>27723</v>
      </c>
      <c r="E17" s="182">
        <v>31416</v>
      </c>
      <c r="F17" s="182">
        <v>29917</v>
      </c>
      <c r="G17" s="182">
        <v>32318</v>
      </c>
      <c r="H17" s="182">
        <v>31252</v>
      </c>
      <c r="I17" s="182">
        <v>32184</v>
      </c>
      <c r="J17" s="182">
        <v>33086</v>
      </c>
      <c r="K17" s="182">
        <v>31548</v>
      </c>
      <c r="L17" s="182">
        <v>30268</v>
      </c>
      <c r="M17" s="182">
        <v>29476</v>
      </c>
      <c r="N17" s="182">
        <f t="shared" si="0"/>
        <v>370591</v>
      </c>
      <c r="O17" s="182">
        <f t="shared" si="1"/>
        <v>33086</v>
      </c>
      <c r="P17" s="182">
        <f t="shared" si="2"/>
        <v>30882.583333333332</v>
      </c>
      <c r="Q17" s="180">
        <f t="shared" si="3"/>
        <v>8.3355377159919904E-4</v>
      </c>
    </row>
    <row r="18" spans="1:17" x14ac:dyDescent="0.2">
      <c r="A18" s="181" t="s">
        <v>26</v>
      </c>
      <c r="B18" s="182">
        <v>20334</v>
      </c>
      <c r="C18" s="182">
        <v>22670</v>
      </c>
      <c r="D18" s="182">
        <v>22559</v>
      </c>
      <c r="E18" s="182">
        <v>24862</v>
      </c>
      <c r="F18" s="182">
        <v>25513</v>
      </c>
      <c r="G18" s="182">
        <v>27122</v>
      </c>
      <c r="H18" s="182">
        <v>25641</v>
      </c>
      <c r="I18" s="182">
        <v>24696</v>
      </c>
      <c r="J18" s="182">
        <v>23927</v>
      </c>
      <c r="K18" s="182">
        <v>21698</v>
      </c>
      <c r="L18" s="182">
        <v>21198</v>
      </c>
      <c r="M18" s="182">
        <v>20160</v>
      </c>
      <c r="N18" s="182">
        <f t="shared" si="0"/>
        <v>280380</v>
      </c>
      <c r="O18" s="182">
        <f t="shared" si="1"/>
        <v>27122</v>
      </c>
      <c r="P18" s="182">
        <f t="shared" si="2"/>
        <v>23365</v>
      </c>
      <c r="Q18" s="180">
        <f t="shared" si="3"/>
        <v>6.3064620155638812E-4</v>
      </c>
    </row>
    <row r="19" spans="1:17" x14ac:dyDescent="0.2">
      <c r="A19" s="181" t="s">
        <v>62</v>
      </c>
      <c r="B19" s="182">
        <v>15637</v>
      </c>
      <c r="C19" s="182">
        <v>16041</v>
      </c>
      <c r="D19" s="182">
        <v>16232</v>
      </c>
      <c r="E19" s="182">
        <v>15754</v>
      </c>
      <c r="F19" s="182">
        <v>16225</v>
      </c>
      <c r="G19" s="182">
        <v>17746</v>
      </c>
      <c r="H19" s="182">
        <v>17306</v>
      </c>
      <c r="I19" s="182">
        <v>15471</v>
      </c>
      <c r="J19" s="182">
        <v>15046</v>
      </c>
      <c r="K19" s="182">
        <v>17727</v>
      </c>
      <c r="L19" s="182">
        <v>15736</v>
      </c>
      <c r="M19" s="182">
        <v>15983</v>
      </c>
      <c r="N19" s="182">
        <f t="shared" si="0"/>
        <v>194904</v>
      </c>
      <c r="O19" s="182">
        <f t="shared" si="1"/>
        <v>17746</v>
      </c>
      <c r="P19" s="182">
        <f t="shared" si="2"/>
        <v>16242</v>
      </c>
      <c r="Q19" s="180">
        <f t="shared" si="3"/>
        <v>4.3838885536823697E-4</v>
      </c>
    </row>
    <row r="20" spans="1:17" x14ac:dyDescent="0.2">
      <c r="A20" s="181" t="s">
        <v>27</v>
      </c>
      <c r="B20" s="182">
        <v>14025</v>
      </c>
      <c r="C20" s="182">
        <v>14580</v>
      </c>
      <c r="D20" s="182">
        <v>15515</v>
      </c>
      <c r="E20" s="182">
        <v>16881</v>
      </c>
      <c r="F20" s="182">
        <v>14043</v>
      </c>
      <c r="G20" s="182">
        <v>12790</v>
      </c>
      <c r="H20" s="182">
        <v>9957</v>
      </c>
      <c r="I20" s="182">
        <v>11026</v>
      </c>
      <c r="J20" s="182">
        <v>14487</v>
      </c>
      <c r="K20" s="182">
        <v>15125</v>
      </c>
      <c r="L20" s="182">
        <v>14665</v>
      </c>
      <c r="M20" s="182">
        <v>16497</v>
      </c>
      <c r="N20" s="182">
        <f t="shared" si="0"/>
        <v>169591</v>
      </c>
      <c r="O20" s="182">
        <f t="shared" si="1"/>
        <v>16881</v>
      </c>
      <c r="P20" s="182">
        <f t="shared" si="2"/>
        <v>14132.583333333334</v>
      </c>
      <c r="Q20" s="180">
        <f t="shared" si="3"/>
        <v>3.8145345591036959E-4</v>
      </c>
    </row>
    <row r="21" spans="1:17" x14ac:dyDescent="0.2">
      <c r="A21" s="181" t="s">
        <v>63</v>
      </c>
      <c r="B21" s="182">
        <v>3859</v>
      </c>
      <c r="C21" s="182">
        <v>3543</v>
      </c>
      <c r="D21" s="182">
        <v>3394</v>
      </c>
      <c r="E21" s="182">
        <v>3626</v>
      </c>
      <c r="F21" s="182">
        <v>3322</v>
      </c>
      <c r="G21" s="182">
        <v>3630</v>
      </c>
      <c r="H21" s="182">
        <v>3266</v>
      </c>
      <c r="I21" s="182">
        <v>3361</v>
      </c>
      <c r="J21" s="182">
        <v>3258</v>
      </c>
      <c r="K21" s="182">
        <v>3105</v>
      </c>
      <c r="L21" s="182">
        <v>3212</v>
      </c>
      <c r="M21" s="182">
        <v>3088</v>
      </c>
      <c r="N21" s="182">
        <f t="shared" si="0"/>
        <v>40664</v>
      </c>
      <c r="O21" s="182">
        <f t="shared" si="1"/>
        <v>3859</v>
      </c>
      <c r="P21" s="182">
        <f t="shared" si="2"/>
        <v>3388.6666666666665</v>
      </c>
      <c r="Q21" s="180">
        <f t="shared" si="3"/>
        <v>9.1463717597863498E-5</v>
      </c>
    </row>
    <row r="22" spans="1:17" x14ac:dyDescent="0.2">
      <c r="A22" s="181" t="s">
        <v>94</v>
      </c>
      <c r="B22" s="182">
        <v>343</v>
      </c>
      <c r="C22" s="182">
        <v>3476</v>
      </c>
      <c r="D22" s="182">
        <v>3811</v>
      </c>
      <c r="E22" s="182">
        <v>1881</v>
      </c>
      <c r="F22" s="182">
        <v>1730</v>
      </c>
      <c r="G22" s="182">
        <v>1870</v>
      </c>
      <c r="H22" s="182">
        <v>3340</v>
      </c>
      <c r="I22" s="182">
        <v>3730</v>
      </c>
      <c r="J22" s="182">
        <v>3704</v>
      </c>
      <c r="K22" s="182">
        <v>5932</v>
      </c>
      <c r="L22" s="182">
        <v>5021</v>
      </c>
      <c r="M22" s="182">
        <v>5687</v>
      </c>
      <c r="N22" s="182">
        <f t="shared" si="0"/>
        <v>40525</v>
      </c>
      <c r="O22" s="182">
        <f t="shared" si="1"/>
        <v>5932</v>
      </c>
      <c r="P22" s="182">
        <f t="shared" si="2"/>
        <v>3377.0833333333335</v>
      </c>
      <c r="Q22" s="180">
        <f t="shared" si="3"/>
        <v>9.1151071110894607E-5</v>
      </c>
    </row>
    <row r="23" spans="1:17" x14ac:dyDescent="0.2">
      <c r="A23" s="181" t="s">
        <v>30</v>
      </c>
      <c r="B23" s="182">
        <v>3522</v>
      </c>
      <c r="C23" s="182">
        <v>3768</v>
      </c>
      <c r="D23" s="182">
        <v>3537</v>
      </c>
      <c r="E23" s="182">
        <v>3659</v>
      </c>
      <c r="F23" s="182">
        <v>3501</v>
      </c>
      <c r="G23" s="182">
        <v>3622</v>
      </c>
      <c r="H23" s="182">
        <v>3518</v>
      </c>
      <c r="I23" s="182">
        <v>3518</v>
      </c>
      <c r="J23" s="182">
        <v>3637</v>
      </c>
      <c r="K23" s="182">
        <v>3518</v>
      </c>
      <c r="L23" s="182">
        <v>3634</v>
      </c>
      <c r="M23" s="182">
        <v>3524</v>
      </c>
      <c r="N23" s="182">
        <f t="shared" si="0"/>
        <v>42958</v>
      </c>
      <c r="O23" s="182">
        <f t="shared" si="1"/>
        <v>3768</v>
      </c>
      <c r="P23" s="182">
        <f t="shared" si="2"/>
        <v>3579.8333333333335</v>
      </c>
      <c r="Q23" s="180">
        <f t="shared" si="3"/>
        <v>9.6623509260501187E-5</v>
      </c>
    </row>
    <row r="24" spans="1:17" x14ac:dyDescent="0.2">
      <c r="A24" s="17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255"/>
    </row>
    <row r="25" spans="1:17" x14ac:dyDescent="0.2">
      <c r="A25" s="174" t="s">
        <v>15</v>
      </c>
      <c r="B25" s="256">
        <f t="shared" ref="B25:P25" si="4">SUM(B7:B24)</f>
        <v>42052228</v>
      </c>
      <c r="C25" s="256">
        <f t="shared" si="4"/>
        <v>36441480</v>
      </c>
      <c r="D25" s="256">
        <f t="shared" si="4"/>
        <v>33607579</v>
      </c>
      <c r="E25" s="256">
        <f t="shared" si="4"/>
        <v>36286557</v>
      </c>
      <c r="F25" s="256">
        <f t="shared" si="4"/>
        <v>32083166</v>
      </c>
      <c r="G25" s="256">
        <f t="shared" si="4"/>
        <v>36812547</v>
      </c>
      <c r="H25" s="256">
        <f t="shared" si="4"/>
        <v>35423838</v>
      </c>
      <c r="I25" s="256">
        <f t="shared" si="4"/>
        <v>36909016</v>
      </c>
      <c r="J25" s="256">
        <f t="shared" si="4"/>
        <v>37892052</v>
      </c>
      <c r="K25" s="256">
        <f t="shared" si="4"/>
        <v>38334599</v>
      </c>
      <c r="L25" s="256">
        <f t="shared" si="4"/>
        <v>38502861</v>
      </c>
      <c r="M25" s="256">
        <f t="shared" si="4"/>
        <v>35523093</v>
      </c>
      <c r="N25" s="256">
        <f t="shared" si="4"/>
        <v>439869016</v>
      </c>
      <c r="O25" s="256">
        <f t="shared" si="4"/>
        <v>43156624</v>
      </c>
      <c r="P25" s="256">
        <f t="shared" si="4"/>
        <v>36655751.333333351</v>
      </c>
      <c r="Q25" s="184">
        <f>$P25/$P$36</f>
        <v>0.98937771639470096</v>
      </c>
    </row>
    <row r="26" spans="1:17" x14ac:dyDescent="0.2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255"/>
    </row>
    <row r="27" spans="1:17" x14ac:dyDescent="0.2">
      <c r="A27" s="174" t="s">
        <v>97</v>
      </c>
      <c r="B27" s="182">
        <v>224965</v>
      </c>
      <c r="C27" s="182">
        <v>207234</v>
      </c>
      <c r="D27" s="182">
        <v>189386</v>
      </c>
      <c r="E27" s="182">
        <v>207338</v>
      </c>
      <c r="F27" s="182">
        <v>217637</v>
      </c>
      <c r="G27" s="182">
        <v>217981</v>
      </c>
      <c r="H27" s="182">
        <v>229570</v>
      </c>
      <c r="I27" s="182">
        <v>238022</v>
      </c>
      <c r="J27" s="182">
        <v>216824</v>
      </c>
      <c r="K27" s="182">
        <v>214833</v>
      </c>
      <c r="L27" s="182">
        <v>151505</v>
      </c>
      <c r="M27" s="182">
        <v>174495</v>
      </c>
      <c r="N27" s="182">
        <f>SUM(B27:M27)</f>
        <v>2489790</v>
      </c>
      <c r="O27" s="182">
        <f>MAX(B27:M27)</f>
        <v>238022</v>
      </c>
      <c r="P27" s="182">
        <f>SUM(B27:M27)/12</f>
        <v>207482.5</v>
      </c>
      <c r="Q27" s="180">
        <f t="shared" ref="Q27:Q32" si="5">$P27/$P$36</f>
        <v>5.6001733582034374E-3</v>
      </c>
    </row>
    <row r="28" spans="1:17" x14ac:dyDescent="0.2">
      <c r="A28" s="140" t="s">
        <v>34</v>
      </c>
      <c r="B28" s="182">
        <v>102096</v>
      </c>
      <c r="C28" s="182">
        <v>111487</v>
      </c>
      <c r="D28" s="182">
        <v>112607</v>
      </c>
      <c r="E28" s="182">
        <v>126051</v>
      </c>
      <c r="F28" s="182">
        <v>135351</v>
      </c>
      <c r="G28" s="182">
        <v>137906</v>
      </c>
      <c r="H28" s="182">
        <v>148604</v>
      </c>
      <c r="I28" s="182">
        <v>144516</v>
      </c>
      <c r="J28" s="182">
        <v>135020</v>
      </c>
      <c r="K28" s="182">
        <v>125289</v>
      </c>
      <c r="L28" s="182">
        <v>86408</v>
      </c>
      <c r="M28" s="182">
        <v>111909</v>
      </c>
      <c r="N28" s="182">
        <f>SUM(B28:M28)</f>
        <v>1477244</v>
      </c>
      <c r="O28" s="182">
        <f>MAX(B28:M28)</f>
        <v>148604</v>
      </c>
      <c r="P28" s="182">
        <f>SUM(B28:M28)/12</f>
        <v>123103.66666666667</v>
      </c>
      <c r="Q28" s="180">
        <f t="shared" si="5"/>
        <v>3.3226988992508919E-3</v>
      </c>
    </row>
    <row r="29" spans="1:17" x14ac:dyDescent="0.2">
      <c r="A29" s="140" t="s">
        <v>35</v>
      </c>
      <c r="B29" s="182">
        <v>45000</v>
      </c>
      <c r="C29" s="182">
        <v>45000</v>
      </c>
      <c r="D29" s="182">
        <v>45000</v>
      </c>
      <c r="E29" s="182">
        <v>45000</v>
      </c>
      <c r="F29" s="182">
        <v>45000</v>
      </c>
      <c r="G29" s="182">
        <v>45000</v>
      </c>
      <c r="H29" s="182">
        <v>45000</v>
      </c>
      <c r="I29" s="182">
        <v>45000</v>
      </c>
      <c r="J29" s="182">
        <v>45000</v>
      </c>
      <c r="K29" s="182">
        <v>45000</v>
      </c>
      <c r="L29" s="182">
        <v>45000</v>
      </c>
      <c r="M29" s="182">
        <v>45000</v>
      </c>
      <c r="N29" s="182">
        <f>SUM(B29:M29)</f>
        <v>540000</v>
      </c>
      <c r="O29" s="182">
        <f>MAX(B29:M29)</f>
        <v>45000</v>
      </c>
      <c r="P29" s="182">
        <f>SUM(B29:M29)/12</f>
        <v>45000</v>
      </c>
      <c r="Q29" s="180">
        <f t="shared" si="5"/>
        <v>1.2145978630446167E-3</v>
      </c>
    </row>
    <row r="30" spans="1:17" x14ac:dyDescent="0.2">
      <c r="A30" s="140" t="s">
        <v>40</v>
      </c>
      <c r="B30" s="182">
        <v>13129</v>
      </c>
      <c r="C30" s="182">
        <v>11883</v>
      </c>
      <c r="D30" s="182">
        <v>10638</v>
      </c>
      <c r="E30" s="182">
        <v>11650</v>
      </c>
      <c r="F30" s="182">
        <v>13132</v>
      </c>
      <c r="G30" s="182">
        <v>13054</v>
      </c>
      <c r="H30" s="182">
        <v>13417</v>
      </c>
      <c r="I30" s="182">
        <v>13650</v>
      </c>
      <c r="J30" s="182">
        <v>12873</v>
      </c>
      <c r="K30" s="182">
        <v>12111</v>
      </c>
      <c r="L30" s="182">
        <v>8158</v>
      </c>
      <c r="M30" s="182">
        <v>10033</v>
      </c>
      <c r="N30" s="182">
        <f t="shared" ref="N30:N32" si="6">SUM(B30:M30)</f>
        <v>143728</v>
      </c>
      <c r="O30" s="182">
        <f t="shared" ref="O30:O32" si="7">MAX(B30:M30)</f>
        <v>13650</v>
      </c>
      <c r="P30" s="182">
        <f t="shared" ref="P30:P32" si="8">SUM(B30:M30)/12</f>
        <v>11977.333333333334</v>
      </c>
      <c r="Q30" s="180">
        <f t="shared" si="5"/>
        <v>3.2328096603643824E-4</v>
      </c>
    </row>
    <row r="31" spans="1:17" x14ac:dyDescent="0.2">
      <c r="A31" s="140" t="s">
        <v>33</v>
      </c>
      <c r="B31" s="182">
        <v>0</v>
      </c>
      <c r="C31" s="182">
        <v>0</v>
      </c>
      <c r="D31" s="182">
        <v>0</v>
      </c>
      <c r="E31" s="182">
        <v>0</v>
      </c>
      <c r="F31" s="182">
        <v>8313</v>
      </c>
      <c r="G31" s="182">
        <v>8105</v>
      </c>
      <c r="H31" s="182">
        <v>8571</v>
      </c>
      <c r="I31" s="182">
        <v>8455</v>
      </c>
      <c r="J31" s="182">
        <v>7681</v>
      </c>
      <c r="K31" s="182">
        <v>6442</v>
      </c>
      <c r="L31" s="182">
        <v>6021</v>
      </c>
      <c r="M31" s="182">
        <v>6464</v>
      </c>
      <c r="N31" s="182">
        <f t="shared" ref="N31" si="9">SUM(B31:M31)</f>
        <v>60052</v>
      </c>
      <c r="O31" s="182">
        <f t="shared" si="7"/>
        <v>8571</v>
      </c>
      <c r="P31" s="182">
        <f t="shared" si="8"/>
        <v>5004.333333333333</v>
      </c>
      <c r="Q31" s="180">
        <f t="shared" si="5"/>
        <v>1.350722793917691E-4</v>
      </c>
    </row>
    <row r="32" spans="1:17" x14ac:dyDescent="0.2">
      <c r="A32" s="175" t="s">
        <v>100</v>
      </c>
      <c r="B32" s="182">
        <v>1058</v>
      </c>
      <c r="C32" s="182">
        <v>1007</v>
      </c>
      <c r="D32" s="182">
        <v>990</v>
      </c>
      <c r="E32" s="182">
        <v>973</v>
      </c>
      <c r="F32" s="182">
        <v>975</v>
      </c>
      <c r="G32" s="182">
        <v>972</v>
      </c>
      <c r="H32" s="182">
        <v>986</v>
      </c>
      <c r="I32" s="182">
        <v>950</v>
      </c>
      <c r="J32" s="182">
        <v>949</v>
      </c>
      <c r="K32" s="182">
        <v>879</v>
      </c>
      <c r="L32" s="182">
        <v>1010</v>
      </c>
      <c r="M32" s="182">
        <v>1015</v>
      </c>
      <c r="N32" s="182">
        <f t="shared" si="6"/>
        <v>11764</v>
      </c>
      <c r="O32" s="182">
        <f t="shared" si="7"/>
        <v>1058</v>
      </c>
      <c r="P32" s="182">
        <f t="shared" si="8"/>
        <v>980.33333333333337</v>
      </c>
      <c r="Q32" s="180">
        <f t="shared" si="5"/>
        <v>2.6460239371957166E-5</v>
      </c>
    </row>
    <row r="33" spans="1:17" x14ac:dyDescent="0.2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255"/>
    </row>
    <row r="34" spans="1:17" x14ac:dyDescent="0.2">
      <c r="A34" s="174" t="s">
        <v>42</v>
      </c>
      <c r="B34" s="256">
        <f t="shared" ref="B34:O34" si="10">SUM(B27:B33)</f>
        <v>386248</v>
      </c>
      <c r="C34" s="256">
        <f t="shared" si="10"/>
        <v>376611</v>
      </c>
      <c r="D34" s="256">
        <f t="shared" si="10"/>
        <v>358621</v>
      </c>
      <c r="E34" s="256">
        <f t="shared" si="10"/>
        <v>391012</v>
      </c>
      <c r="F34" s="256">
        <f t="shared" si="10"/>
        <v>420408</v>
      </c>
      <c r="G34" s="256">
        <f t="shared" si="10"/>
        <v>423018</v>
      </c>
      <c r="H34" s="256">
        <f t="shared" si="10"/>
        <v>446148</v>
      </c>
      <c r="I34" s="256">
        <f t="shared" si="10"/>
        <v>450593</v>
      </c>
      <c r="J34" s="256">
        <f t="shared" si="10"/>
        <v>418347</v>
      </c>
      <c r="K34" s="256">
        <f t="shared" si="10"/>
        <v>404554</v>
      </c>
      <c r="L34" s="256">
        <f t="shared" si="10"/>
        <v>298102</v>
      </c>
      <c r="M34" s="256">
        <f t="shared" si="10"/>
        <v>348916</v>
      </c>
      <c r="N34" s="256">
        <f t="shared" si="10"/>
        <v>4722578</v>
      </c>
      <c r="O34" s="256">
        <f t="shared" si="10"/>
        <v>454905</v>
      </c>
      <c r="P34" s="256">
        <f>SUM(P27:P33)</f>
        <v>393548.16666666663</v>
      </c>
      <c r="Q34" s="184">
        <f>$P34/$P$36</f>
        <v>1.0622283605299109E-2</v>
      </c>
    </row>
    <row r="35" spans="1:17" x14ac:dyDescent="0.2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255"/>
    </row>
    <row r="36" spans="1:17" ht="13.5" thickBot="1" x14ac:dyDescent="0.25">
      <c r="A36" s="174" t="s">
        <v>14</v>
      </c>
      <c r="B36" s="257">
        <f t="shared" ref="B36:P36" si="11">B25+B34</f>
        <v>42438476</v>
      </c>
      <c r="C36" s="257">
        <f t="shared" si="11"/>
        <v>36818091</v>
      </c>
      <c r="D36" s="257">
        <f t="shared" si="11"/>
        <v>33966200</v>
      </c>
      <c r="E36" s="257">
        <f t="shared" si="11"/>
        <v>36677569</v>
      </c>
      <c r="F36" s="257">
        <f t="shared" si="11"/>
        <v>32503574</v>
      </c>
      <c r="G36" s="257">
        <f t="shared" si="11"/>
        <v>37235565</v>
      </c>
      <c r="H36" s="257">
        <f t="shared" si="11"/>
        <v>35869986</v>
      </c>
      <c r="I36" s="257">
        <f t="shared" si="11"/>
        <v>37359609</v>
      </c>
      <c r="J36" s="257">
        <f t="shared" si="11"/>
        <v>38310399</v>
      </c>
      <c r="K36" s="257">
        <f t="shared" si="11"/>
        <v>38739153</v>
      </c>
      <c r="L36" s="257">
        <f t="shared" si="11"/>
        <v>38800963</v>
      </c>
      <c r="M36" s="257">
        <f t="shared" si="11"/>
        <v>35872009</v>
      </c>
      <c r="N36" s="257">
        <f t="shared" si="11"/>
        <v>444591594</v>
      </c>
      <c r="O36" s="257">
        <f t="shared" si="11"/>
        <v>43611529</v>
      </c>
      <c r="P36" s="257">
        <f t="shared" si="11"/>
        <v>37049299.500000015</v>
      </c>
      <c r="Q36" s="196">
        <f>$P36/$P$36</f>
        <v>1</v>
      </c>
    </row>
    <row r="37" spans="1:17" ht="13.5" thickTop="1" x14ac:dyDescent="0.2"/>
  </sheetData>
  <pageMargins left="0.5" right="0.5" top="1" bottom="1" header="0.5" footer="0.5"/>
  <pageSetup scale="7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Q51"/>
  <sheetViews>
    <sheetView zoomScale="75" workbookViewId="0">
      <selection activeCell="A2" sqref="A2"/>
    </sheetView>
  </sheetViews>
  <sheetFormatPr defaultColWidth="9.140625" defaultRowHeight="12.75" x14ac:dyDescent="0.2"/>
  <cols>
    <col min="1" max="1" width="16.7109375" style="175" customWidth="1"/>
    <col min="2" max="3" width="9.140625" style="175" customWidth="1"/>
    <col min="4" max="15" width="10.7109375" style="175" customWidth="1"/>
    <col min="16" max="16" width="12.7109375" style="175" customWidth="1"/>
    <col min="17" max="18" width="10.7109375" style="175" customWidth="1"/>
    <col min="19" max="19" width="8.7109375" style="175" customWidth="1"/>
    <col min="20" max="16384" width="9.140625" style="175"/>
  </cols>
  <sheetData>
    <row r="1" spans="1:17" ht="15" x14ac:dyDescent="0.25">
      <c r="A1" s="324" t="s">
        <v>217</v>
      </c>
    </row>
    <row r="2" spans="1:17" ht="15" x14ac:dyDescent="0.25">
      <c r="A2" s="324" t="s">
        <v>206</v>
      </c>
    </row>
    <row r="3" spans="1:17" s="249" customFormat="1" ht="23.25" x14ac:dyDescent="0.35">
      <c r="A3" s="248" t="s">
        <v>127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</row>
    <row r="4" spans="1:17" s="140" customFormat="1" ht="13.5" thickBot="1" x14ac:dyDescent="0.25"/>
    <row r="5" spans="1:17" ht="24.75" thickBot="1" x14ac:dyDescent="0.25">
      <c r="A5" s="250"/>
      <c r="B5" s="157">
        <v>41275</v>
      </c>
      <c r="C5" s="157">
        <v>41306</v>
      </c>
      <c r="D5" s="157">
        <v>41334</v>
      </c>
      <c r="E5" s="157">
        <v>41365</v>
      </c>
      <c r="F5" s="157">
        <v>41395</v>
      </c>
      <c r="G5" s="157">
        <v>41426</v>
      </c>
      <c r="H5" s="157">
        <v>41456</v>
      </c>
      <c r="I5" s="157">
        <v>41487</v>
      </c>
      <c r="J5" s="157">
        <v>41518</v>
      </c>
      <c r="K5" s="157">
        <v>41548</v>
      </c>
      <c r="L5" s="157">
        <v>41579</v>
      </c>
      <c r="M5" s="157">
        <v>41609</v>
      </c>
      <c r="N5" s="251" t="s">
        <v>124</v>
      </c>
      <c r="O5" s="251" t="s">
        <v>125</v>
      </c>
      <c r="P5" s="251" t="s">
        <v>60</v>
      </c>
      <c r="Q5" s="251" t="s">
        <v>126</v>
      </c>
    </row>
    <row r="6" spans="1:17" x14ac:dyDescent="0.2">
      <c r="A6" s="252"/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</row>
    <row r="7" spans="1:17" x14ac:dyDescent="0.2">
      <c r="A7" s="175" t="s">
        <v>28</v>
      </c>
      <c r="B7" s="182">
        <v>27475476</v>
      </c>
      <c r="C7" s="182">
        <v>27923233</v>
      </c>
      <c r="D7" s="182">
        <v>27043129</v>
      </c>
      <c r="E7" s="182">
        <v>23406572</v>
      </c>
      <c r="F7" s="182">
        <v>24166010</v>
      </c>
      <c r="G7" s="182">
        <v>23029873</v>
      </c>
      <c r="H7" s="182">
        <v>25081511</v>
      </c>
      <c r="I7" s="182">
        <v>25459602</v>
      </c>
      <c r="J7" s="182">
        <v>28027482</v>
      </c>
      <c r="K7" s="182">
        <v>25502217</v>
      </c>
      <c r="L7" s="182">
        <v>27060209</v>
      </c>
      <c r="M7" s="182">
        <v>25722581</v>
      </c>
      <c r="N7" s="182">
        <f t="shared" ref="N7:N23" si="0">SUM(B7:M7)</f>
        <v>309897895</v>
      </c>
      <c r="O7" s="182">
        <f t="shared" ref="O7:O23" si="1">MAX(B7:M7)</f>
        <v>28027482</v>
      </c>
      <c r="P7" s="182">
        <f t="shared" ref="P7:P23" si="2">SUM(B7:M7)/12</f>
        <v>25824824.583333332</v>
      </c>
      <c r="Q7" s="180">
        <f t="shared" ref="Q7:Q23" si="3">$P7/$P$36</f>
        <v>0.69350808002711517</v>
      </c>
    </row>
    <row r="8" spans="1:17" x14ac:dyDescent="0.2">
      <c r="A8" s="181" t="s">
        <v>20</v>
      </c>
      <c r="B8" s="182">
        <v>5075959</v>
      </c>
      <c r="C8" s="182">
        <v>5560669</v>
      </c>
      <c r="D8" s="182">
        <v>5040997</v>
      </c>
      <c r="E8" s="182">
        <v>5227747</v>
      </c>
      <c r="F8" s="182">
        <v>5571337</v>
      </c>
      <c r="G8" s="182">
        <v>5616268</v>
      </c>
      <c r="H8" s="182">
        <v>5486164</v>
      </c>
      <c r="I8" s="182">
        <v>5769811</v>
      </c>
      <c r="J8" s="182">
        <v>6302910</v>
      </c>
      <c r="K8" s="182">
        <v>5523735</v>
      </c>
      <c r="L8" s="182">
        <v>5582497</v>
      </c>
      <c r="M8" s="182">
        <v>5424970</v>
      </c>
      <c r="N8" s="182">
        <f t="shared" si="0"/>
        <v>66183064</v>
      </c>
      <c r="O8" s="182">
        <f t="shared" si="1"/>
        <v>6302910</v>
      </c>
      <c r="P8" s="182">
        <f t="shared" si="2"/>
        <v>5515255.333333333</v>
      </c>
      <c r="Q8" s="180">
        <f t="shared" si="3"/>
        <v>0.14810842663178361</v>
      </c>
    </row>
    <row r="9" spans="1:17" x14ac:dyDescent="0.2">
      <c r="A9" s="175" t="s">
        <v>24</v>
      </c>
      <c r="B9" s="182">
        <v>1822066</v>
      </c>
      <c r="C9" s="182">
        <v>2032594</v>
      </c>
      <c r="D9" s="182">
        <v>1819436</v>
      </c>
      <c r="E9" s="182">
        <v>1772656</v>
      </c>
      <c r="F9" s="182">
        <v>1928147</v>
      </c>
      <c r="G9" s="182">
        <v>1949022</v>
      </c>
      <c r="H9" s="182">
        <v>1984997</v>
      </c>
      <c r="I9" s="182">
        <v>1984318</v>
      </c>
      <c r="J9" s="182">
        <v>2199307</v>
      </c>
      <c r="K9" s="182">
        <v>1947806</v>
      </c>
      <c r="L9" s="182">
        <v>2049212</v>
      </c>
      <c r="M9" s="182">
        <v>1933033</v>
      </c>
      <c r="N9" s="182">
        <f t="shared" si="0"/>
        <v>23422594</v>
      </c>
      <c r="O9" s="182">
        <f t="shared" si="1"/>
        <v>2199307</v>
      </c>
      <c r="P9" s="182">
        <f t="shared" si="2"/>
        <v>1951882.8333333333</v>
      </c>
      <c r="Q9" s="180">
        <f t="shared" si="3"/>
        <v>5.2416484449481743E-2</v>
      </c>
    </row>
    <row r="10" spans="1:17" x14ac:dyDescent="0.2">
      <c r="A10" s="175" t="s">
        <v>21</v>
      </c>
      <c r="B10" s="182">
        <v>2006979</v>
      </c>
      <c r="C10" s="182">
        <v>2174824</v>
      </c>
      <c r="D10" s="182">
        <v>1977752</v>
      </c>
      <c r="E10" s="182">
        <v>2017806</v>
      </c>
      <c r="F10" s="182">
        <v>2188417</v>
      </c>
      <c r="G10" s="182">
        <v>2227775</v>
      </c>
      <c r="H10" s="182">
        <v>2105714</v>
      </c>
      <c r="I10" s="182">
        <v>2207396</v>
      </c>
      <c r="J10" s="182">
        <v>2436863</v>
      </c>
      <c r="K10" s="182">
        <v>2134464</v>
      </c>
      <c r="L10" s="182">
        <v>2162349</v>
      </c>
      <c r="M10" s="182">
        <v>2159376</v>
      </c>
      <c r="N10" s="182">
        <f t="shared" si="0"/>
        <v>25799715</v>
      </c>
      <c r="O10" s="182">
        <f t="shared" si="1"/>
        <v>2436863</v>
      </c>
      <c r="P10" s="182">
        <f t="shared" si="2"/>
        <v>2149976.25</v>
      </c>
      <c r="Q10" s="180">
        <f t="shared" si="3"/>
        <v>5.7736148271987336E-2</v>
      </c>
    </row>
    <row r="11" spans="1:17" x14ac:dyDescent="0.2">
      <c r="A11" s="175" t="s">
        <v>17</v>
      </c>
      <c r="B11" s="182">
        <v>444782</v>
      </c>
      <c r="C11" s="182">
        <v>472220</v>
      </c>
      <c r="D11" s="182">
        <v>414095</v>
      </c>
      <c r="E11" s="182">
        <v>452550</v>
      </c>
      <c r="F11" s="182">
        <v>462553</v>
      </c>
      <c r="G11" s="182">
        <v>466586</v>
      </c>
      <c r="H11" s="182">
        <v>465006</v>
      </c>
      <c r="I11" s="182">
        <v>463695</v>
      </c>
      <c r="J11" s="182">
        <v>504734</v>
      </c>
      <c r="K11" s="182">
        <v>441738</v>
      </c>
      <c r="L11" s="182">
        <v>448957</v>
      </c>
      <c r="M11" s="182">
        <v>445264</v>
      </c>
      <c r="N11" s="182">
        <f t="shared" si="0"/>
        <v>5482180</v>
      </c>
      <c r="O11" s="182">
        <f t="shared" si="1"/>
        <v>504734</v>
      </c>
      <c r="P11" s="182">
        <f t="shared" si="2"/>
        <v>456848.33333333331</v>
      </c>
      <c r="Q11" s="180">
        <f t="shared" si="3"/>
        <v>1.2268350923013045E-2</v>
      </c>
    </row>
    <row r="12" spans="1:17" x14ac:dyDescent="0.2">
      <c r="A12" s="181" t="s">
        <v>22</v>
      </c>
      <c r="B12" s="182">
        <v>413634</v>
      </c>
      <c r="C12" s="182">
        <v>442732</v>
      </c>
      <c r="D12" s="182">
        <v>391085</v>
      </c>
      <c r="E12" s="182">
        <v>413501</v>
      </c>
      <c r="F12" s="182">
        <v>421937</v>
      </c>
      <c r="G12" s="182">
        <v>434381</v>
      </c>
      <c r="H12" s="182">
        <v>438336</v>
      </c>
      <c r="I12" s="182">
        <v>444070</v>
      </c>
      <c r="J12" s="182">
        <v>467940</v>
      </c>
      <c r="K12" s="182">
        <v>421938</v>
      </c>
      <c r="L12" s="182">
        <v>434236</v>
      </c>
      <c r="M12" s="182">
        <v>420649</v>
      </c>
      <c r="N12" s="182">
        <f t="shared" si="0"/>
        <v>5144439</v>
      </c>
      <c r="O12" s="182">
        <f t="shared" si="1"/>
        <v>467940</v>
      </c>
      <c r="P12" s="182">
        <f t="shared" si="2"/>
        <v>428703.25</v>
      </c>
      <c r="Q12" s="180">
        <f t="shared" si="3"/>
        <v>1.151253387412203E-2</v>
      </c>
    </row>
    <row r="13" spans="1:17" x14ac:dyDescent="0.2">
      <c r="A13" s="175" t="s">
        <v>19</v>
      </c>
      <c r="B13" s="182">
        <v>198261</v>
      </c>
      <c r="C13" s="182">
        <v>200653</v>
      </c>
      <c r="D13" s="182">
        <v>197636</v>
      </c>
      <c r="E13" s="182">
        <v>199707</v>
      </c>
      <c r="F13" s="182">
        <v>202956</v>
      </c>
      <c r="G13" s="182">
        <v>207432</v>
      </c>
      <c r="H13" s="182">
        <v>206131</v>
      </c>
      <c r="I13" s="182">
        <v>212712</v>
      </c>
      <c r="J13" s="182">
        <v>212144</v>
      </c>
      <c r="K13" s="182">
        <v>201003</v>
      </c>
      <c r="L13" s="182">
        <v>200121</v>
      </c>
      <c r="M13" s="182">
        <v>197069</v>
      </c>
      <c r="N13" s="182">
        <f t="shared" si="0"/>
        <v>2435825</v>
      </c>
      <c r="O13" s="182">
        <f t="shared" si="1"/>
        <v>212712</v>
      </c>
      <c r="P13" s="182">
        <f t="shared" si="2"/>
        <v>202985.41666666666</v>
      </c>
      <c r="Q13" s="180">
        <f t="shared" si="3"/>
        <v>5.4510351515361143E-3</v>
      </c>
    </row>
    <row r="14" spans="1:17" x14ac:dyDescent="0.2">
      <c r="A14" s="181" t="s">
        <v>29</v>
      </c>
      <c r="B14" s="182">
        <v>101427</v>
      </c>
      <c r="C14" s="182">
        <v>122596</v>
      </c>
      <c r="D14" s="182">
        <v>113568</v>
      </c>
      <c r="E14" s="182">
        <v>124832</v>
      </c>
      <c r="F14" s="182">
        <v>131319</v>
      </c>
      <c r="G14" s="182">
        <v>137234</v>
      </c>
      <c r="H14" s="182">
        <v>112257</v>
      </c>
      <c r="I14" s="182">
        <v>143265</v>
      </c>
      <c r="J14" s="182">
        <v>124161</v>
      </c>
      <c r="K14" s="182">
        <v>109060</v>
      </c>
      <c r="L14" s="182">
        <v>109373</v>
      </c>
      <c r="M14" s="182">
        <v>102154</v>
      </c>
      <c r="N14" s="182">
        <f t="shared" si="0"/>
        <v>1431246</v>
      </c>
      <c r="O14" s="182">
        <f t="shared" si="1"/>
        <v>143265</v>
      </c>
      <c r="P14" s="182">
        <f t="shared" si="2"/>
        <v>119270.5</v>
      </c>
      <c r="Q14" s="180">
        <f t="shared" si="3"/>
        <v>3.2029280660537834E-3</v>
      </c>
    </row>
    <row r="15" spans="1:17" x14ac:dyDescent="0.2">
      <c r="A15" s="181" t="s">
        <v>88</v>
      </c>
      <c r="B15" s="182">
        <v>57647</v>
      </c>
      <c r="C15" s="182">
        <v>55295</v>
      </c>
      <c r="D15" s="182">
        <v>85041</v>
      </c>
      <c r="E15" s="182">
        <v>93910</v>
      </c>
      <c r="F15" s="182">
        <v>100347</v>
      </c>
      <c r="G15" s="182">
        <v>56057</v>
      </c>
      <c r="H15" s="182">
        <v>57792</v>
      </c>
      <c r="I15" s="182">
        <v>63990</v>
      </c>
      <c r="J15" s="182">
        <v>98828</v>
      </c>
      <c r="K15" s="182">
        <v>84405</v>
      </c>
      <c r="L15" s="182">
        <v>95466</v>
      </c>
      <c r="M15" s="182">
        <v>75212</v>
      </c>
      <c r="N15" s="182">
        <f t="shared" si="0"/>
        <v>923990</v>
      </c>
      <c r="O15" s="182">
        <f t="shared" si="1"/>
        <v>100347</v>
      </c>
      <c r="P15" s="182">
        <f t="shared" si="2"/>
        <v>76999.166666666672</v>
      </c>
      <c r="Q15" s="180">
        <f t="shared" si="3"/>
        <v>2.0677601919956707E-3</v>
      </c>
    </row>
    <row r="16" spans="1:17" x14ac:dyDescent="0.2">
      <c r="A16" s="175" t="s">
        <v>18</v>
      </c>
      <c r="B16" s="182">
        <v>30381</v>
      </c>
      <c r="C16" s="182">
        <v>32149</v>
      </c>
      <c r="D16" s="182">
        <v>28622</v>
      </c>
      <c r="E16" s="182">
        <v>30971</v>
      </c>
      <c r="F16" s="182">
        <v>31447</v>
      </c>
      <c r="G16" s="182">
        <v>32356</v>
      </c>
      <c r="H16" s="182">
        <v>31449</v>
      </c>
      <c r="I16" s="182">
        <v>32503</v>
      </c>
      <c r="J16" s="182">
        <v>33959</v>
      </c>
      <c r="K16" s="182">
        <v>30459</v>
      </c>
      <c r="L16" s="182">
        <v>31019</v>
      </c>
      <c r="M16" s="182">
        <v>31289</v>
      </c>
      <c r="N16" s="182">
        <f t="shared" si="0"/>
        <v>376604</v>
      </c>
      <c r="O16" s="182">
        <f t="shared" si="1"/>
        <v>33959</v>
      </c>
      <c r="P16" s="182">
        <f t="shared" si="2"/>
        <v>31383.666666666668</v>
      </c>
      <c r="Q16" s="180">
        <f t="shared" si="3"/>
        <v>8.4278699915187126E-4</v>
      </c>
    </row>
    <row r="17" spans="1:17" x14ac:dyDescent="0.2">
      <c r="A17" s="175" t="s">
        <v>23</v>
      </c>
      <c r="B17" s="182">
        <v>38641</v>
      </c>
      <c r="C17" s="182">
        <v>32524</v>
      </c>
      <c r="D17" s="182">
        <v>36469</v>
      </c>
      <c r="E17" s="182">
        <v>38875</v>
      </c>
      <c r="F17" s="182">
        <v>33109</v>
      </c>
      <c r="G17" s="182">
        <v>33596</v>
      </c>
      <c r="H17" s="182">
        <v>30181</v>
      </c>
      <c r="I17" s="182">
        <v>30019</v>
      </c>
      <c r="J17" s="182">
        <v>27830</v>
      </c>
      <c r="K17" s="182">
        <v>30532</v>
      </c>
      <c r="L17" s="182">
        <v>27424</v>
      </c>
      <c r="M17" s="182">
        <v>35760</v>
      </c>
      <c r="N17" s="182">
        <f t="shared" si="0"/>
        <v>394960</v>
      </c>
      <c r="O17" s="182">
        <f t="shared" si="1"/>
        <v>38875</v>
      </c>
      <c r="P17" s="182">
        <f t="shared" si="2"/>
        <v>32913.333333333336</v>
      </c>
      <c r="Q17" s="180">
        <f t="shared" si="3"/>
        <v>8.8386515593308378E-4</v>
      </c>
    </row>
    <row r="18" spans="1:17" x14ac:dyDescent="0.2">
      <c r="A18" s="181" t="s">
        <v>26</v>
      </c>
      <c r="B18" s="182">
        <v>20401</v>
      </c>
      <c r="C18" s="182">
        <v>23508</v>
      </c>
      <c r="D18" s="182">
        <v>22720</v>
      </c>
      <c r="E18" s="182">
        <v>24943</v>
      </c>
      <c r="F18" s="182">
        <v>25372</v>
      </c>
      <c r="G18" s="182">
        <v>27183</v>
      </c>
      <c r="H18" s="182">
        <v>25980</v>
      </c>
      <c r="I18" s="182">
        <v>24928</v>
      </c>
      <c r="J18" s="182">
        <v>23906</v>
      </c>
      <c r="K18" s="182">
        <v>21779</v>
      </c>
      <c r="L18" s="182">
        <v>21313</v>
      </c>
      <c r="M18" s="182">
        <v>20130</v>
      </c>
      <c r="N18" s="182">
        <f t="shared" si="0"/>
        <v>282163</v>
      </c>
      <c r="O18" s="182">
        <f t="shared" si="1"/>
        <v>27183</v>
      </c>
      <c r="P18" s="182">
        <f t="shared" si="2"/>
        <v>23513.583333333332</v>
      </c>
      <c r="Q18" s="180">
        <f t="shared" si="3"/>
        <v>6.3144126998568632E-4</v>
      </c>
    </row>
    <row r="19" spans="1:17" x14ac:dyDescent="0.2">
      <c r="A19" s="181" t="s">
        <v>62</v>
      </c>
      <c r="B19" s="182">
        <v>16306</v>
      </c>
      <c r="C19" s="182">
        <v>17819</v>
      </c>
      <c r="D19" s="182">
        <v>17998</v>
      </c>
      <c r="E19" s="182">
        <v>18696</v>
      </c>
      <c r="F19" s="182">
        <v>18452</v>
      </c>
      <c r="G19" s="182">
        <v>20116</v>
      </c>
      <c r="H19" s="182">
        <v>20577</v>
      </c>
      <c r="I19" s="182">
        <v>21020</v>
      </c>
      <c r="J19" s="182">
        <v>20990</v>
      </c>
      <c r="K19" s="182">
        <v>19594</v>
      </c>
      <c r="L19" s="182">
        <v>18280</v>
      </c>
      <c r="M19" s="182">
        <v>17733</v>
      </c>
      <c r="N19" s="182">
        <f t="shared" si="0"/>
        <v>227581</v>
      </c>
      <c r="O19" s="182">
        <f t="shared" si="1"/>
        <v>21020</v>
      </c>
      <c r="P19" s="182">
        <f t="shared" si="2"/>
        <v>18965.083333333332</v>
      </c>
      <c r="Q19" s="180">
        <f t="shared" si="3"/>
        <v>5.0929439956554361E-4</v>
      </c>
    </row>
    <row r="20" spans="1:17" x14ac:dyDescent="0.2">
      <c r="A20" s="181" t="s">
        <v>27</v>
      </c>
      <c r="B20" s="182">
        <v>12137</v>
      </c>
      <c r="C20" s="182">
        <v>15897</v>
      </c>
      <c r="D20" s="182">
        <v>16406</v>
      </c>
      <c r="E20" s="182">
        <v>14536</v>
      </c>
      <c r="F20" s="182">
        <v>14187</v>
      </c>
      <c r="G20" s="182">
        <v>11423</v>
      </c>
      <c r="H20" s="182">
        <v>9712</v>
      </c>
      <c r="I20" s="182">
        <v>10989</v>
      </c>
      <c r="J20" s="182">
        <v>15223</v>
      </c>
      <c r="K20" s="182">
        <v>13668</v>
      </c>
      <c r="L20" s="182">
        <v>16020</v>
      </c>
      <c r="M20" s="182">
        <v>15474</v>
      </c>
      <c r="N20" s="182">
        <f t="shared" si="0"/>
        <v>165672</v>
      </c>
      <c r="O20" s="182">
        <f t="shared" si="1"/>
        <v>16406</v>
      </c>
      <c r="P20" s="182">
        <f t="shared" si="2"/>
        <v>13806</v>
      </c>
      <c r="Q20" s="180">
        <f t="shared" si="3"/>
        <v>3.7075072947575919E-4</v>
      </c>
    </row>
    <row r="21" spans="1:17" x14ac:dyDescent="0.2">
      <c r="A21" s="181" t="s">
        <v>94</v>
      </c>
      <c r="B21" s="182">
        <v>1397</v>
      </c>
      <c r="C21" s="182">
        <v>1654</v>
      </c>
      <c r="D21" s="182">
        <v>4875</v>
      </c>
      <c r="E21" s="182">
        <v>4501</v>
      </c>
      <c r="F21" s="182">
        <v>4240</v>
      </c>
      <c r="G21" s="182">
        <v>4402</v>
      </c>
      <c r="H21" s="182">
        <v>4910</v>
      </c>
      <c r="I21" s="182">
        <v>5174</v>
      </c>
      <c r="J21" s="182">
        <v>4549</v>
      </c>
      <c r="K21" s="182">
        <v>6260</v>
      </c>
      <c r="L21" s="182">
        <v>3911</v>
      </c>
      <c r="M21" s="182">
        <v>6779</v>
      </c>
      <c r="N21" s="182">
        <f t="shared" si="0"/>
        <v>52652</v>
      </c>
      <c r="O21" s="182">
        <f t="shared" si="1"/>
        <v>6779</v>
      </c>
      <c r="P21" s="182">
        <f t="shared" si="2"/>
        <v>4387.666666666667</v>
      </c>
      <c r="Q21" s="180">
        <f t="shared" si="3"/>
        <v>1.1782780076511223E-4</v>
      </c>
    </row>
    <row r="22" spans="1:17" x14ac:dyDescent="0.2">
      <c r="A22" s="181" t="s">
        <v>63</v>
      </c>
      <c r="B22" s="182">
        <v>3135</v>
      </c>
      <c r="C22" s="182">
        <v>3248</v>
      </c>
      <c r="D22" s="182">
        <v>2845</v>
      </c>
      <c r="E22" s="182">
        <v>3051</v>
      </c>
      <c r="F22" s="182">
        <v>2966</v>
      </c>
      <c r="G22" s="182">
        <v>6359</v>
      </c>
      <c r="H22" s="182">
        <v>7002</v>
      </c>
      <c r="I22" s="182">
        <v>7135</v>
      </c>
      <c r="J22" s="182">
        <v>7163</v>
      </c>
      <c r="K22" s="182">
        <v>1277</v>
      </c>
      <c r="L22" s="182">
        <v>1257</v>
      </c>
      <c r="M22" s="182">
        <v>1285</v>
      </c>
      <c r="N22" s="182">
        <f t="shared" si="0"/>
        <v>46723</v>
      </c>
      <c r="O22" s="182">
        <f t="shared" si="1"/>
        <v>7163</v>
      </c>
      <c r="P22" s="182">
        <f t="shared" si="2"/>
        <v>3893.5833333333335</v>
      </c>
      <c r="Q22" s="180">
        <f t="shared" si="3"/>
        <v>1.045595292704615E-4</v>
      </c>
    </row>
    <row r="23" spans="1:17" x14ac:dyDescent="0.2">
      <c r="A23" s="181" t="s">
        <v>30</v>
      </c>
      <c r="B23" s="182">
        <v>3527</v>
      </c>
      <c r="C23" s="182">
        <v>3908</v>
      </c>
      <c r="D23" s="182">
        <v>3544</v>
      </c>
      <c r="E23" s="182">
        <v>3655</v>
      </c>
      <c r="F23" s="182">
        <v>3542</v>
      </c>
      <c r="G23" s="182">
        <v>3199</v>
      </c>
      <c r="H23" s="182">
        <v>3506</v>
      </c>
      <c r="I23" s="182">
        <v>3512</v>
      </c>
      <c r="J23" s="182">
        <v>3473</v>
      </c>
      <c r="K23" s="182">
        <v>3507</v>
      </c>
      <c r="L23" s="182">
        <v>3625</v>
      </c>
      <c r="M23" s="182">
        <v>3517</v>
      </c>
      <c r="N23" s="182">
        <f t="shared" si="0"/>
        <v>42515</v>
      </c>
      <c r="O23" s="182">
        <f t="shared" si="1"/>
        <v>3908</v>
      </c>
      <c r="P23" s="182">
        <f t="shared" si="2"/>
        <v>3542.9166666666665</v>
      </c>
      <c r="Q23" s="180">
        <f t="shared" si="3"/>
        <v>9.5142614706540042E-5</v>
      </c>
    </row>
    <row r="24" spans="1:17" x14ac:dyDescent="0.2">
      <c r="A24" s="17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255"/>
    </row>
    <row r="25" spans="1:17" x14ac:dyDescent="0.2">
      <c r="A25" s="174" t="s">
        <v>15</v>
      </c>
      <c r="B25" s="256">
        <f t="shared" ref="B25:P25" si="4">SUM(B7:B24)</f>
        <v>37722156</v>
      </c>
      <c r="C25" s="256">
        <f t="shared" si="4"/>
        <v>39115523</v>
      </c>
      <c r="D25" s="256">
        <f t="shared" si="4"/>
        <v>37216218</v>
      </c>
      <c r="E25" s="256">
        <f t="shared" si="4"/>
        <v>33848509</v>
      </c>
      <c r="F25" s="256">
        <f t="shared" si="4"/>
        <v>35306338</v>
      </c>
      <c r="G25" s="256">
        <f t="shared" si="4"/>
        <v>34263262</v>
      </c>
      <c r="H25" s="256">
        <f t="shared" si="4"/>
        <v>36071225</v>
      </c>
      <c r="I25" s="256">
        <f t="shared" si="4"/>
        <v>36884139</v>
      </c>
      <c r="J25" s="256">
        <f t="shared" si="4"/>
        <v>40511462</v>
      </c>
      <c r="K25" s="256">
        <f t="shared" si="4"/>
        <v>36493442</v>
      </c>
      <c r="L25" s="256">
        <f t="shared" si="4"/>
        <v>38265269</v>
      </c>
      <c r="M25" s="256">
        <f t="shared" si="4"/>
        <v>36612275</v>
      </c>
      <c r="N25" s="256">
        <f t="shared" si="4"/>
        <v>442309818</v>
      </c>
      <c r="O25" s="256">
        <f t="shared" si="4"/>
        <v>40550853</v>
      </c>
      <c r="P25" s="256">
        <f t="shared" si="4"/>
        <v>36859151.5</v>
      </c>
      <c r="Q25" s="184">
        <f>$P25/$P$36</f>
        <v>0.9898274160859426</v>
      </c>
    </row>
    <row r="26" spans="1:17" x14ac:dyDescent="0.2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255"/>
    </row>
    <row r="27" spans="1:17" x14ac:dyDescent="0.2">
      <c r="A27" s="174" t="s">
        <v>97</v>
      </c>
      <c r="B27" s="182">
        <v>172867</v>
      </c>
      <c r="C27" s="182">
        <v>194639</v>
      </c>
      <c r="D27" s="182">
        <v>196069</v>
      </c>
      <c r="E27" s="182">
        <v>223880</v>
      </c>
      <c r="F27" s="182">
        <v>224198</v>
      </c>
      <c r="G27" s="182">
        <v>231785</v>
      </c>
      <c r="H27" s="182">
        <v>226251</v>
      </c>
      <c r="I27" s="182">
        <v>236361</v>
      </c>
      <c r="J27" s="182">
        <v>227263</v>
      </c>
      <c r="K27" s="182">
        <v>220995</v>
      </c>
      <c r="L27" s="182">
        <v>200240</v>
      </c>
      <c r="M27" s="182">
        <v>186591</v>
      </c>
      <c r="N27" s="182">
        <f>SUM(B27:M27)</f>
        <v>2541139</v>
      </c>
      <c r="O27" s="182">
        <f>MAX(B27:M27)</f>
        <v>236361</v>
      </c>
      <c r="P27" s="182">
        <f>SUM(B27:M27)/12</f>
        <v>211761.58333333334</v>
      </c>
      <c r="Q27" s="180">
        <f t="shared" ref="Q27:Q32" si="5">$P27/$P$36</f>
        <v>5.6867131316655876E-3</v>
      </c>
    </row>
    <row r="28" spans="1:17" x14ac:dyDescent="0.2">
      <c r="A28" s="140" t="s">
        <v>34</v>
      </c>
      <c r="B28" s="182">
        <v>104213</v>
      </c>
      <c r="C28" s="182">
        <v>114437</v>
      </c>
      <c r="D28" s="182">
        <v>126051</v>
      </c>
      <c r="E28" s="182">
        <v>126807</v>
      </c>
      <c r="F28" s="182">
        <v>139147</v>
      </c>
      <c r="G28" s="182">
        <v>141451</v>
      </c>
      <c r="H28" s="182">
        <v>147695</v>
      </c>
      <c r="I28" s="182">
        <v>143002</v>
      </c>
      <c r="J28" s="182">
        <v>140826</v>
      </c>
      <c r="K28" s="182">
        <v>129638</v>
      </c>
      <c r="L28" s="182">
        <v>114961</v>
      </c>
      <c r="M28" s="182">
        <v>115885</v>
      </c>
      <c r="N28" s="182">
        <f>SUM(B28:M28)</f>
        <v>1544113</v>
      </c>
      <c r="O28" s="182">
        <f>MAX(B28:M28)</f>
        <v>147695</v>
      </c>
      <c r="P28" s="182">
        <f>SUM(B28:M28)/12</f>
        <v>128676.08333333333</v>
      </c>
      <c r="Q28" s="180">
        <f t="shared" si="5"/>
        <v>3.4555086021959228E-3</v>
      </c>
    </row>
    <row r="29" spans="1:17" x14ac:dyDescent="0.2">
      <c r="A29" s="140" t="s">
        <v>35</v>
      </c>
      <c r="B29" s="182">
        <v>45000</v>
      </c>
      <c r="C29" s="182">
        <v>45000</v>
      </c>
      <c r="D29" s="182">
        <v>45000</v>
      </c>
      <c r="E29" s="182">
        <v>45000</v>
      </c>
      <c r="F29" s="182">
        <v>45000</v>
      </c>
      <c r="G29" s="182">
        <v>0</v>
      </c>
      <c r="H29" s="182">
        <v>0</v>
      </c>
      <c r="I29" s="182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f>SUM(B29:M29)</f>
        <v>225000</v>
      </c>
      <c r="O29" s="182">
        <f>MAX(B29:M29)</f>
        <v>45000</v>
      </c>
      <c r="P29" s="182">
        <f>SUM(B29:M29)/12</f>
        <v>18750</v>
      </c>
      <c r="Q29" s="180">
        <f t="shared" si="5"/>
        <v>5.0351848309941214E-4</v>
      </c>
    </row>
    <row r="30" spans="1:17" x14ac:dyDescent="0.2">
      <c r="A30" s="140" t="s">
        <v>40</v>
      </c>
      <c r="B30" s="182">
        <v>8962</v>
      </c>
      <c r="C30" s="182">
        <v>10853</v>
      </c>
      <c r="D30" s="182">
        <v>11363</v>
      </c>
      <c r="E30" s="182">
        <v>11581</v>
      </c>
      <c r="F30" s="182">
        <v>12367</v>
      </c>
      <c r="G30" s="182">
        <v>13187</v>
      </c>
      <c r="H30" s="182">
        <v>12500</v>
      </c>
      <c r="I30" s="182">
        <v>13557</v>
      </c>
      <c r="J30" s="182">
        <v>13021</v>
      </c>
      <c r="K30" s="182">
        <v>11905</v>
      </c>
      <c r="L30" s="182">
        <v>10309</v>
      </c>
      <c r="M30" s="182">
        <v>9574</v>
      </c>
      <c r="N30" s="182">
        <f t="shared" ref="N30:N32" si="6">SUM(B30:M30)</f>
        <v>139179</v>
      </c>
      <c r="O30" s="182">
        <f t="shared" ref="O30:O32" si="7">MAX(B30:M30)</f>
        <v>13557</v>
      </c>
      <c r="P30" s="182">
        <f t="shared" ref="P30:P32" si="8">SUM(B30:M30)/12</f>
        <v>11598.25</v>
      </c>
      <c r="Q30" s="180">
        <f t="shared" si="5"/>
        <v>3.1146310648574708E-4</v>
      </c>
    </row>
    <row r="31" spans="1:17" x14ac:dyDescent="0.2">
      <c r="A31" s="140" t="s">
        <v>33</v>
      </c>
      <c r="B31" s="182">
        <v>6529</v>
      </c>
      <c r="C31" s="182">
        <v>6727</v>
      </c>
      <c r="D31" s="182">
        <v>6742</v>
      </c>
      <c r="E31" s="182">
        <v>6324</v>
      </c>
      <c r="F31" s="182">
        <v>7555</v>
      </c>
      <c r="G31" s="182">
        <v>7987</v>
      </c>
      <c r="H31" s="182">
        <v>8255</v>
      </c>
      <c r="I31" s="182">
        <v>8389</v>
      </c>
      <c r="J31" s="182">
        <v>8163</v>
      </c>
      <c r="K31" s="182">
        <v>7220</v>
      </c>
      <c r="L31" s="182">
        <v>5707</v>
      </c>
      <c r="M31" s="182">
        <v>6401</v>
      </c>
      <c r="N31" s="182">
        <f>SUM(B31:M31)</f>
        <v>85999</v>
      </c>
      <c r="O31" s="182">
        <f t="shared" si="7"/>
        <v>8389</v>
      </c>
      <c r="P31" s="182">
        <f t="shared" si="8"/>
        <v>7166.583333333333</v>
      </c>
      <c r="Q31" s="180">
        <f t="shared" si="5"/>
        <v>1.9245371568029488E-4</v>
      </c>
    </row>
    <row r="32" spans="1:17" x14ac:dyDescent="0.2">
      <c r="A32" s="175" t="s">
        <v>100</v>
      </c>
      <c r="B32" s="182">
        <v>986</v>
      </c>
      <c r="C32" s="182">
        <v>602</v>
      </c>
      <c r="D32" s="182">
        <v>980</v>
      </c>
      <c r="E32" s="182">
        <v>978</v>
      </c>
      <c r="F32" s="182">
        <v>1001</v>
      </c>
      <c r="G32" s="182">
        <v>972</v>
      </c>
      <c r="H32" s="182">
        <v>951</v>
      </c>
      <c r="I32" s="182">
        <v>949</v>
      </c>
      <c r="J32" s="182">
        <v>919</v>
      </c>
      <c r="K32" s="182">
        <v>960</v>
      </c>
      <c r="L32" s="182">
        <v>947</v>
      </c>
      <c r="M32" s="182">
        <v>0</v>
      </c>
      <c r="N32" s="182">
        <f t="shared" si="6"/>
        <v>10245</v>
      </c>
      <c r="O32" s="182">
        <f t="shared" si="7"/>
        <v>1001</v>
      </c>
      <c r="P32" s="182">
        <f t="shared" si="8"/>
        <v>853.75</v>
      </c>
      <c r="Q32" s="180">
        <f t="shared" si="5"/>
        <v>2.29268749304599E-5</v>
      </c>
    </row>
    <row r="33" spans="1:17" x14ac:dyDescent="0.2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255"/>
    </row>
    <row r="34" spans="1:17" x14ac:dyDescent="0.2">
      <c r="A34" s="174" t="s">
        <v>42</v>
      </c>
      <c r="B34" s="256">
        <f t="shared" ref="B34:O34" si="9">SUM(B27:B33)</f>
        <v>338557</v>
      </c>
      <c r="C34" s="256">
        <f t="shared" si="9"/>
        <v>372258</v>
      </c>
      <c r="D34" s="256">
        <f t="shared" si="9"/>
        <v>386205</v>
      </c>
      <c r="E34" s="256">
        <f t="shared" si="9"/>
        <v>414570</v>
      </c>
      <c r="F34" s="256">
        <f t="shared" si="9"/>
        <v>429268</v>
      </c>
      <c r="G34" s="256">
        <f t="shared" si="9"/>
        <v>395382</v>
      </c>
      <c r="H34" s="256">
        <f t="shared" si="9"/>
        <v>395652</v>
      </c>
      <c r="I34" s="256">
        <f t="shared" si="9"/>
        <v>402258</v>
      </c>
      <c r="J34" s="256">
        <f t="shared" si="9"/>
        <v>390192</v>
      </c>
      <c r="K34" s="256">
        <f t="shared" si="9"/>
        <v>370718</v>
      </c>
      <c r="L34" s="256">
        <f t="shared" si="9"/>
        <v>332164</v>
      </c>
      <c r="M34" s="256">
        <f t="shared" si="9"/>
        <v>318451</v>
      </c>
      <c r="N34" s="256">
        <f t="shared" si="9"/>
        <v>4545675</v>
      </c>
      <c r="O34" s="256">
        <f t="shared" si="9"/>
        <v>452003</v>
      </c>
      <c r="P34" s="256">
        <f>SUM(P27:P33)</f>
        <v>378806.25</v>
      </c>
      <c r="Q34" s="184">
        <f>$P34/$P$36</f>
        <v>1.0172583914057424E-2</v>
      </c>
    </row>
    <row r="35" spans="1:17" x14ac:dyDescent="0.2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255"/>
    </row>
    <row r="36" spans="1:17" ht="13.5" thickBot="1" x14ac:dyDescent="0.25">
      <c r="A36" s="174" t="s">
        <v>14</v>
      </c>
      <c r="B36" s="257">
        <f t="shared" ref="B36:P36" si="10">B25+B34</f>
        <v>38060713</v>
      </c>
      <c r="C36" s="257">
        <f t="shared" si="10"/>
        <v>39487781</v>
      </c>
      <c r="D36" s="257">
        <f t="shared" si="10"/>
        <v>37602423</v>
      </c>
      <c r="E36" s="257">
        <f t="shared" si="10"/>
        <v>34263079</v>
      </c>
      <c r="F36" s="257">
        <f t="shared" si="10"/>
        <v>35735606</v>
      </c>
      <c r="G36" s="257">
        <f t="shared" si="10"/>
        <v>34658644</v>
      </c>
      <c r="H36" s="257">
        <f t="shared" si="10"/>
        <v>36466877</v>
      </c>
      <c r="I36" s="257">
        <f t="shared" si="10"/>
        <v>37286397</v>
      </c>
      <c r="J36" s="257">
        <f t="shared" si="10"/>
        <v>40901654</v>
      </c>
      <c r="K36" s="257">
        <f t="shared" si="10"/>
        <v>36864160</v>
      </c>
      <c r="L36" s="257">
        <f t="shared" si="10"/>
        <v>38597433</v>
      </c>
      <c r="M36" s="257">
        <f t="shared" si="10"/>
        <v>36930726</v>
      </c>
      <c r="N36" s="257">
        <f t="shared" si="10"/>
        <v>446855493</v>
      </c>
      <c r="O36" s="257">
        <f t="shared" si="10"/>
        <v>41002856</v>
      </c>
      <c r="P36" s="257">
        <f t="shared" si="10"/>
        <v>37237957.75</v>
      </c>
      <c r="Q36" s="196">
        <f>$P36/$P$36</f>
        <v>1</v>
      </c>
    </row>
    <row r="37" spans="1:17" ht="13.5" thickTop="1" x14ac:dyDescent="0.2"/>
    <row r="43" spans="1:17" x14ac:dyDescent="0.2"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213"/>
    </row>
    <row r="44" spans="1:17" x14ac:dyDescent="0.2"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213"/>
    </row>
    <row r="45" spans="1:17" x14ac:dyDescent="0.2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213"/>
    </row>
    <row r="46" spans="1:17" x14ac:dyDescent="0.2"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213"/>
    </row>
    <row r="47" spans="1:17" x14ac:dyDescent="0.2"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213"/>
    </row>
    <row r="48" spans="1:17" x14ac:dyDescent="0.2"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213"/>
    </row>
    <row r="49" spans="2:17" x14ac:dyDescent="0.2"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213"/>
    </row>
    <row r="50" spans="2:17" x14ac:dyDescent="0.2"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213"/>
    </row>
    <row r="51" spans="2:17" x14ac:dyDescent="0.2"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213"/>
    </row>
  </sheetData>
  <pageMargins left="0.5" right="0.5" top="1" bottom="1" header="0.5" footer="0.5"/>
  <pageSetup scale="7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AH56"/>
  <sheetViews>
    <sheetView zoomScale="75" workbookViewId="0">
      <selection activeCell="A2" sqref="A2"/>
    </sheetView>
  </sheetViews>
  <sheetFormatPr defaultColWidth="9.140625" defaultRowHeight="12.75" x14ac:dyDescent="0.2"/>
  <cols>
    <col min="1" max="1" width="16.28515625" style="175" bestFit="1" customWidth="1"/>
    <col min="2" max="2" width="16.28515625" style="175" customWidth="1"/>
    <col min="3" max="3" width="5.28515625" style="175" customWidth="1"/>
    <col min="4" max="4" width="12.7109375" style="175" bestFit="1" customWidth="1"/>
    <col min="5" max="13" width="12.7109375" style="175" customWidth="1"/>
    <col min="14" max="14" width="12.28515625" style="175" customWidth="1"/>
    <col min="15" max="15" width="12.7109375" style="175" customWidth="1"/>
    <col min="16" max="16" width="13.85546875" style="175" customWidth="1"/>
    <col min="17" max="17" width="12.28515625" style="175" customWidth="1"/>
    <col min="18" max="18" width="12.7109375" style="175" customWidth="1"/>
    <col min="19" max="19" width="9.42578125" style="175" customWidth="1"/>
    <col min="20" max="16384" width="9.140625" style="175"/>
  </cols>
  <sheetData>
    <row r="1" spans="1:34" ht="15" x14ac:dyDescent="0.25">
      <c r="A1" s="324" t="s">
        <v>218</v>
      </c>
    </row>
    <row r="2" spans="1:34" ht="15" x14ac:dyDescent="0.25">
      <c r="A2" s="324" t="s">
        <v>206</v>
      </c>
    </row>
    <row r="3" spans="1:34" s="249" customFormat="1" ht="23.25" x14ac:dyDescent="0.35">
      <c r="A3" s="248" t="s">
        <v>128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</row>
    <row r="4" spans="1:34" s="140" customFormat="1" ht="13.5" thickBot="1" x14ac:dyDescent="0.25"/>
    <row r="5" spans="1:34" ht="26.25" thickBot="1" x14ac:dyDescent="0.25">
      <c r="A5" s="258"/>
      <c r="B5" s="198">
        <v>41640</v>
      </c>
      <c r="C5" s="198">
        <v>41671</v>
      </c>
      <c r="D5" s="198">
        <v>41699</v>
      </c>
      <c r="E5" s="198">
        <v>41730</v>
      </c>
      <c r="F5" s="198">
        <v>41760</v>
      </c>
      <c r="G5" s="198">
        <v>41791</v>
      </c>
      <c r="H5" s="198">
        <v>41821</v>
      </c>
      <c r="I5" s="198">
        <v>41852</v>
      </c>
      <c r="J5" s="198">
        <v>41883</v>
      </c>
      <c r="K5" s="198">
        <v>41913</v>
      </c>
      <c r="L5" s="198">
        <v>41944</v>
      </c>
      <c r="M5" s="198">
        <v>41974</v>
      </c>
      <c r="N5" s="137" t="s">
        <v>124</v>
      </c>
      <c r="O5" s="137" t="s">
        <v>125</v>
      </c>
      <c r="P5" s="137" t="s">
        <v>60</v>
      </c>
      <c r="Q5" s="137" t="s">
        <v>126</v>
      </c>
    </row>
    <row r="6" spans="1:34" x14ac:dyDescent="0.2">
      <c r="A6" s="259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260"/>
    </row>
    <row r="7" spans="1:34" ht="15" x14ac:dyDescent="0.25">
      <c r="A7" s="140" t="s">
        <v>28</v>
      </c>
      <c r="B7" s="139">
        <v>31622291</v>
      </c>
      <c r="C7" s="139">
        <v>28595438</v>
      </c>
      <c r="D7" s="139">
        <v>24475525</v>
      </c>
      <c r="E7" s="139">
        <v>23465021</v>
      </c>
      <c r="F7" s="139">
        <v>24187937</v>
      </c>
      <c r="G7" s="139">
        <v>24936290</v>
      </c>
      <c r="H7" s="139">
        <v>24681439</v>
      </c>
      <c r="I7" s="139">
        <v>24975444</v>
      </c>
      <c r="J7" s="139">
        <v>28467250</v>
      </c>
      <c r="K7" s="139">
        <v>25549473</v>
      </c>
      <c r="L7" s="139">
        <v>28590187</v>
      </c>
      <c r="M7" s="139">
        <v>27467322</v>
      </c>
      <c r="N7" s="139">
        <f t="shared" ref="N7:N23" si="0">SUM(B7:M7)</f>
        <v>317013617</v>
      </c>
      <c r="O7" s="139">
        <f t="shared" ref="O7:O23" si="1">MAX(B7:M7)</f>
        <v>31622291</v>
      </c>
      <c r="P7" s="139">
        <f t="shared" ref="P7:P23" si="2">SUM(B7:M7)/12</f>
        <v>26417801.416666668</v>
      </c>
      <c r="Q7" s="213">
        <f t="shared" ref="Q7:Q23" si="3">$P7/$P$37</f>
        <v>0.67631870460996379</v>
      </c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</row>
    <row r="8" spans="1:34" ht="15" x14ac:dyDescent="0.25">
      <c r="A8" s="142" t="s">
        <v>20</v>
      </c>
      <c r="B8" s="139">
        <v>6282120</v>
      </c>
      <c r="C8" s="139">
        <v>5938173</v>
      </c>
      <c r="D8" s="139">
        <v>5366713</v>
      </c>
      <c r="E8" s="139">
        <v>5693067</v>
      </c>
      <c r="F8" s="139">
        <v>5852618</v>
      </c>
      <c r="G8" s="139">
        <v>6123182</v>
      </c>
      <c r="H8" s="139">
        <v>6001395</v>
      </c>
      <c r="I8" s="139">
        <v>6107329</v>
      </c>
      <c r="J8" s="139">
        <v>6484783</v>
      </c>
      <c r="K8" s="139">
        <v>6038095</v>
      </c>
      <c r="L8" s="139">
        <v>6298926</v>
      </c>
      <c r="M8" s="139">
        <v>5503340</v>
      </c>
      <c r="N8" s="139">
        <f t="shared" si="0"/>
        <v>71689741</v>
      </c>
      <c r="O8" s="139">
        <f t="shared" si="1"/>
        <v>6484783</v>
      </c>
      <c r="P8" s="139">
        <f t="shared" si="2"/>
        <v>5974145.083333333</v>
      </c>
      <c r="Q8" s="213">
        <f t="shared" si="3"/>
        <v>0.15294331273771058</v>
      </c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</row>
    <row r="9" spans="1:34" ht="15" x14ac:dyDescent="0.25">
      <c r="A9" s="140" t="s">
        <v>24</v>
      </c>
      <c r="B9" s="139">
        <v>2544592</v>
      </c>
      <c r="C9" s="139">
        <v>2358162</v>
      </c>
      <c r="D9" s="139">
        <v>2153780</v>
      </c>
      <c r="E9" s="139">
        <v>2253607</v>
      </c>
      <c r="F9" s="139">
        <v>2375819</v>
      </c>
      <c r="G9" s="139">
        <v>2591468</v>
      </c>
      <c r="H9" s="139">
        <v>2452926</v>
      </c>
      <c r="I9" s="139">
        <v>2081883</v>
      </c>
      <c r="J9" s="139">
        <v>2202357</v>
      </c>
      <c r="K9" s="139">
        <v>1999212</v>
      </c>
      <c r="L9" s="139">
        <v>2120300</v>
      </c>
      <c r="M9" s="139">
        <v>1905819</v>
      </c>
      <c r="N9" s="139">
        <f t="shared" si="0"/>
        <v>27039925</v>
      </c>
      <c r="O9" s="139">
        <f t="shared" si="1"/>
        <v>2591468</v>
      </c>
      <c r="P9" s="139">
        <f t="shared" si="2"/>
        <v>2253327.0833333335</v>
      </c>
      <c r="Q9" s="213">
        <f t="shared" si="3"/>
        <v>5.7687134142097668E-2</v>
      </c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</row>
    <row r="10" spans="1:34" ht="15" x14ac:dyDescent="0.25">
      <c r="A10" s="140" t="s">
        <v>21</v>
      </c>
      <c r="B10" s="139">
        <v>1901308</v>
      </c>
      <c r="C10" s="139">
        <v>1892253</v>
      </c>
      <c r="D10" s="139">
        <v>1729101</v>
      </c>
      <c r="E10" s="139">
        <v>1830157</v>
      </c>
      <c r="F10" s="139">
        <v>1965224</v>
      </c>
      <c r="G10" s="139">
        <v>2049263</v>
      </c>
      <c r="H10" s="139">
        <v>1987275</v>
      </c>
      <c r="I10" s="139">
        <v>2078038</v>
      </c>
      <c r="J10" s="139">
        <v>2198142</v>
      </c>
      <c r="K10" s="139">
        <v>2013645</v>
      </c>
      <c r="L10" s="139">
        <v>2074129</v>
      </c>
      <c r="M10" s="139">
        <v>1879991</v>
      </c>
      <c r="N10" s="139">
        <f t="shared" si="0"/>
        <v>23598526</v>
      </c>
      <c r="O10" s="139">
        <f t="shared" si="1"/>
        <v>2198142</v>
      </c>
      <c r="P10" s="139">
        <f t="shared" si="2"/>
        <v>1966543.8333333333</v>
      </c>
      <c r="Q10" s="213">
        <f t="shared" si="3"/>
        <v>5.0345233387954269E-2</v>
      </c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</row>
    <row r="11" spans="1:34" ht="15" x14ac:dyDescent="0.25">
      <c r="A11" s="142" t="s">
        <v>22</v>
      </c>
      <c r="B11" s="139">
        <v>446941</v>
      </c>
      <c r="C11" s="139">
        <v>426909</v>
      </c>
      <c r="D11" s="139">
        <v>392437</v>
      </c>
      <c r="E11" s="139">
        <v>413252</v>
      </c>
      <c r="F11" s="139">
        <v>423632</v>
      </c>
      <c r="G11" s="139">
        <v>452702</v>
      </c>
      <c r="H11" s="139">
        <v>432433</v>
      </c>
      <c r="I11" s="139">
        <v>461029</v>
      </c>
      <c r="J11" s="139">
        <v>480660</v>
      </c>
      <c r="K11" s="139">
        <v>436302</v>
      </c>
      <c r="L11" s="139">
        <v>452938</v>
      </c>
      <c r="M11" s="139">
        <v>413751</v>
      </c>
      <c r="N11" s="139">
        <f t="shared" si="0"/>
        <v>5232986</v>
      </c>
      <c r="O11" s="139">
        <f t="shared" si="1"/>
        <v>480660</v>
      </c>
      <c r="P11" s="139">
        <f t="shared" si="2"/>
        <v>436082.16666666669</v>
      </c>
      <c r="Q11" s="213">
        <f t="shared" si="3"/>
        <v>1.1164082938311372E-2</v>
      </c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</row>
    <row r="12" spans="1:34" ht="15" x14ac:dyDescent="0.25">
      <c r="A12" s="140" t="s">
        <v>17</v>
      </c>
      <c r="B12" s="139">
        <v>458243</v>
      </c>
      <c r="C12" s="139">
        <v>459732</v>
      </c>
      <c r="D12" s="139">
        <v>413518</v>
      </c>
      <c r="E12" s="139">
        <v>443271</v>
      </c>
      <c r="F12" s="139">
        <v>431321</v>
      </c>
      <c r="G12" s="139">
        <v>450407</v>
      </c>
      <c r="H12" s="139">
        <v>441994</v>
      </c>
      <c r="I12" s="139">
        <v>448459</v>
      </c>
      <c r="J12" s="139">
        <v>463776</v>
      </c>
      <c r="K12" s="139">
        <v>435039</v>
      </c>
      <c r="L12" s="139">
        <v>452544</v>
      </c>
      <c r="M12" s="139">
        <v>420066</v>
      </c>
      <c r="N12" s="139">
        <f t="shared" si="0"/>
        <v>5318370</v>
      </c>
      <c r="O12" s="139">
        <f t="shared" si="1"/>
        <v>463776</v>
      </c>
      <c r="P12" s="139">
        <f t="shared" si="2"/>
        <v>443197.5</v>
      </c>
      <c r="Q12" s="213">
        <f t="shared" si="3"/>
        <v>1.1346241663292629E-2</v>
      </c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</row>
    <row r="13" spans="1:34" ht="15" x14ac:dyDescent="0.25">
      <c r="A13" s="140" t="s">
        <v>19</v>
      </c>
      <c r="B13" s="139">
        <v>196499</v>
      </c>
      <c r="C13" s="139">
        <v>199166</v>
      </c>
      <c r="D13" s="139">
        <v>202415</v>
      </c>
      <c r="E13" s="139">
        <v>212940</v>
      </c>
      <c r="F13" s="139">
        <v>217041</v>
      </c>
      <c r="G13" s="139">
        <v>223592</v>
      </c>
      <c r="H13" s="139">
        <v>217914</v>
      </c>
      <c r="I13" s="139">
        <v>217506</v>
      </c>
      <c r="J13" s="139">
        <v>219527</v>
      </c>
      <c r="K13" s="139">
        <v>216229</v>
      </c>
      <c r="L13" s="139">
        <v>211240</v>
      </c>
      <c r="M13" s="139">
        <v>204465</v>
      </c>
      <c r="N13" s="139">
        <f t="shared" si="0"/>
        <v>2538534</v>
      </c>
      <c r="O13" s="139">
        <f t="shared" si="1"/>
        <v>223592</v>
      </c>
      <c r="P13" s="139">
        <f t="shared" si="2"/>
        <v>211544.5</v>
      </c>
      <c r="Q13" s="213">
        <f t="shared" si="3"/>
        <v>5.4157232826006641E-3</v>
      </c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</row>
    <row r="14" spans="1:34" ht="15" x14ac:dyDescent="0.25">
      <c r="A14" s="142" t="s">
        <v>29</v>
      </c>
      <c r="B14" s="139">
        <v>98671</v>
      </c>
      <c r="C14" s="139">
        <v>111238</v>
      </c>
      <c r="D14" s="139">
        <v>132005</v>
      </c>
      <c r="E14" s="139">
        <v>126507</v>
      </c>
      <c r="F14" s="139">
        <v>132850</v>
      </c>
      <c r="G14" s="139">
        <v>129852</v>
      </c>
      <c r="H14" s="139">
        <v>140741</v>
      </c>
      <c r="I14" s="139">
        <v>125898</v>
      </c>
      <c r="J14" s="139">
        <v>124291</v>
      </c>
      <c r="K14" s="139">
        <v>98173</v>
      </c>
      <c r="L14" s="139">
        <v>108524</v>
      </c>
      <c r="M14" s="139">
        <v>118061</v>
      </c>
      <c r="N14" s="139">
        <f t="shared" si="0"/>
        <v>1446811</v>
      </c>
      <c r="O14" s="139">
        <f t="shared" si="1"/>
        <v>140741</v>
      </c>
      <c r="P14" s="139">
        <f t="shared" si="2"/>
        <v>120567.58333333333</v>
      </c>
      <c r="Q14" s="213">
        <f t="shared" si="3"/>
        <v>3.086635049293312E-3</v>
      </c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</row>
    <row r="15" spans="1:34" ht="15" x14ac:dyDescent="0.25">
      <c r="A15" s="142" t="s">
        <v>88</v>
      </c>
      <c r="B15" s="139">
        <v>72610</v>
      </c>
      <c r="C15" s="139">
        <v>66743</v>
      </c>
      <c r="D15" s="139">
        <v>83941</v>
      </c>
      <c r="E15" s="139">
        <v>66018</v>
      </c>
      <c r="F15" s="139">
        <v>93509</v>
      </c>
      <c r="G15" s="139">
        <v>66562</v>
      </c>
      <c r="H15" s="139">
        <v>36647</v>
      </c>
      <c r="I15" s="139">
        <v>53502</v>
      </c>
      <c r="J15" s="139">
        <v>97677</v>
      </c>
      <c r="K15" s="139">
        <v>66460</v>
      </c>
      <c r="L15" s="139">
        <v>92768</v>
      </c>
      <c r="M15" s="139">
        <v>64722</v>
      </c>
      <c r="N15" s="139">
        <f t="shared" si="0"/>
        <v>861159</v>
      </c>
      <c r="O15" s="139">
        <f t="shared" si="1"/>
        <v>97677</v>
      </c>
      <c r="P15" s="139">
        <f t="shared" si="2"/>
        <v>71763.25</v>
      </c>
      <c r="Q15" s="213">
        <f t="shared" si="3"/>
        <v>1.8372016472188693E-3</v>
      </c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</row>
    <row r="16" spans="1:34" ht="15" x14ac:dyDescent="0.25">
      <c r="A16" s="140" t="s">
        <v>23</v>
      </c>
      <c r="B16" s="139">
        <v>31597</v>
      </c>
      <c r="C16" s="139">
        <v>32420</v>
      </c>
      <c r="D16" s="139">
        <v>31244</v>
      </c>
      <c r="E16" s="139">
        <v>37329</v>
      </c>
      <c r="F16" s="139">
        <v>37663</v>
      </c>
      <c r="G16" s="139">
        <v>29860</v>
      </c>
      <c r="H16" s="139">
        <v>30407</v>
      </c>
      <c r="I16" s="139">
        <v>30465</v>
      </c>
      <c r="J16" s="139">
        <v>30515</v>
      </c>
      <c r="K16" s="139">
        <v>29255</v>
      </c>
      <c r="L16" s="139">
        <v>34428</v>
      </c>
      <c r="M16" s="139">
        <v>35529</v>
      </c>
      <c r="N16" s="139">
        <f t="shared" si="0"/>
        <v>390712</v>
      </c>
      <c r="O16" s="139">
        <f t="shared" si="1"/>
        <v>37663</v>
      </c>
      <c r="P16" s="139">
        <f t="shared" si="2"/>
        <v>32559.333333333332</v>
      </c>
      <c r="Q16" s="213">
        <f t="shared" si="3"/>
        <v>8.335472659383213E-4</v>
      </c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</row>
    <row r="17" spans="1:34" ht="15" x14ac:dyDescent="0.25">
      <c r="A17" s="140" t="s">
        <v>18</v>
      </c>
      <c r="B17" s="139">
        <v>32282</v>
      </c>
      <c r="C17" s="139">
        <v>32547</v>
      </c>
      <c r="D17" s="139">
        <v>28670</v>
      </c>
      <c r="E17" s="139">
        <v>30998</v>
      </c>
      <c r="F17" s="139">
        <v>22757</v>
      </c>
      <c r="G17" s="139">
        <v>24700</v>
      </c>
      <c r="H17" s="139">
        <v>23339</v>
      </c>
      <c r="I17" s="139">
        <v>23168</v>
      </c>
      <c r="J17" s="139">
        <v>23532</v>
      </c>
      <c r="K17" s="139">
        <v>21299</v>
      </c>
      <c r="L17" s="139">
        <v>21898</v>
      </c>
      <c r="M17" s="139">
        <v>20323</v>
      </c>
      <c r="N17" s="139">
        <f t="shared" si="0"/>
        <v>305513</v>
      </c>
      <c r="O17" s="139">
        <f t="shared" si="1"/>
        <v>32547</v>
      </c>
      <c r="P17" s="139">
        <f t="shared" si="2"/>
        <v>25459.416666666668</v>
      </c>
      <c r="Q17" s="213">
        <f t="shared" si="3"/>
        <v>6.5178322103906299E-4</v>
      </c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</row>
    <row r="18" spans="1:34" ht="15" x14ac:dyDescent="0.25">
      <c r="A18" s="142" t="s">
        <v>26</v>
      </c>
      <c r="B18" s="139">
        <v>20308</v>
      </c>
      <c r="C18" s="139">
        <v>23536</v>
      </c>
      <c r="D18" s="139">
        <v>22679</v>
      </c>
      <c r="E18" s="139">
        <v>24797</v>
      </c>
      <c r="F18" s="139">
        <v>25707</v>
      </c>
      <c r="G18" s="139">
        <v>27201</v>
      </c>
      <c r="H18" s="139">
        <v>26082</v>
      </c>
      <c r="I18" s="139">
        <v>24714</v>
      </c>
      <c r="J18" s="139">
        <v>23891</v>
      </c>
      <c r="K18" s="139">
        <v>21754</v>
      </c>
      <c r="L18" s="139">
        <v>21117</v>
      </c>
      <c r="M18" s="139">
        <v>20192</v>
      </c>
      <c r="N18" s="139">
        <f t="shared" si="0"/>
        <v>281978</v>
      </c>
      <c r="O18" s="139">
        <f t="shared" si="1"/>
        <v>27201</v>
      </c>
      <c r="P18" s="139">
        <f t="shared" si="2"/>
        <v>23498.166666666668</v>
      </c>
      <c r="Q18" s="213">
        <f t="shared" si="3"/>
        <v>6.0157351439105015E-4</v>
      </c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</row>
    <row r="19" spans="1:34" ht="15" x14ac:dyDescent="0.25">
      <c r="A19" s="142" t="s">
        <v>62</v>
      </c>
      <c r="B19" s="139">
        <v>18217</v>
      </c>
      <c r="C19" s="139">
        <v>19529</v>
      </c>
      <c r="D19" s="139">
        <v>18333</v>
      </c>
      <c r="E19" s="139">
        <v>19636</v>
      </c>
      <c r="F19" s="139">
        <v>19302</v>
      </c>
      <c r="G19" s="139">
        <v>19589</v>
      </c>
      <c r="H19" s="139">
        <v>20575</v>
      </c>
      <c r="I19" s="139">
        <v>20749</v>
      </c>
      <c r="J19" s="139">
        <v>20366</v>
      </c>
      <c r="K19" s="139">
        <v>19748</v>
      </c>
      <c r="L19" s="139">
        <v>18832</v>
      </c>
      <c r="M19" s="139">
        <v>17805</v>
      </c>
      <c r="N19" s="139">
        <f t="shared" si="0"/>
        <v>232681</v>
      </c>
      <c r="O19" s="139">
        <f t="shared" si="1"/>
        <v>20749</v>
      </c>
      <c r="P19" s="139">
        <f t="shared" si="2"/>
        <v>19390.083333333332</v>
      </c>
      <c r="Q19" s="213">
        <f t="shared" si="3"/>
        <v>4.9640300627007753E-4</v>
      </c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</row>
    <row r="20" spans="1:34" ht="15" x14ac:dyDescent="0.25">
      <c r="A20" s="142" t="s">
        <v>27</v>
      </c>
      <c r="B20" s="139">
        <v>12787</v>
      </c>
      <c r="C20" s="139">
        <v>14298</v>
      </c>
      <c r="D20" s="139">
        <v>15555</v>
      </c>
      <c r="E20" s="139">
        <v>13976</v>
      </c>
      <c r="F20" s="139">
        <v>13816</v>
      </c>
      <c r="G20" s="139">
        <v>12794</v>
      </c>
      <c r="H20" s="139">
        <v>9867</v>
      </c>
      <c r="I20" s="139">
        <v>10312</v>
      </c>
      <c r="J20" s="139">
        <v>14478</v>
      </c>
      <c r="K20" s="139">
        <v>13181</v>
      </c>
      <c r="L20" s="139">
        <v>15913</v>
      </c>
      <c r="M20" s="139">
        <v>14634</v>
      </c>
      <c r="N20" s="139">
        <f t="shared" si="0"/>
        <v>161611</v>
      </c>
      <c r="O20" s="139">
        <f t="shared" si="1"/>
        <v>15913</v>
      </c>
      <c r="P20" s="139">
        <f t="shared" si="2"/>
        <v>13467.583333333334</v>
      </c>
      <c r="Q20" s="213">
        <f t="shared" si="3"/>
        <v>3.4478185260641614E-4</v>
      </c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</row>
    <row r="21" spans="1:34" ht="15" x14ac:dyDescent="0.25">
      <c r="A21" s="142" t="s">
        <v>63</v>
      </c>
      <c r="B21" s="139">
        <v>12264</v>
      </c>
      <c r="C21" s="139">
        <v>11976</v>
      </c>
      <c r="D21" s="139">
        <v>10536</v>
      </c>
      <c r="E21" s="139">
        <v>11033</v>
      </c>
      <c r="F21" s="139">
        <v>10960</v>
      </c>
      <c r="G21" s="139">
        <v>12039</v>
      </c>
      <c r="H21" s="139">
        <v>11202</v>
      </c>
      <c r="I21" s="139">
        <v>10094</v>
      </c>
      <c r="J21" s="139">
        <v>10387</v>
      </c>
      <c r="K21" s="139">
        <v>9892</v>
      </c>
      <c r="L21" s="139">
        <v>9425</v>
      </c>
      <c r="M21" s="139">
        <v>9746</v>
      </c>
      <c r="N21" s="139">
        <f t="shared" si="0"/>
        <v>129554</v>
      </c>
      <c r="O21" s="139">
        <f t="shared" si="1"/>
        <v>12264</v>
      </c>
      <c r="P21" s="139">
        <f t="shared" si="2"/>
        <v>10796.166666666666</v>
      </c>
      <c r="Q21" s="213">
        <f t="shared" si="3"/>
        <v>2.7639126131619526E-4</v>
      </c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</row>
    <row r="22" spans="1:34" ht="15" x14ac:dyDescent="0.25">
      <c r="A22" s="142" t="s">
        <v>94</v>
      </c>
      <c r="B22" s="139">
        <v>3451</v>
      </c>
      <c r="C22" s="139">
        <v>4709</v>
      </c>
      <c r="D22" s="139">
        <v>7495</v>
      </c>
      <c r="E22" s="139">
        <v>5032</v>
      </c>
      <c r="F22" s="139">
        <v>6049</v>
      </c>
      <c r="G22" s="139">
        <v>3858</v>
      </c>
      <c r="H22" s="139">
        <v>4558</v>
      </c>
      <c r="I22" s="139">
        <v>5892</v>
      </c>
      <c r="J22" s="139">
        <v>4355</v>
      </c>
      <c r="K22" s="139">
        <v>5026</v>
      </c>
      <c r="L22" s="139">
        <v>4745</v>
      </c>
      <c r="M22" s="139">
        <v>1317</v>
      </c>
      <c r="N22" s="139">
        <f t="shared" si="0"/>
        <v>56487</v>
      </c>
      <c r="O22" s="139">
        <f t="shared" si="1"/>
        <v>7495</v>
      </c>
      <c r="P22" s="139">
        <f t="shared" si="2"/>
        <v>4707.25</v>
      </c>
      <c r="Q22" s="213">
        <f t="shared" si="3"/>
        <v>1.2050969617277677E-4</v>
      </c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</row>
    <row r="23" spans="1:34" ht="15" x14ac:dyDescent="0.25">
      <c r="A23" s="142" t="s">
        <v>30</v>
      </c>
      <c r="B23" s="139">
        <v>3473</v>
      </c>
      <c r="C23" s="139">
        <v>3853</v>
      </c>
      <c r="D23" s="139">
        <v>3488</v>
      </c>
      <c r="E23" s="139">
        <v>3597</v>
      </c>
      <c r="F23" s="139">
        <v>3481</v>
      </c>
      <c r="G23" s="139">
        <v>3601</v>
      </c>
      <c r="H23" s="139">
        <v>3484</v>
      </c>
      <c r="I23" s="139">
        <v>3499</v>
      </c>
      <c r="J23" s="139">
        <v>3381</v>
      </c>
      <c r="K23" s="139">
        <v>3483</v>
      </c>
      <c r="L23" s="139">
        <v>3566</v>
      </c>
      <c r="M23" s="139">
        <v>3503</v>
      </c>
      <c r="N23" s="139">
        <f t="shared" si="0"/>
        <v>42409</v>
      </c>
      <c r="O23" s="139">
        <f t="shared" si="1"/>
        <v>3853</v>
      </c>
      <c r="P23" s="139">
        <f t="shared" si="2"/>
        <v>3534.0833333333335</v>
      </c>
      <c r="Q23" s="213">
        <f t="shared" si="3"/>
        <v>9.0475608635461085E-5</v>
      </c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</row>
    <row r="24" spans="1:34" ht="15" x14ac:dyDescent="0.25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261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</row>
    <row r="25" spans="1:34" ht="15" x14ac:dyDescent="0.25">
      <c r="A25" s="140" t="s">
        <v>15</v>
      </c>
      <c r="B25" s="141">
        <f>SUM(B7:B24)</f>
        <v>43757654</v>
      </c>
      <c r="C25" s="141">
        <f t="shared" ref="C25:P25" si="4">SUM(C7:C24)</f>
        <v>40190682</v>
      </c>
      <c r="D25" s="141">
        <f t="shared" si="4"/>
        <v>35087435</v>
      </c>
      <c r="E25" s="141">
        <f t="shared" si="4"/>
        <v>34650238</v>
      </c>
      <c r="F25" s="141">
        <f t="shared" si="4"/>
        <v>35819686</v>
      </c>
      <c r="G25" s="141">
        <f t="shared" si="4"/>
        <v>37156960</v>
      </c>
      <c r="H25" s="141">
        <f t="shared" si="4"/>
        <v>36522278</v>
      </c>
      <c r="I25" s="141">
        <f t="shared" si="4"/>
        <v>36677981</v>
      </c>
      <c r="J25" s="141">
        <f t="shared" si="4"/>
        <v>40869368</v>
      </c>
      <c r="K25" s="141">
        <f t="shared" si="4"/>
        <v>36976266</v>
      </c>
      <c r="L25" s="141">
        <f t="shared" si="4"/>
        <v>40531480</v>
      </c>
      <c r="M25" s="141">
        <f t="shared" si="4"/>
        <v>38100586</v>
      </c>
      <c r="N25" s="141">
        <f t="shared" si="4"/>
        <v>456340614</v>
      </c>
      <c r="O25" s="141">
        <f t="shared" si="4"/>
        <v>44460815</v>
      </c>
      <c r="P25" s="141">
        <f t="shared" si="4"/>
        <v>38028384.500000007</v>
      </c>
      <c r="Q25" s="216">
        <f>$P25/$P$37</f>
        <v>0.97355973488481262</v>
      </c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</row>
    <row r="26" spans="1:34" ht="15" x14ac:dyDescent="0.25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261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</row>
    <row r="27" spans="1:34" ht="15" x14ac:dyDescent="0.25">
      <c r="A27" s="140" t="s">
        <v>97</v>
      </c>
      <c r="B27" s="139">
        <v>759818</v>
      </c>
      <c r="C27" s="139">
        <v>607977</v>
      </c>
      <c r="D27" s="139">
        <v>587761</v>
      </c>
      <c r="E27" s="139">
        <v>720832</v>
      </c>
      <c r="F27" s="139">
        <v>754990</v>
      </c>
      <c r="G27" s="139">
        <v>810713</v>
      </c>
      <c r="H27" s="139">
        <v>805670</v>
      </c>
      <c r="I27" s="139">
        <v>837392</v>
      </c>
      <c r="J27" s="139">
        <v>788046</v>
      </c>
      <c r="K27" s="139">
        <v>761167</v>
      </c>
      <c r="L27" s="139">
        <v>598817</v>
      </c>
      <c r="M27" s="139">
        <v>561480</v>
      </c>
      <c r="N27" s="139">
        <f t="shared" ref="N27:N33" si="5">SUM(B27:M27)</f>
        <v>8594663</v>
      </c>
      <c r="O27" s="139">
        <f t="shared" ref="O27:O33" si="6">MAX(B27:M27)</f>
        <v>837392</v>
      </c>
      <c r="P27" s="139">
        <f t="shared" ref="P27:P33" si="7">SUM(B27:M27)/12</f>
        <v>716221.91666666663</v>
      </c>
      <c r="Q27" s="213">
        <f t="shared" ref="Q27:Q33" si="8">$P27/$P$37</f>
        <v>1.8335904311388568E-2</v>
      </c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</row>
    <row r="28" spans="1:34" ht="15" x14ac:dyDescent="0.25">
      <c r="A28" s="140" t="s">
        <v>39</v>
      </c>
      <c r="B28" s="139">
        <v>0</v>
      </c>
      <c r="C28" s="139">
        <v>0</v>
      </c>
      <c r="D28" s="139">
        <v>0</v>
      </c>
      <c r="E28" s="139">
        <v>0</v>
      </c>
      <c r="F28" s="139">
        <v>0</v>
      </c>
      <c r="G28" s="139">
        <v>200000</v>
      </c>
      <c r="H28" s="139">
        <v>200000</v>
      </c>
      <c r="I28" s="139">
        <v>200000</v>
      </c>
      <c r="J28" s="139">
        <v>200000</v>
      </c>
      <c r="K28" s="139">
        <v>200000</v>
      </c>
      <c r="L28" s="139">
        <v>225000</v>
      </c>
      <c r="M28" s="139">
        <v>200000</v>
      </c>
      <c r="N28" s="139">
        <f t="shared" si="5"/>
        <v>1425000</v>
      </c>
      <c r="O28" s="139">
        <f t="shared" si="6"/>
        <v>225000</v>
      </c>
      <c r="P28" s="139">
        <f t="shared" si="7"/>
        <v>118750</v>
      </c>
      <c r="Q28" s="213">
        <f t="shared" si="8"/>
        <v>3.0401033343283746E-3</v>
      </c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</row>
    <row r="29" spans="1:34" ht="15" x14ac:dyDescent="0.25">
      <c r="A29" s="140" t="s">
        <v>34</v>
      </c>
      <c r="B29" s="139">
        <v>119648</v>
      </c>
      <c r="C29" s="139">
        <v>118724</v>
      </c>
      <c r="D29" s="139">
        <v>124969</v>
      </c>
      <c r="E29" s="139">
        <v>130649</v>
      </c>
      <c r="F29" s="139">
        <v>135618</v>
      </c>
      <c r="G29" s="139">
        <v>144202</v>
      </c>
      <c r="H29" s="139">
        <v>158706</v>
      </c>
      <c r="I29" s="139">
        <v>156563</v>
      </c>
      <c r="J29" s="139">
        <v>143516</v>
      </c>
      <c r="K29" s="139">
        <v>136857</v>
      </c>
      <c r="L29" s="139">
        <v>115289</v>
      </c>
      <c r="M29" s="139">
        <v>118302</v>
      </c>
      <c r="N29" s="139">
        <f t="shared" si="5"/>
        <v>1603043</v>
      </c>
      <c r="O29" s="139">
        <f t="shared" si="6"/>
        <v>158706</v>
      </c>
      <c r="P29" s="139">
        <f t="shared" si="7"/>
        <v>133586.91666666666</v>
      </c>
      <c r="Q29" s="213">
        <f t="shared" si="8"/>
        <v>3.4199413118398319E-3</v>
      </c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</row>
    <row r="30" spans="1:34" ht="15" x14ac:dyDescent="0.25">
      <c r="A30" s="140" t="s">
        <v>111</v>
      </c>
      <c r="B30" s="139">
        <v>0</v>
      </c>
      <c r="C30" s="139">
        <v>35000</v>
      </c>
      <c r="D30" s="139">
        <v>20000</v>
      </c>
      <c r="E30" s="139">
        <v>10000</v>
      </c>
      <c r="F30" s="139">
        <v>20000</v>
      </c>
      <c r="G30" s="139">
        <v>35000</v>
      </c>
      <c r="H30" s="139">
        <v>35000</v>
      </c>
      <c r="I30" s="139">
        <v>35000</v>
      </c>
      <c r="J30" s="139">
        <v>25000</v>
      </c>
      <c r="K30" s="139">
        <v>20000</v>
      </c>
      <c r="L30" s="139">
        <v>10000</v>
      </c>
      <c r="M30" s="139">
        <v>20000</v>
      </c>
      <c r="N30" s="139">
        <f t="shared" si="5"/>
        <v>265000</v>
      </c>
      <c r="O30" s="139">
        <f t="shared" si="6"/>
        <v>35000</v>
      </c>
      <c r="P30" s="139">
        <f t="shared" si="7"/>
        <v>22083.333333333332</v>
      </c>
      <c r="Q30" s="213">
        <f t="shared" si="8"/>
        <v>5.6535254989264507E-4</v>
      </c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</row>
    <row r="31" spans="1:34" x14ac:dyDescent="0.2">
      <c r="A31" s="140" t="s">
        <v>41</v>
      </c>
      <c r="B31" s="139">
        <v>23000</v>
      </c>
      <c r="C31" s="139">
        <v>23000</v>
      </c>
      <c r="D31" s="139">
        <v>23000</v>
      </c>
      <c r="E31" s="139">
        <v>23000</v>
      </c>
      <c r="F31" s="139">
        <v>23000</v>
      </c>
      <c r="G31" s="139">
        <v>23000</v>
      </c>
      <c r="H31" s="139">
        <v>23000</v>
      </c>
      <c r="I31" s="139">
        <v>23000</v>
      </c>
      <c r="J31" s="139">
        <v>23000</v>
      </c>
      <c r="K31" s="139">
        <v>23000</v>
      </c>
      <c r="L31" s="139">
        <v>23000</v>
      </c>
      <c r="M31" s="139">
        <v>23000</v>
      </c>
      <c r="N31" s="139">
        <f t="shared" si="5"/>
        <v>276000</v>
      </c>
      <c r="O31" s="139">
        <f t="shared" si="6"/>
        <v>23000</v>
      </c>
      <c r="P31" s="139">
        <f t="shared" si="7"/>
        <v>23000</v>
      </c>
      <c r="Q31" s="213">
        <f t="shared" si="8"/>
        <v>5.8882001422781152E-4</v>
      </c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</row>
    <row r="32" spans="1:34" x14ac:dyDescent="0.2">
      <c r="A32" s="140" t="s">
        <v>40</v>
      </c>
      <c r="B32" s="139">
        <v>12444</v>
      </c>
      <c r="C32" s="139">
        <v>9408</v>
      </c>
      <c r="D32" s="139">
        <v>9018</v>
      </c>
      <c r="E32" s="139">
        <v>12473</v>
      </c>
      <c r="F32" s="139">
        <v>12655</v>
      </c>
      <c r="G32" s="139">
        <v>13244</v>
      </c>
      <c r="H32" s="139">
        <v>12957</v>
      </c>
      <c r="I32" s="139">
        <v>13556</v>
      </c>
      <c r="J32" s="139">
        <v>13084</v>
      </c>
      <c r="K32" s="139">
        <v>12339</v>
      </c>
      <c r="L32" s="139">
        <v>9516</v>
      </c>
      <c r="M32" s="139">
        <v>9621</v>
      </c>
      <c r="N32" s="139">
        <f t="shared" si="5"/>
        <v>140315</v>
      </c>
      <c r="O32" s="139">
        <f t="shared" si="6"/>
        <v>13556</v>
      </c>
      <c r="P32" s="139">
        <f t="shared" si="7"/>
        <v>11692.916666666666</v>
      </c>
      <c r="Q32" s="213">
        <f t="shared" si="8"/>
        <v>2.9934884165353393E-4</v>
      </c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</row>
    <row r="33" spans="1:34" x14ac:dyDescent="0.2">
      <c r="A33" s="140" t="s">
        <v>33</v>
      </c>
      <c r="B33" s="139">
        <v>8505</v>
      </c>
      <c r="C33" s="139">
        <v>6861</v>
      </c>
      <c r="D33" s="139">
        <v>5883</v>
      </c>
      <c r="E33" s="139">
        <v>6515</v>
      </c>
      <c r="F33" s="139">
        <v>7297</v>
      </c>
      <c r="G33" s="139">
        <v>8300</v>
      </c>
      <c r="H33" s="139">
        <v>8358</v>
      </c>
      <c r="I33" s="139">
        <v>8658</v>
      </c>
      <c r="J33" s="139">
        <v>8237</v>
      </c>
      <c r="K33" s="139">
        <v>6928</v>
      </c>
      <c r="L33" s="139">
        <v>7506</v>
      </c>
      <c r="M33" s="139">
        <v>6384</v>
      </c>
      <c r="N33" s="139">
        <f t="shared" si="5"/>
        <v>89432</v>
      </c>
      <c r="O33" s="139">
        <f t="shared" si="6"/>
        <v>8658</v>
      </c>
      <c r="P33" s="139">
        <f t="shared" si="7"/>
        <v>7452.666666666667</v>
      </c>
      <c r="Q33" s="213">
        <f t="shared" si="8"/>
        <v>1.9079475185660013E-4</v>
      </c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</row>
    <row r="34" spans="1:34" x14ac:dyDescent="0.2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261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</row>
    <row r="35" spans="1:34" x14ac:dyDescent="0.2">
      <c r="A35" s="140" t="s">
        <v>42</v>
      </c>
      <c r="B35" s="141">
        <f>SUM(B27:B33)</f>
        <v>923415</v>
      </c>
      <c r="C35" s="141">
        <f t="shared" ref="C35:O35" si="9">SUM(C27:C33)</f>
        <v>800970</v>
      </c>
      <c r="D35" s="141">
        <f>SUM(D27:D33)</f>
        <v>770631</v>
      </c>
      <c r="E35" s="141">
        <f t="shared" si="9"/>
        <v>903469</v>
      </c>
      <c r="F35" s="141">
        <f t="shared" si="9"/>
        <v>953560</v>
      </c>
      <c r="G35" s="141">
        <f t="shared" si="9"/>
        <v>1234459</v>
      </c>
      <c r="H35" s="141">
        <f t="shared" si="9"/>
        <v>1243691</v>
      </c>
      <c r="I35" s="141">
        <f t="shared" si="9"/>
        <v>1274169</v>
      </c>
      <c r="J35" s="141">
        <f t="shared" si="9"/>
        <v>1200883</v>
      </c>
      <c r="K35" s="141">
        <f t="shared" si="9"/>
        <v>1160291</v>
      </c>
      <c r="L35" s="141">
        <f t="shared" si="9"/>
        <v>989128</v>
      </c>
      <c r="M35" s="141">
        <f t="shared" si="9"/>
        <v>938787</v>
      </c>
      <c r="N35" s="141">
        <f t="shared" si="9"/>
        <v>12393453</v>
      </c>
      <c r="O35" s="141">
        <f t="shared" si="9"/>
        <v>1301312</v>
      </c>
      <c r="P35" s="141">
        <f>SUM(P27:P33)</f>
        <v>1032787.7499999999</v>
      </c>
      <c r="Q35" s="216">
        <f>$P35/$P$37</f>
        <v>2.6440265115187364E-2</v>
      </c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</row>
    <row r="36" spans="1:34" x14ac:dyDescent="0.2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261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</row>
    <row r="37" spans="1:34" ht="13.5" thickBot="1" x14ac:dyDescent="0.25">
      <c r="A37" s="140" t="s">
        <v>14</v>
      </c>
      <c r="B37" s="262">
        <f t="shared" ref="B37:P37" si="10">B25+B35</f>
        <v>44681069</v>
      </c>
      <c r="C37" s="262">
        <f t="shared" si="10"/>
        <v>40991652</v>
      </c>
      <c r="D37" s="262">
        <f t="shared" si="10"/>
        <v>35858066</v>
      </c>
      <c r="E37" s="262">
        <f t="shared" si="10"/>
        <v>35553707</v>
      </c>
      <c r="F37" s="262">
        <f t="shared" si="10"/>
        <v>36773246</v>
      </c>
      <c r="G37" s="262">
        <f t="shared" si="10"/>
        <v>38391419</v>
      </c>
      <c r="H37" s="262">
        <f t="shared" si="10"/>
        <v>37765969</v>
      </c>
      <c r="I37" s="262">
        <f t="shared" si="10"/>
        <v>37952150</v>
      </c>
      <c r="J37" s="262">
        <f t="shared" si="10"/>
        <v>42070251</v>
      </c>
      <c r="K37" s="262">
        <f t="shared" si="10"/>
        <v>38136557</v>
      </c>
      <c r="L37" s="262">
        <f t="shared" si="10"/>
        <v>41520608</v>
      </c>
      <c r="M37" s="262">
        <f t="shared" si="10"/>
        <v>39039373</v>
      </c>
      <c r="N37" s="262">
        <f t="shared" si="10"/>
        <v>468734067</v>
      </c>
      <c r="O37" s="262">
        <f t="shared" si="10"/>
        <v>45762127</v>
      </c>
      <c r="P37" s="262">
        <f t="shared" si="10"/>
        <v>39061172.250000007</v>
      </c>
      <c r="Q37" s="225">
        <f>$P37/$P$37</f>
        <v>1</v>
      </c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</row>
    <row r="38" spans="1:34" ht="13.5" thickTop="1" x14ac:dyDescent="0.2"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</row>
    <row r="39" spans="1:34" x14ac:dyDescent="0.2">
      <c r="U39" s="192"/>
      <c r="V39" s="192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</row>
    <row r="40" spans="1:34" x14ac:dyDescent="0.2"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</row>
    <row r="41" spans="1:34" x14ac:dyDescent="0.2"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</row>
    <row r="42" spans="1:34" x14ac:dyDescent="0.2"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</row>
    <row r="43" spans="1:34" x14ac:dyDescent="0.2"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</row>
    <row r="44" spans="1:34" x14ac:dyDescent="0.2"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213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</row>
    <row r="45" spans="1:34" x14ac:dyDescent="0.2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213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</row>
    <row r="46" spans="1:34" x14ac:dyDescent="0.2"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213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</row>
    <row r="47" spans="1:34" x14ac:dyDescent="0.2"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213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</row>
    <row r="48" spans="1:34" x14ac:dyDescent="0.2"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213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</row>
    <row r="49" spans="2:34" x14ac:dyDescent="0.2"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213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</row>
    <row r="50" spans="2:34" x14ac:dyDescent="0.2"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213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</row>
    <row r="51" spans="2:34" x14ac:dyDescent="0.2"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213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</row>
    <row r="52" spans="2:34" x14ac:dyDescent="0.2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213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</row>
    <row r="53" spans="2:34" x14ac:dyDescent="0.2"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</row>
    <row r="54" spans="2:34" x14ac:dyDescent="0.2"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</row>
    <row r="55" spans="2:34" x14ac:dyDescent="0.2"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</row>
    <row r="56" spans="2:34" x14ac:dyDescent="0.2"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</row>
  </sheetData>
  <pageMargins left="0.5" right="0.5" top="1" bottom="1" header="0.5" footer="0.5"/>
  <pageSetup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Q37"/>
  <sheetViews>
    <sheetView zoomScale="75" workbookViewId="0">
      <selection activeCell="A2" sqref="A2"/>
    </sheetView>
  </sheetViews>
  <sheetFormatPr defaultColWidth="9.140625" defaultRowHeight="12.75" x14ac:dyDescent="0.2"/>
  <cols>
    <col min="1" max="1" width="17.140625" style="175" customWidth="1"/>
    <col min="2" max="3" width="9.140625" style="175" customWidth="1"/>
    <col min="4" max="15" width="12.7109375" style="175" customWidth="1"/>
    <col min="16" max="16" width="14" style="175" customWidth="1"/>
    <col min="17" max="18" width="12.7109375" style="175" customWidth="1"/>
    <col min="19" max="19" width="8.7109375" style="175" customWidth="1"/>
    <col min="20" max="16384" width="9.140625" style="175"/>
  </cols>
  <sheetData>
    <row r="1" spans="1:17" ht="15" x14ac:dyDescent="0.25">
      <c r="A1" s="324" t="s">
        <v>219</v>
      </c>
    </row>
    <row r="2" spans="1:17" ht="15" x14ac:dyDescent="0.25">
      <c r="A2" s="324" t="s">
        <v>206</v>
      </c>
    </row>
    <row r="3" spans="1:17" ht="23.25" x14ac:dyDescent="0.35">
      <c r="A3" s="248" t="s">
        <v>129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</row>
    <row r="4" spans="1:17" ht="13.5" thickBot="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</row>
    <row r="5" spans="1:17" ht="41.25" customHeight="1" thickBot="1" x14ac:dyDescent="0.25">
      <c r="A5" s="258"/>
      <c r="B5" s="157">
        <v>40909</v>
      </c>
      <c r="C5" s="157">
        <v>40940</v>
      </c>
      <c r="D5" s="157">
        <v>40969</v>
      </c>
      <c r="E5" s="157">
        <v>41000</v>
      </c>
      <c r="F5" s="157">
        <v>41030</v>
      </c>
      <c r="G5" s="157">
        <v>41061</v>
      </c>
      <c r="H5" s="157">
        <v>41091</v>
      </c>
      <c r="I5" s="157">
        <v>41122</v>
      </c>
      <c r="J5" s="157">
        <v>41153</v>
      </c>
      <c r="K5" s="157">
        <v>41183</v>
      </c>
      <c r="L5" s="157">
        <v>41214</v>
      </c>
      <c r="M5" s="157">
        <v>41244</v>
      </c>
      <c r="N5" s="137" t="s">
        <v>124</v>
      </c>
      <c r="O5" s="137" t="s">
        <v>130</v>
      </c>
      <c r="P5" s="137" t="s">
        <v>133</v>
      </c>
      <c r="Q5" s="137" t="s">
        <v>126</v>
      </c>
    </row>
    <row r="6" spans="1:17" x14ac:dyDescent="0.2">
      <c r="A6" s="259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260"/>
    </row>
    <row r="7" spans="1:17" x14ac:dyDescent="0.2">
      <c r="A7" s="175" t="s">
        <v>28</v>
      </c>
      <c r="B7" s="139">
        <v>26776739</v>
      </c>
      <c r="C7" s="139">
        <v>21679685</v>
      </c>
      <c r="D7" s="139">
        <v>19092841</v>
      </c>
      <c r="E7" s="139">
        <v>22459165</v>
      </c>
      <c r="F7" s="139">
        <v>18955370</v>
      </c>
      <c r="G7" s="139">
        <v>22719469</v>
      </c>
      <c r="H7" s="139">
        <v>22094891</v>
      </c>
      <c r="I7" s="139">
        <v>23310359</v>
      </c>
      <c r="J7" s="139">
        <v>23168665</v>
      </c>
      <c r="K7" s="139">
        <v>23892543</v>
      </c>
      <c r="L7" s="139">
        <v>22727161</v>
      </c>
      <c r="M7" s="139">
        <v>20086453</v>
      </c>
      <c r="N7" s="139">
        <f t="shared" ref="N7:N23" si="0">SUM(B7:M7)</f>
        <v>266963341</v>
      </c>
      <c r="O7" s="139">
        <f t="shared" ref="O7:O23" si="1">MAX(B7:M7)</f>
        <v>26776739</v>
      </c>
      <c r="P7" s="139">
        <f t="shared" ref="P7:P23" si="2">SUM(B7:M7)/12</f>
        <v>22246945.083333332</v>
      </c>
      <c r="Q7" s="213">
        <f t="shared" ref="Q7:Q23" si="3">+P7/$P$36</f>
        <v>0.67442782427213754</v>
      </c>
    </row>
    <row r="8" spans="1:17" x14ac:dyDescent="0.2">
      <c r="A8" s="181" t="s">
        <v>20</v>
      </c>
      <c r="B8" s="139">
        <v>5042120</v>
      </c>
      <c r="C8" s="139">
        <v>4942083</v>
      </c>
      <c r="D8" s="139">
        <v>4674562</v>
      </c>
      <c r="E8" s="139">
        <v>5369044</v>
      </c>
      <c r="F8" s="139">
        <v>5011082</v>
      </c>
      <c r="G8" s="139">
        <v>5656713</v>
      </c>
      <c r="H8" s="139">
        <v>5423661</v>
      </c>
      <c r="I8" s="139">
        <v>5563081</v>
      </c>
      <c r="J8" s="139">
        <v>5681447</v>
      </c>
      <c r="K8" s="139">
        <v>5665186</v>
      </c>
      <c r="L8" s="139">
        <v>5057528</v>
      </c>
      <c r="M8" s="139">
        <v>4813221</v>
      </c>
      <c r="N8" s="139">
        <f>SUM(B8:M8)</f>
        <v>62899728</v>
      </c>
      <c r="O8" s="139">
        <f t="shared" si="1"/>
        <v>5681447</v>
      </c>
      <c r="P8" s="139">
        <f t="shared" si="2"/>
        <v>5241644</v>
      </c>
      <c r="Q8" s="213">
        <f t="shared" si="3"/>
        <v>0.15890319076561621</v>
      </c>
    </row>
    <row r="9" spans="1:17" x14ac:dyDescent="0.2">
      <c r="A9" s="175" t="s">
        <v>21</v>
      </c>
      <c r="B9" s="139">
        <v>1951158</v>
      </c>
      <c r="C9" s="139">
        <v>1895057</v>
      </c>
      <c r="D9" s="139">
        <v>1846535</v>
      </c>
      <c r="E9" s="139">
        <v>2048015</v>
      </c>
      <c r="F9" s="139">
        <v>2036273</v>
      </c>
      <c r="G9" s="139">
        <v>2219523</v>
      </c>
      <c r="H9" s="139">
        <v>2116757</v>
      </c>
      <c r="I9" s="139">
        <v>2115292</v>
      </c>
      <c r="J9" s="139">
        <v>2245160</v>
      </c>
      <c r="K9" s="139">
        <v>2295038</v>
      </c>
      <c r="L9" s="139">
        <v>1919986</v>
      </c>
      <c r="M9" s="139">
        <v>1923268</v>
      </c>
      <c r="N9" s="139">
        <f>SUM(B9:M9)</f>
        <v>24612062</v>
      </c>
      <c r="O9" s="139">
        <f>MAX(B9:M9)</f>
        <v>2295038</v>
      </c>
      <c r="P9" s="139">
        <f>SUM(B9:M9)/12</f>
        <v>2051005.1666666667</v>
      </c>
      <c r="Q9" s="213">
        <f t="shared" si="3"/>
        <v>6.2177298813139124E-2</v>
      </c>
    </row>
    <row r="10" spans="1:17" x14ac:dyDescent="0.2">
      <c r="A10" s="175" t="s">
        <v>24</v>
      </c>
      <c r="B10" s="139">
        <v>1734985</v>
      </c>
      <c r="C10" s="139">
        <v>1664145</v>
      </c>
      <c r="D10" s="139">
        <v>1558237</v>
      </c>
      <c r="E10" s="139">
        <v>1848489</v>
      </c>
      <c r="F10" s="139">
        <v>1690171</v>
      </c>
      <c r="G10" s="139">
        <v>1897489</v>
      </c>
      <c r="H10" s="139">
        <v>1831491</v>
      </c>
      <c r="I10" s="139">
        <v>1900238</v>
      </c>
      <c r="J10" s="139">
        <v>1941676</v>
      </c>
      <c r="K10" s="139">
        <v>1893710</v>
      </c>
      <c r="L10" s="139">
        <v>1704974</v>
      </c>
      <c r="M10" s="139">
        <v>1598218</v>
      </c>
      <c r="N10" s="139">
        <f t="shared" si="0"/>
        <v>21263823</v>
      </c>
      <c r="O10" s="139">
        <f t="shared" si="1"/>
        <v>1941676</v>
      </c>
      <c r="P10" s="139">
        <f t="shared" si="2"/>
        <v>1771985.25</v>
      </c>
      <c r="Q10" s="213">
        <f t="shared" si="3"/>
        <v>5.3718663498438304E-2</v>
      </c>
    </row>
    <row r="11" spans="1:17" x14ac:dyDescent="0.2">
      <c r="A11" s="175" t="s">
        <v>17</v>
      </c>
      <c r="B11" s="139">
        <v>441437</v>
      </c>
      <c r="C11" s="139">
        <v>426518</v>
      </c>
      <c r="D11" s="139">
        <v>411585</v>
      </c>
      <c r="E11" s="139">
        <v>451577</v>
      </c>
      <c r="F11" s="139">
        <v>422677</v>
      </c>
      <c r="G11" s="139">
        <v>464538</v>
      </c>
      <c r="H11" s="139">
        <v>446510</v>
      </c>
      <c r="I11" s="139">
        <v>462127</v>
      </c>
      <c r="J11" s="139">
        <v>463058</v>
      </c>
      <c r="K11" s="139">
        <v>448595</v>
      </c>
      <c r="L11" s="139">
        <v>426872</v>
      </c>
      <c r="M11" s="139">
        <v>422615</v>
      </c>
      <c r="N11" s="139">
        <f t="shared" si="0"/>
        <v>5288109</v>
      </c>
      <c r="O11" s="139">
        <f t="shared" si="1"/>
        <v>464538</v>
      </c>
      <c r="P11" s="139">
        <f t="shared" si="2"/>
        <v>440675.75</v>
      </c>
      <c r="Q11" s="213">
        <f t="shared" si="3"/>
        <v>1.3359316803665224E-2</v>
      </c>
    </row>
    <row r="12" spans="1:17" x14ac:dyDescent="0.2">
      <c r="A12" s="181" t="s">
        <v>22</v>
      </c>
      <c r="B12" s="139">
        <v>353779</v>
      </c>
      <c r="C12" s="139">
        <v>353856</v>
      </c>
      <c r="D12" s="139">
        <v>334273</v>
      </c>
      <c r="E12" s="139">
        <v>358493</v>
      </c>
      <c r="F12" s="139">
        <v>343798</v>
      </c>
      <c r="G12" s="139">
        <v>389387</v>
      </c>
      <c r="H12" s="139">
        <v>376418</v>
      </c>
      <c r="I12" s="139">
        <v>397479</v>
      </c>
      <c r="J12" s="139">
        <v>392638</v>
      </c>
      <c r="K12" s="139">
        <v>398385</v>
      </c>
      <c r="L12" s="139">
        <v>359584</v>
      </c>
      <c r="M12" s="139">
        <v>353852</v>
      </c>
      <c r="N12" s="139">
        <f t="shared" si="0"/>
        <v>4411942</v>
      </c>
      <c r="O12" s="139">
        <f t="shared" si="1"/>
        <v>398385</v>
      </c>
      <c r="P12" s="139">
        <f t="shared" si="2"/>
        <v>367661.83333333331</v>
      </c>
      <c r="Q12" s="213">
        <f t="shared" si="3"/>
        <v>1.1145861573087158E-2</v>
      </c>
    </row>
    <row r="13" spans="1:17" x14ac:dyDescent="0.2">
      <c r="A13" s="175" t="s">
        <v>19</v>
      </c>
      <c r="B13" s="139">
        <v>203142</v>
      </c>
      <c r="C13" s="139">
        <v>172148</v>
      </c>
      <c r="D13" s="139">
        <v>198042</v>
      </c>
      <c r="E13" s="139">
        <v>183601</v>
      </c>
      <c r="F13" s="139">
        <v>201807</v>
      </c>
      <c r="G13" s="139">
        <v>189828</v>
      </c>
      <c r="H13" s="139">
        <v>207822</v>
      </c>
      <c r="I13" s="139">
        <v>200631</v>
      </c>
      <c r="J13" s="139">
        <v>212745</v>
      </c>
      <c r="K13" s="139">
        <v>219939</v>
      </c>
      <c r="L13" s="139">
        <v>198119</v>
      </c>
      <c r="M13" s="139">
        <v>191171</v>
      </c>
      <c r="N13" s="139">
        <f t="shared" si="0"/>
        <v>2378995</v>
      </c>
      <c r="O13" s="139">
        <f t="shared" si="1"/>
        <v>219939</v>
      </c>
      <c r="P13" s="139">
        <f t="shared" si="2"/>
        <v>198249.58333333334</v>
      </c>
      <c r="Q13" s="213">
        <f t="shared" si="3"/>
        <v>6.010040239211323E-3</v>
      </c>
    </row>
    <row r="14" spans="1:17" x14ac:dyDescent="0.2">
      <c r="A14" s="181" t="s">
        <v>29</v>
      </c>
      <c r="B14" s="139">
        <v>101421</v>
      </c>
      <c r="C14" s="139">
        <v>113971</v>
      </c>
      <c r="D14" s="139">
        <v>116110</v>
      </c>
      <c r="E14" s="139">
        <v>126781</v>
      </c>
      <c r="F14" s="139">
        <v>125952</v>
      </c>
      <c r="G14" s="139">
        <v>129712</v>
      </c>
      <c r="H14" s="139">
        <v>110548</v>
      </c>
      <c r="I14" s="139">
        <v>129358</v>
      </c>
      <c r="J14" s="139">
        <v>121260</v>
      </c>
      <c r="K14" s="139">
        <v>96470</v>
      </c>
      <c r="L14" s="139">
        <v>121343</v>
      </c>
      <c r="M14" s="139">
        <v>102654</v>
      </c>
      <c r="N14" s="139">
        <f t="shared" si="0"/>
        <v>1395580</v>
      </c>
      <c r="O14" s="139">
        <f t="shared" si="1"/>
        <v>129712</v>
      </c>
      <c r="P14" s="139">
        <f t="shared" si="2"/>
        <v>116298.33333333333</v>
      </c>
      <c r="Q14" s="213">
        <f t="shared" si="3"/>
        <v>3.5256450547557004E-3</v>
      </c>
    </row>
    <row r="15" spans="1:17" x14ac:dyDescent="0.2">
      <c r="A15" s="181" t="s">
        <v>88</v>
      </c>
      <c r="B15" s="139">
        <v>52116</v>
      </c>
      <c r="C15" s="139">
        <v>27500</v>
      </c>
      <c r="D15" s="139">
        <v>35234</v>
      </c>
      <c r="E15" s="139">
        <v>66234</v>
      </c>
      <c r="F15" s="139">
        <v>35184</v>
      </c>
      <c r="G15" s="139">
        <v>45271</v>
      </c>
      <c r="H15" s="139">
        <v>29464</v>
      </c>
      <c r="I15" s="139">
        <v>48077</v>
      </c>
      <c r="J15" s="139">
        <v>46645</v>
      </c>
      <c r="K15" s="139">
        <v>85708</v>
      </c>
      <c r="L15" s="139">
        <v>36285</v>
      </c>
      <c r="M15" s="139">
        <v>38975</v>
      </c>
      <c r="N15" s="139">
        <f t="shared" si="0"/>
        <v>546693</v>
      </c>
      <c r="O15" s="139">
        <f t="shared" si="1"/>
        <v>85708</v>
      </c>
      <c r="P15" s="139">
        <f t="shared" si="2"/>
        <v>45557.75</v>
      </c>
      <c r="Q15" s="213">
        <f t="shared" si="3"/>
        <v>1.38110711812978E-3</v>
      </c>
    </row>
    <row r="16" spans="1:17" x14ac:dyDescent="0.2">
      <c r="A16" s="175" t="s">
        <v>23</v>
      </c>
      <c r="B16" s="139">
        <v>29409</v>
      </c>
      <c r="C16" s="139">
        <v>27850</v>
      </c>
      <c r="D16" s="139">
        <v>26568</v>
      </c>
      <c r="E16" s="139">
        <v>28130</v>
      </c>
      <c r="F16" s="139">
        <v>29809</v>
      </c>
      <c r="G16" s="139">
        <v>23120</v>
      </c>
      <c r="H16" s="139">
        <v>22737</v>
      </c>
      <c r="I16" s="139">
        <v>23404</v>
      </c>
      <c r="J16" s="139">
        <v>22490</v>
      </c>
      <c r="K16" s="139">
        <v>21995</v>
      </c>
      <c r="L16" s="139">
        <v>25136</v>
      </c>
      <c r="M16" s="139">
        <v>25776</v>
      </c>
      <c r="N16" s="139">
        <f t="shared" si="0"/>
        <v>306424</v>
      </c>
      <c r="O16" s="139">
        <f t="shared" si="1"/>
        <v>29809</v>
      </c>
      <c r="P16" s="139">
        <f t="shared" si="2"/>
        <v>25535.333333333332</v>
      </c>
      <c r="Q16" s="213">
        <f t="shared" si="3"/>
        <v>7.7411704112874988E-4</v>
      </c>
    </row>
    <row r="17" spans="1:17" x14ac:dyDescent="0.2">
      <c r="A17" s="175" t="s">
        <v>18</v>
      </c>
      <c r="B17" s="139">
        <v>29964</v>
      </c>
      <c r="C17" s="139">
        <v>28624</v>
      </c>
      <c r="D17" s="139">
        <v>26441</v>
      </c>
      <c r="E17" s="139">
        <v>30075</v>
      </c>
      <c r="F17" s="139">
        <v>28966</v>
      </c>
      <c r="G17" s="139">
        <v>31318</v>
      </c>
      <c r="H17" s="139">
        <v>29581</v>
      </c>
      <c r="I17" s="139">
        <v>30948</v>
      </c>
      <c r="J17" s="139">
        <v>31377</v>
      </c>
      <c r="K17" s="139">
        <v>30078</v>
      </c>
      <c r="L17" s="139">
        <v>28638</v>
      </c>
      <c r="M17" s="139">
        <v>27931</v>
      </c>
      <c r="N17" s="139">
        <f t="shared" si="0"/>
        <v>353941</v>
      </c>
      <c r="O17" s="139">
        <f t="shared" si="1"/>
        <v>31377</v>
      </c>
      <c r="P17" s="139">
        <f t="shared" si="2"/>
        <v>29495.083333333332</v>
      </c>
      <c r="Q17" s="213">
        <f t="shared" si="3"/>
        <v>8.9415894203505883E-4</v>
      </c>
    </row>
    <row r="18" spans="1:17" x14ac:dyDescent="0.2">
      <c r="A18" s="181" t="s">
        <v>26</v>
      </c>
      <c r="B18" s="139">
        <v>20334</v>
      </c>
      <c r="C18" s="139">
        <v>22670</v>
      </c>
      <c r="D18" s="139">
        <v>22559</v>
      </c>
      <c r="E18" s="139">
        <v>24862</v>
      </c>
      <c r="F18" s="139">
        <v>25513</v>
      </c>
      <c r="G18" s="139">
        <v>24379</v>
      </c>
      <c r="H18" s="139">
        <v>22649</v>
      </c>
      <c r="I18" s="139">
        <v>24696</v>
      </c>
      <c r="J18" s="139">
        <v>23927</v>
      </c>
      <c r="K18" s="139">
        <v>21698</v>
      </c>
      <c r="L18" s="139">
        <v>21198</v>
      </c>
      <c r="M18" s="139">
        <v>20160</v>
      </c>
      <c r="N18" s="139">
        <f t="shared" si="0"/>
        <v>274645</v>
      </c>
      <c r="O18" s="139">
        <f t="shared" si="1"/>
        <v>25513</v>
      </c>
      <c r="P18" s="139">
        <f t="shared" si="2"/>
        <v>22887.083333333332</v>
      </c>
      <c r="Q18" s="213">
        <f t="shared" si="3"/>
        <v>6.9383395152078657E-4</v>
      </c>
    </row>
    <row r="19" spans="1:17" x14ac:dyDescent="0.2">
      <c r="A19" s="181" t="s">
        <v>62</v>
      </c>
      <c r="B19" s="139">
        <v>14990</v>
      </c>
      <c r="C19" s="139">
        <v>15177</v>
      </c>
      <c r="D19" s="139">
        <v>15335</v>
      </c>
      <c r="E19" s="139">
        <v>15558</v>
      </c>
      <c r="F19" s="139">
        <v>15611</v>
      </c>
      <c r="G19" s="139">
        <v>16957</v>
      </c>
      <c r="H19" s="139">
        <v>16285</v>
      </c>
      <c r="I19" s="139">
        <v>14505</v>
      </c>
      <c r="J19" s="139">
        <v>14376</v>
      </c>
      <c r="K19" s="139">
        <v>17264</v>
      </c>
      <c r="L19" s="139">
        <v>15115</v>
      </c>
      <c r="M19" s="139">
        <v>15630</v>
      </c>
      <c r="N19" s="139">
        <f t="shared" si="0"/>
        <v>186803</v>
      </c>
      <c r="O19" s="139">
        <f t="shared" si="1"/>
        <v>17264</v>
      </c>
      <c r="P19" s="139">
        <f t="shared" si="2"/>
        <v>15566.916666666666</v>
      </c>
      <c r="Q19" s="213">
        <f t="shared" si="3"/>
        <v>4.7191925447737077E-4</v>
      </c>
    </row>
    <row r="20" spans="1:17" x14ac:dyDescent="0.2">
      <c r="A20" s="181" t="s">
        <v>27</v>
      </c>
      <c r="B20" s="139">
        <v>13669</v>
      </c>
      <c r="C20" s="139">
        <v>14203</v>
      </c>
      <c r="D20" s="139">
        <v>15135</v>
      </c>
      <c r="E20" s="139">
        <v>16296</v>
      </c>
      <c r="F20" s="139">
        <v>13605</v>
      </c>
      <c r="G20" s="139">
        <v>12159</v>
      </c>
      <c r="H20" s="139">
        <v>9596</v>
      </c>
      <c r="I20" s="139">
        <v>10525</v>
      </c>
      <c r="J20" s="139">
        <v>13692</v>
      </c>
      <c r="K20" s="139">
        <v>14964</v>
      </c>
      <c r="L20" s="139">
        <v>14348</v>
      </c>
      <c r="M20" s="139">
        <v>15507</v>
      </c>
      <c r="N20" s="139">
        <f t="shared" si="0"/>
        <v>163699</v>
      </c>
      <c r="O20" s="139">
        <f t="shared" si="1"/>
        <v>16296</v>
      </c>
      <c r="P20" s="139">
        <f t="shared" si="2"/>
        <v>13641.583333333334</v>
      </c>
      <c r="Q20" s="213">
        <f t="shared" si="3"/>
        <v>4.1355176329443922E-4</v>
      </c>
    </row>
    <row r="21" spans="1:17" x14ac:dyDescent="0.2">
      <c r="A21" s="181" t="s">
        <v>63</v>
      </c>
      <c r="B21" s="139">
        <v>3786</v>
      </c>
      <c r="C21" s="139">
        <v>3499</v>
      </c>
      <c r="D21" s="139">
        <v>3339</v>
      </c>
      <c r="E21" s="139">
        <v>3466</v>
      </c>
      <c r="F21" s="139">
        <v>3275</v>
      </c>
      <c r="G21" s="139">
        <v>3477</v>
      </c>
      <c r="H21" s="139">
        <v>3229</v>
      </c>
      <c r="I21" s="139">
        <v>3297</v>
      </c>
      <c r="J21" s="139">
        <v>3180</v>
      </c>
      <c r="K21" s="139">
        <v>3010</v>
      </c>
      <c r="L21" s="139">
        <v>3103</v>
      </c>
      <c r="M21" s="139">
        <v>3018</v>
      </c>
      <c r="N21" s="139">
        <f t="shared" si="0"/>
        <v>39679</v>
      </c>
      <c r="O21" s="139">
        <f t="shared" si="1"/>
        <v>3786</v>
      </c>
      <c r="P21" s="139">
        <f t="shared" si="2"/>
        <v>3306.5833333333335</v>
      </c>
      <c r="Q21" s="213">
        <f t="shared" si="3"/>
        <v>1.0024081036389991E-4</v>
      </c>
    </row>
    <row r="22" spans="1:17" x14ac:dyDescent="0.2">
      <c r="A22" s="181" t="s">
        <v>30</v>
      </c>
      <c r="B22" s="139">
        <v>3522</v>
      </c>
      <c r="C22" s="139">
        <v>3768</v>
      </c>
      <c r="D22" s="139">
        <v>3537</v>
      </c>
      <c r="E22" s="139">
        <v>3659</v>
      </c>
      <c r="F22" s="139">
        <v>3501</v>
      </c>
      <c r="G22" s="139">
        <v>3622</v>
      </c>
      <c r="H22" s="139">
        <v>3518</v>
      </c>
      <c r="I22" s="139">
        <v>3518</v>
      </c>
      <c r="J22" s="139">
        <v>3637</v>
      </c>
      <c r="K22" s="139">
        <v>3518</v>
      </c>
      <c r="L22" s="139">
        <v>3634</v>
      </c>
      <c r="M22" s="139">
        <v>3524</v>
      </c>
      <c r="N22" s="139">
        <f t="shared" si="0"/>
        <v>42958</v>
      </c>
      <c r="O22" s="139">
        <f t="shared" si="1"/>
        <v>3768</v>
      </c>
      <c r="P22" s="139">
        <f t="shared" si="2"/>
        <v>3579.8333333333335</v>
      </c>
      <c r="Q22" s="213">
        <f t="shared" si="3"/>
        <v>1.085245276244969E-4</v>
      </c>
    </row>
    <row r="23" spans="1:17" x14ac:dyDescent="0.2">
      <c r="A23" s="181" t="s">
        <v>94</v>
      </c>
      <c r="B23" s="139">
        <v>150</v>
      </c>
      <c r="C23" s="139">
        <v>3239</v>
      </c>
      <c r="D23" s="139">
        <v>3569</v>
      </c>
      <c r="E23" s="139">
        <v>1735</v>
      </c>
      <c r="F23" s="139">
        <v>1684</v>
      </c>
      <c r="G23" s="139">
        <v>1789</v>
      </c>
      <c r="H23" s="139">
        <v>3162</v>
      </c>
      <c r="I23" s="139">
        <v>3670</v>
      </c>
      <c r="J23" s="139">
        <v>3612</v>
      </c>
      <c r="K23" s="139">
        <v>5739</v>
      </c>
      <c r="L23" s="139">
        <v>3542</v>
      </c>
      <c r="M23" s="139">
        <v>2750</v>
      </c>
      <c r="N23" s="139">
        <f t="shared" si="0"/>
        <v>34641</v>
      </c>
      <c r="O23" s="139">
        <f t="shared" si="1"/>
        <v>5739</v>
      </c>
      <c r="P23" s="139">
        <f t="shared" si="2"/>
        <v>2886.75</v>
      </c>
      <c r="Q23" s="213">
        <f t="shared" si="3"/>
        <v>8.7513342367898816E-5</v>
      </c>
    </row>
    <row r="24" spans="1:17" x14ac:dyDescent="0.2"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213"/>
    </row>
    <row r="25" spans="1:17" x14ac:dyDescent="0.2">
      <c r="A25" s="140" t="s">
        <v>15</v>
      </c>
      <c r="B25" s="141">
        <f t="shared" ref="B25:P25" si="4">SUM(B7:B24)</f>
        <v>36772721</v>
      </c>
      <c r="C25" s="141">
        <f t="shared" si="4"/>
        <v>31393993</v>
      </c>
      <c r="D25" s="141">
        <f t="shared" si="4"/>
        <v>28383902</v>
      </c>
      <c r="E25" s="141">
        <f t="shared" si="4"/>
        <v>33035180</v>
      </c>
      <c r="F25" s="141">
        <f t="shared" si="4"/>
        <v>28944278</v>
      </c>
      <c r="G25" s="141">
        <f t="shared" si="4"/>
        <v>33828751</v>
      </c>
      <c r="H25" s="141">
        <f t="shared" si="4"/>
        <v>32748319</v>
      </c>
      <c r="I25" s="141">
        <f t="shared" si="4"/>
        <v>34241205</v>
      </c>
      <c r="J25" s="141">
        <f t="shared" si="4"/>
        <v>34389585</v>
      </c>
      <c r="K25" s="141">
        <f t="shared" si="4"/>
        <v>35113840</v>
      </c>
      <c r="L25" s="141">
        <f t="shared" si="4"/>
        <v>32666566</v>
      </c>
      <c r="M25" s="141">
        <f t="shared" si="4"/>
        <v>29644723</v>
      </c>
      <c r="N25" s="141">
        <f t="shared" si="4"/>
        <v>391163063</v>
      </c>
      <c r="O25" s="141">
        <f t="shared" si="4"/>
        <v>38126734</v>
      </c>
      <c r="P25" s="141">
        <f t="shared" si="4"/>
        <v>32596921.916666657</v>
      </c>
      <c r="Q25" s="216">
        <f>+P25/$P$36</f>
        <v>0.98819280777099283</v>
      </c>
    </row>
    <row r="26" spans="1:17" x14ac:dyDescent="0.2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261"/>
    </row>
    <row r="27" spans="1:17" x14ac:dyDescent="0.2">
      <c r="A27" s="140" t="s">
        <v>97</v>
      </c>
      <c r="B27" s="139">
        <v>224965</v>
      </c>
      <c r="C27" s="139">
        <v>207234</v>
      </c>
      <c r="D27" s="139">
        <v>183138</v>
      </c>
      <c r="E27" s="139">
        <v>207338</v>
      </c>
      <c r="F27" s="139">
        <v>217637</v>
      </c>
      <c r="G27" s="139">
        <v>217981</v>
      </c>
      <c r="H27" s="139">
        <v>229570</v>
      </c>
      <c r="I27" s="139">
        <v>238022</v>
      </c>
      <c r="J27" s="139">
        <v>211763</v>
      </c>
      <c r="K27" s="139">
        <v>214833</v>
      </c>
      <c r="L27" s="139">
        <v>151505</v>
      </c>
      <c r="M27" s="139">
        <v>174495</v>
      </c>
      <c r="N27" s="139">
        <f t="shared" ref="N27:N32" si="5">SUM(B27:M27)</f>
        <v>2478481</v>
      </c>
      <c r="O27" s="139">
        <f t="shared" ref="O27:O32" si="6">MAX(B27:M27)</f>
        <v>238022</v>
      </c>
      <c r="P27" s="139">
        <f t="shared" ref="P27:P32" si="7">SUM(B27:M27)/12</f>
        <v>206540.08333333334</v>
      </c>
      <c r="Q27" s="213">
        <f t="shared" ref="Q27:Q32" si="8">+P27/$P$36</f>
        <v>6.2613711008727294E-3</v>
      </c>
    </row>
    <row r="28" spans="1:17" x14ac:dyDescent="0.2">
      <c r="A28" s="140" t="s">
        <v>34</v>
      </c>
      <c r="B28" s="139">
        <v>102096</v>
      </c>
      <c r="C28" s="139">
        <v>107003</v>
      </c>
      <c r="D28" s="139">
        <v>104613</v>
      </c>
      <c r="E28" s="139">
        <v>126051</v>
      </c>
      <c r="F28" s="139">
        <v>129326</v>
      </c>
      <c r="G28" s="139">
        <v>137847</v>
      </c>
      <c r="H28" s="139">
        <v>148604</v>
      </c>
      <c r="I28" s="139">
        <v>143829</v>
      </c>
      <c r="J28" s="139">
        <v>127756</v>
      </c>
      <c r="K28" s="139">
        <v>125289</v>
      </c>
      <c r="L28" s="139">
        <v>84874</v>
      </c>
      <c r="M28" s="139">
        <v>105265</v>
      </c>
      <c r="N28" s="139">
        <f t="shared" si="5"/>
        <v>1442553</v>
      </c>
      <c r="O28" s="139">
        <f t="shared" si="6"/>
        <v>148604</v>
      </c>
      <c r="P28" s="139">
        <f t="shared" si="7"/>
        <v>120212.75</v>
      </c>
      <c r="Q28" s="213">
        <f t="shared" si="8"/>
        <v>3.6443126518529933E-3</v>
      </c>
    </row>
    <row r="29" spans="1:17" x14ac:dyDescent="0.2">
      <c r="A29" s="140" t="s">
        <v>35</v>
      </c>
      <c r="B29" s="139">
        <v>45000</v>
      </c>
      <c r="C29" s="139">
        <v>45000</v>
      </c>
      <c r="D29" s="139">
        <v>45000</v>
      </c>
      <c r="E29" s="139">
        <v>45000</v>
      </c>
      <c r="F29" s="139">
        <v>45000</v>
      </c>
      <c r="G29" s="139">
        <v>45000</v>
      </c>
      <c r="H29" s="139">
        <v>45000</v>
      </c>
      <c r="I29" s="139">
        <v>45000</v>
      </c>
      <c r="J29" s="139">
        <v>45000</v>
      </c>
      <c r="K29" s="139">
        <v>45000</v>
      </c>
      <c r="L29" s="139">
        <v>45000</v>
      </c>
      <c r="M29" s="139">
        <v>45000</v>
      </c>
      <c r="N29" s="139">
        <f t="shared" si="5"/>
        <v>540000</v>
      </c>
      <c r="O29" s="139">
        <f t="shared" si="6"/>
        <v>45000</v>
      </c>
      <c r="P29" s="139">
        <f t="shared" si="7"/>
        <v>45000</v>
      </c>
      <c r="Q29" s="213">
        <f t="shared" si="8"/>
        <v>1.3641986339500984E-3</v>
      </c>
    </row>
    <row r="30" spans="1:17" x14ac:dyDescent="0.2">
      <c r="A30" s="175" t="s">
        <v>40</v>
      </c>
      <c r="B30" s="139">
        <v>13129</v>
      </c>
      <c r="C30" s="139">
        <v>11883</v>
      </c>
      <c r="D30" s="139">
        <v>9418</v>
      </c>
      <c r="E30" s="139">
        <v>11650</v>
      </c>
      <c r="F30" s="139">
        <v>13132</v>
      </c>
      <c r="G30" s="139">
        <v>13054</v>
      </c>
      <c r="H30" s="139">
        <v>13417</v>
      </c>
      <c r="I30" s="139">
        <v>13650</v>
      </c>
      <c r="J30" s="139">
        <v>12873</v>
      </c>
      <c r="K30" s="139">
        <v>12111</v>
      </c>
      <c r="L30" s="139">
        <v>7902</v>
      </c>
      <c r="M30" s="139">
        <v>9140</v>
      </c>
      <c r="N30" s="139">
        <f t="shared" si="5"/>
        <v>141359</v>
      </c>
      <c r="O30" s="139">
        <f t="shared" si="6"/>
        <v>13650</v>
      </c>
      <c r="P30" s="139">
        <f t="shared" si="7"/>
        <v>11779.916666666666</v>
      </c>
      <c r="Q30" s="213">
        <f t="shared" si="8"/>
        <v>3.5711436054917028E-4</v>
      </c>
    </row>
    <row r="31" spans="1:17" x14ac:dyDescent="0.2">
      <c r="A31" s="140" t="s">
        <v>33</v>
      </c>
      <c r="B31" s="139">
        <v>0</v>
      </c>
      <c r="C31" s="139">
        <v>0</v>
      </c>
      <c r="D31" s="139">
        <v>0</v>
      </c>
      <c r="E31" s="139">
        <v>0</v>
      </c>
      <c r="F31" s="139">
        <v>8313</v>
      </c>
      <c r="G31" s="139">
        <v>8105</v>
      </c>
      <c r="H31" s="139">
        <v>8571</v>
      </c>
      <c r="I31" s="139">
        <v>8455</v>
      </c>
      <c r="J31" s="139">
        <v>7681</v>
      </c>
      <c r="K31" s="139">
        <v>6442</v>
      </c>
      <c r="L31" s="139">
        <v>6021</v>
      </c>
      <c r="M31" s="139">
        <v>6200</v>
      </c>
      <c r="N31" s="139">
        <f t="shared" si="5"/>
        <v>59788</v>
      </c>
      <c r="O31" s="139">
        <f t="shared" si="6"/>
        <v>8571</v>
      </c>
      <c r="P31" s="139">
        <f t="shared" si="7"/>
        <v>4982.333333333333</v>
      </c>
      <c r="Q31" s="213">
        <f t="shared" si="8"/>
        <v>1.5104205171594164E-4</v>
      </c>
    </row>
    <row r="32" spans="1:17" x14ac:dyDescent="0.2">
      <c r="A32" s="175" t="s">
        <v>100</v>
      </c>
      <c r="B32" s="139">
        <v>1025</v>
      </c>
      <c r="C32" s="139">
        <v>990</v>
      </c>
      <c r="D32" s="139">
        <v>955</v>
      </c>
      <c r="E32" s="139">
        <v>973</v>
      </c>
      <c r="F32" s="139">
        <v>975</v>
      </c>
      <c r="G32" s="139">
        <v>944</v>
      </c>
      <c r="H32" s="139">
        <v>986</v>
      </c>
      <c r="I32" s="139">
        <v>916</v>
      </c>
      <c r="J32" s="139">
        <v>923</v>
      </c>
      <c r="K32" s="139">
        <v>879</v>
      </c>
      <c r="L32" s="139">
        <v>979</v>
      </c>
      <c r="M32" s="139">
        <v>995</v>
      </c>
      <c r="N32" s="139">
        <f t="shared" si="5"/>
        <v>11540</v>
      </c>
      <c r="O32" s="139">
        <f t="shared" si="6"/>
        <v>1025</v>
      </c>
      <c r="P32" s="139">
        <f t="shared" si="7"/>
        <v>961.66666666666663</v>
      </c>
      <c r="Q32" s="213">
        <f t="shared" si="8"/>
        <v>2.9153430066266918E-5</v>
      </c>
    </row>
    <row r="33" spans="1:17" x14ac:dyDescent="0.2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261"/>
    </row>
    <row r="34" spans="1:17" x14ac:dyDescent="0.2">
      <c r="A34" s="140" t="s">
        <v>42</v>
      </c>
      <c r="B34" s="141">
        <f t="shared" ref="B34:N34" si="9">SUM(B27:B33)</f>
        <v>386215</v>
      </c>
      <c r="C34" s="141">
        <f t="shared" si="9"/>
        <v>372110</v>
      </c>
      <c r="D34" s="141">
        <f t="shared" si="9"/>
        <v>343124</v>
      </c>
      <c r="E34" s="141">
        <f t="shared" si="9"/>
        <v>391012</v>
      </c>
      <c r="F34" s="141">
        <f t="shared" si="9"/>
        <v>414383</v>
      </c>
      <c r="G34" s="141">
        <f t="shared" si="9"/>
        <v>422931</v>
      </c>
      <c r="H34" s="141">
        <f t="shared" si="9"/>
        <v>446148</v>
      </c>
      <c r="I34" s="141">
        <f t="shared" si="9"/>
        <v>449872</v>
      </c>
      <c r="J34" s="141">
        <f t="shared" si="9"/>
        <v>405996</v>
      </c>
      <c r="K34" s="141">
        <f t="shared" si="9"/>
        <v>404554</v>
      </c>
      <c r="L34" s="141">
        <f t="shared" si="9"/>
        <v>296281</v>
      </c>
      <c r="M34" s="141">
        <f t="shared" si="9"/>
        <v>341095</v>
      </c>
      <c r="N34" s="141">
        <f t="shared" si="9"/>
        <v>4673721</v>
      </c>
      <c r="O34" s="141">
        <f>SUM(O27:O33)</f>
        <v>454872</v>
      </c>
      <c r="P34" s="141">
        <f>SUM(P27:P33)</f>
        <v>389476.75000000006</v>
      </c>
      <c r="Q34" s="216">
        <f>+P34/$P$36</f>
        <v>1.1807192229007201E-2</v>
      </c>
    </row>
    <row r="35" spans="1:17" x14ac:dyDescent="0.2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261"/>
    </row>
    <row r="36" spans="1:17" ht="13.5" thickBot="1" x14ac:dyDescent="0.25">
      <c r="A36" s="140" t="s">
        <v>14</v>
      </c>
      <c r="B36" s="262">
        <f>B25+B34</f>
        <v>37158936</v>
      </c>
      <c r="C36" s="262">
        <f t="shared" ref="C36:P36" si="10">C25+C34</f>
        <v>31766103</v>
      </c>
      <c r="D36" s="262">
        <f t="shared" si="10"/>
        <v>28727026</v>
      </c>
      <c r="E36" s="262">
        <f t="shared" si="10"/>
        <v>33426192</v>
      </c>
      <c r="F36" s="262">
        <f t="shared" si="10"/>
        <v>29358661</v>
      </c>
      <c r="G36" s="262">
        <f t="shared" si="10"/>
        <v>34251682</v>
      </c>
      <c r="H36" s="262">
        <f t="shared" si="10"/>
        <v>33194467</v>
      </c>
      <c r="I36" s="262">
        <f t="shared" si="10"/>
        <v>34691077</v>
      </c>
      <c r="J36" s="262">
        <f t="shared" si="10"/>
        <v>34795581</v>
      </c>
      <c r="K36" s="262">
        <f t="shared" si="10"/>
        <v>35518394</v>
      </c>
      <c r="L36" s="262">
        <f t="shared" si="10"/>
        <v>32962847</v>
      </c>
      <c r="M36" s="262">
        <f t="shared" si="10"/>
        <v>29985818</v>
      </c>
      <c r="N36" s="262">
        <f t="shared" si="10"/>
        <v>395836784</v>
      </c>
      <c r="O36" s="262">
        <f t="shared" si="10"/>
        <v>38581606</v>
      </c>
      <c r="P36" s="262">
        <f t="shared" si="10"/>
        <v>32986398.666666657</v>
      </c>
      <c r="Q36" s="225">
        <f>+P36/$P$36</f>
        <v>1</v>
      </c>
    </row>
    <row r="37" spans="1:17" ht="13.5" thickTop="1" x14ac:dyDescent="0.2"/>
  </sheetData>
  <pageMargins left="0.5" right="0.5" top="1" bottom="1" header="0.5" footer="0.5"/>
  <pageSetup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Q37"/>
  <sheetViews>
    <sheetView zoomScale="75" workbookViewId="0">
      <selection activeCell="A2" sqref="A2"/>
    </sheetView>
  </sheetViews>
  <sheetFormatPr defaultColWidth="9.140625" defaultRowHeight="12.75" x14ac:dyDescent="0.2"/>
  <cols>
    <col min="1" max="1" width="17.140625" style="175" customWidth="1"/>
    <col min="2" max="3" width="9.140625" style="175" customWidth="1"/>
    <col min="4" max="15" width="12.7109375" style="175" customWidth="1"/>
    <col min="16" max="16" width="14" style="175" customWidth="1"/>
    <col min="17" max="18" width="12.7109375" style="175" customWidth="1"/>
    <col min="19" max="19" width="8.7109375" style="175" customWidth="1"/>
    <col min="20" max="16384" width="9.140625" style="175"/>
  </cols>
  <sheetData>
    <row r="1" spans="1:17" ht="15" x14ac:dyDescent="0.25">
      <c r="A1" s="324" t="s">
        <v>220</v>
      </c>
    </row>
    <row r="2" spans="1:17" ht="15" x14ac:dyDescent="0.25">
      <c r="A2" s="324" t="s">
        <v>206</v>
      </c>
    </row>
    <row r="3" spans="1:17" ht="23.25" x14ac:dyDescent="0.35">
      <c r="A3" s="248" t="s">
        <v>131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</row>
    <row r="4" spans="1:17" ht="13.5" thickBot="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</row>
    <row r="5" spans="1:17" ht="26.25" thickBot="1" x14ac:dyDescent="0.25">
      <c r="A5" s="258"/>
      <c r="B5" s="157">
        <v>41275</v>
      </c>
      <c r="C5" s="157">
        <v>41306</v>
      </c>
      <c r="D5" s="157">
        <v>41334</v>
      </c>
      <c r="E5" s="157">
        <v>41365</v>
      </c>
      <c r="F5" s="157">
        <v>41395</v>
      </c>
      <c r="G5" s="157">
        <v>41426</v>
      </c>
      <c r="H5" s="157">
        <v>41456</v>
      </c>
      <c r="I5" s="157">
        <v>41487</v>
      </c>
      <c r="J5" s="157">
        <v>41518</v>
      </c>
      <c r="K5" s="157">
        <v>41548</v>
      </c>
      <c r="L5" s="157">
        <v>41579</v>
      </c>
      <c r="M5" s="157">
        <v>41609</v>
      </c>
      <c r="N5" s="137" t="s">
        <v>124</v>
      </c>
      <c r="O5" s="137" t="s">
        <v>130</v>
      </c>
      <c r="P5" s="137" t="s">
        <v>133</v>
      </c>
      <c r="Q5" s="137" t="s">
        <v>126</v>
      </c>
    </row>
    <row r="6" spans="1:17" x14ac:dyDescent="0.2">
      <c r="A6" s="259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260"/>
    </row>
    <row r="7" spans="1:17" x14ac:dyDescent="0.2">
      <c r="A7" s="175" t="s">
        <v>28</v>
      </c>
      <c r="B7" s="139">
        <v>22918309</v>
      </c>
      <c r="C7" s="139">
        <v>23633507</v>
      </c>
      <c r="D7" s="139">
        <v>22821210</v>
      </c>
      <c r="E7" s="139">
        <v>21083839</v>
      </c>
      <c r="F7" s="139">
        <v>21711226</v>
      </c>
      <c r="G7" s="139">
        <v>20730393</v>
      </c>
      <c r="H7" s="139">
        <v>22815104</v>
      </c>
      <c r="I7" s="139">
        <v>23086236</v>
      </c>
      <c r="J7" s="139">
        <v>25004123</v>
      </c>
      <c r="K7" s="139">
        <v>22959271</v>
      </c>
      <c r="L7" s="139">
        <v>21743276</v>
      </c>
      <c r="M7" s="139">
        <v>21666049</v>
      </c>
      <c r="N7" s="139">
        <f t="shared" ref="N7:N23" si="0">SUM(B7:M7)</f>
        <v>270172543</v>
      </c>
      <c r="O7" s="139">
        <f t="shared" ref="O7:O23" si="1">MAX(B7:M7)</f>
        <v>25004123</v>
      </c>
      <c r="P7" s="139">
        <f t="shared" ref="P7:P23" si="2">SUM(B7:M7)/12</f>
        <v>22514378.583333332</v>
      </c>
      <c r="Q7" s="213">
        <f t="shared" ref="Q7:Q23" si="3">+P7/$P$36</f>
        <v>0.67848417840240671</v>
      </c>
    </row>
    <row r="8" spans="1:17" x14ac:dyDescent="0.2">
      <c r="A8" s="181" t="s">
        <v>20</v>
      </c>
      <c r="B8" s="139">
        <v>4769510</v>
      </c>
      <c r="C8" s="139">
        <v>5182799</v>
      </c>
      <c r="D8" s="139">
        <v>4493076</v>
      </c>
      <c r="E8" s="139">
        <v>4978790</v>
      </c>
      <c r="F8" s="139">
        <v>5262781</v>
      </c>
      <c r="G8" s="139">
        <v>5403223</v>
      </c>
      <c r="H8" s="139">
        <v>5317378</v>
      </c>
      <c r="I8" s="139">
        <v>5527849</v>
      </c>
      <c r="J8" s="139">
        <v>5988471</v>
      </c>
      <c r="K8" s="139">
        <v>5349545</v>
      </c>
      <c r="L8" s="139">
        <v>5251355</v>
      </c>
      <c r="M8" s="139">
        <v>5043766</v>
      </c>
      <c r="N8" s="139">
        <f t="shared" si="0"/>
        <v>62568543</v>
      </c>
      <c r="O8" s="139">
        <f t="shared" si="1"/>
        <v>5988471</v>
      </c>
      <c r="P8" s="139">
        <f t="shared" si="2"/>
        <v>5214045.25</v>
      </c>
      <c r="Q8" s="213">
        <f t="shared" si="3"/>
        <v>0.15712835219969284</v>
      </c>
    </row>
    <row r="9" spans="1:17" x14ac:dyDescent="0.2">
      <c r="A9" s="175" t="s">
        <v>24</v>
      </c>
      <c r="B9" s="139">
        <v>1583300</v>
      </c>
      <c r="C9" s="139">
        <v>1692110</v>
      </c>
      <c r="D9" s="139">
        <v>1551288</v>
      </c>
      <c r="E9" s="139">
        <v>1681507</v>
      </c>
      <c r="F9" s="139">
        <v>1837444</v>
      </c>
      <c r="G9" s="139">
        <v>1858609</v>
      </c>
      <c r="H9" s="139">
        <v>1912487</v>
      </c>
      <c r="I9" s="139">
        <v>1898890</v>
      </c>
      <c r="J9" s="139">
        <v>2087064</v>
      </c>
      <c r="K9" s="139">
        <v>1851217</v>
      </c>
      <c r="L9" s="139">
        <v>1743531</v>
      </c>
      <c r="M9" s="139">
        <v>1645851</v>
      </c>
      <c r="N9" s="139">
        <f t="shared" si="0"/>
        <v>21343298</v>
      </c>
      <c r="O9" s="139">
        <f t="shared" si="1"/>
        <v>2087064</v>
      </c>
      <c r="P9" s="139">
        <f t="shared" si="2"/>
        <v>1778608.1666666667</v>
      </c>
      <c r="Q9" s="213">
        <f t="shared" si="3"/>
        <v>5.3599414089712784E-2</v>
      </c>
    </row>
    <row r="10" spans="1:17" x14ac:dyDescent="0.2">
      <c r="A10" s="175" t="s">
        <v>21</v>
      </c>
      <c r="B10" s="139">
        <v>1840673</v>
      </c>
      <c r="C10" s="139">
        <v>2001866</v>
      </c>
      <c r="D10" s="139">
        <v>1795822</v>
      </c>
      <c r="E10" s="139">
        <v>1903101</v>
      </c>
      <c r="F10" s="139">
        <v>2046765</v>
      </c>
      <c r="G10" s="139">
        <v>2085874</v>
      </c>
      <c r="H10" s="139">
        <v>2003043</v>
      </c>
      <c r="I10" s="139">
        <v>2080677</v>
      </c>
      <c r="J10" s="139">
        <v>2285255</v>
      </c>
      <c r="K10" s="139">
        <v>2003571</v>
      </c>
      <c r="L10" s="139">
        <v>1988751</v>
      </c>
      <c r="M10" s="139">
        <v>1980803</v>
      </c>
      <c r="N10" s="139">
        <f t="shared" si="0"/>
        <v>24016201</v>
      </c>
      <c r="O10" s="139">
        <f t="shared" si="1"/>
        <v>2285255</v>
      </c>
      <c r="P10" s="139">
        <f t="shared" si="2"/>
        <v>2001350.0833333333</v>
      </c>
      <c r="Q10" s="213">
        <f t="shared" si="3"/>
        <v>6.0311874119022002E-2</v>
      </c>
    </row>
    <row r="11" spans="1:17" x14ac:dyDescent="0.2">
      <c r="A11" s="175" t="s">
        <v>17</v>
      </c>
      <c r="B11" s="139">
        <v>426057</v>
      </c>
      <c r="C11" s="139">
        <v>453423</v>
      </c>
      <c r="D11" s="139">
        <v>394583</v>
      </c>
      <c r="E11" s="139">
        <v>435855</v>
      </c>
      <c r="F11" s="139">
        <v>442473</v>
      </c>
      <c r="G11" s="139">
        <v>446884</v>
      </c>
      <c r="H11" s="139">
        <v>448733</v>
      </c>
      <c r="I11" s="139">
        <v>447260</v>
      </c>
      <c r="J11" s="139">
        <v>481269</v>
      </c>
      <c r="K11" s="139">
        <v>426826</v>
      </c>
      <c r="L11" s="139">
        <v>428929</v>
      </c>
      <c r="M11" s="139">
        <v>425706</v>
      </c>
      <c r="N11" s="139">
        <f t="shared" si="0"/>
        <v>5257998</v>
      </c>
      <c r="O11" s="139">
        <f t="shared" si="1"/>
        <v>481269</v>
      </c>
      <c r="P11" s="139">
        <f t="shared" si="2"/>
        <v>438166.5</v>
      </c>
      <c r="Q11" s="213">
        <f t="shared" si="3"/>
        <v>1.3204407870090256E-2</v>
      </c>
    </row>
    <row r="12" spans="1:17" x14ac:dyDescent="0.2">
      <c r="A12" s="181" t="s">
        <v>22</v>
      </c>
      <c r="B12" s="139">
        <v>354768</v>
      </c>
      <c r="C12" s="139">
        <v>375553</v>
      </c>
      <c r="D12" s="139">
        <v>323104</v>
      </c>
      <c r="E12" s="139">
        <v>350715</v>
      </c>
      <c r="F12" s="139">
        <v>361246</v>
      </c>
      <c r="G12" s="139">
        <v>384711</v>
      </c>
      <c r="H12" s="139">
        <v>389252</v>
      </c>
      <c r="I12" s="139">
        <v>395665</v>
      </c>
      <c r="J12" s="139">
        <v>410407</v>
      </c>
      <c r="K12" s="139">
        <v>367005</v>
      </c>
      <c r="L12" s="139">
        <v>362172</v>
      </c>
      <c r="M12" s="139">
        <v>352522</v>
      </c>
      <c r="N12" s="139">
        <f t="shared" si="0"/>
        <v>4427120</v>
      </c>
      <c r="O12" s="139">
        <f t="shared" si="1"/>
        <v>410407</v>
      </c>
      <c r="P12" s="139">
        <f t="shared" si="2"/>
        <v>368926.66666666669</v>
      </c>
      <c r="Q12" s="213">
        <f t="shared" si="3"/>
        <v>1.1117824344899708E-2</v>
      </c>
    </row>
    <row r="13" spans="1:17" x14ac:dyDescent="0.2">
      <c r="A13" s="175" t="s">
        <v>19</v>
      </c>
      <c r="B13" s="139">
        <v>189878</v>
      </c>
      <c r="C13" s="139">
        <v>194806</v>
      </c>
      <c r="D13" s="139">
        <v>189614</v>
      </c>
      <c r="E13" s="139">
        <v>189687</v>
      </c>
      <c r="F13" s="139">
        <v>195021</v>
      </c>
      <c r="G13" s="139">
        <v>202409</v>
      </c>
      <c r="H13" s="139">
        <v>202569</v>
      </c>
      <c r="I13" s="139">
        <v>207295</v>
      </c>
      <c r="J13" s="139">
        <v>203769</v>
      </c>
      <c r="K13" s="139">
        <v>195558</v>
      </c>
      <c r="L13" s="139">
        <v>194565</v>
      </c>
      <c r="M13" s="139">
        <v>189967</v>
      </c>
      <c r="N13" s="139">
        <f t="shared" si="0"/>
        <v>2355138</v>
      </c>
      <c r="O13" s="139">
        <f t="shared" si="1"/>
        <v>207295</v>
      </c>
      <c r="P13" s="139">
        <f t="shared" si="2"/>
        <v>196261.5</v>
      </c>
      <c r="Q13" s="213">
        <f t="shared" si="3"/>
        <v>5.9144569363374852E-3</v>
      </c>
    </row>
    <row r="14" spans="1:17" x14ac:dyDescent="0.2">
      <c r="A14" s="181" t="s">
        <v>29</v>
      </c>
      <c r="B14" s="139">
        <v>101427</v>
      </c>
      <c r="C14" s="139">
        <v>122596</v>
      </c>
      <c r="D14" s="139">
        <v>113568</v>
      </c>
      <c r="E14" s="139">
        <v>124832</v>
      </c>
      <c r="F14" s="139">
        <v>131319</v>
      </c>
      <c r="G14" s="139">
        <v>121223</v>
      </c>
      <c r="H14" s="139">
        <v>99160</v>
      </c>
      <c r="I14" s="139">
        <v>143265</v>
      </c>
      <c r="J14" s="139">
        <v>124161</v>
      </c>
      <c r="K14" s="139">
        <v>109060</v>
      </c>
      <c r="L14" s="139">
        <v>109373</v>
      </c>
      <c r="M14" s="139">
        <v>102154</v>
      </c>
      <c r="N14" s="139">
        <f t="shared" si="0"/>
        <v>1402138</v>
      </c>
      <c r="O14" s="139">
        <f t="shared" si="1"/>
        <v>143265</v>
      </c>
      <c r="P14" s="139">
        <f t="shared" si="2"/>
        <v>116844.83333333333</v>
      </c>
      <c r="Q14" s="213">
        <f t="shared" si="3"/>
        <v>3.5211884907815883E-3</v>
      </c>
    </row>
    <row r="15" spans="1:17" x14ac:dyDescent="0.2">
      <c r="A15" s="181" t="s">
        <v>88</v>
      </c>
      <c r="B15" s="139">
        <v>39626</v>
      </c>
      <c r="C15" s="139">
        <v>50301</v>
      </c>
      <c r="D15" s="139">
        <v>55848</v>
      </c>
      <c r="E15" s="139">
        <v>78379</v>
      </c>
      <c r="F15" s="139">
        <v>64357</v>
      </c>
      <c r="G15" s="139">
        <v>42074</v>
      </c>
      <c r="H15" s="139">
        <v>34527</v>
      </c>
      <c r="I15" s="139">
        <v>33408</v>
      </c>
      <c r="J15" s="139">
        <v>89105</v>
      </c>
      <c r="K15" s="139">
        <v>70602</v>
      </c>
      <c r="L15" s="139">
        <v>80931</v>
      </c>
      <c r="M15" s="139">
        <v>61096</v>
      </c>
      <c r="N15" s="139">
        <f t="shared" si="0"/>
        <v>700254</v>
      </c>
      <c r="O15" s="139">
        <f t="shared" si="1"/>
        <v>89105</v>
      </c>
      <c r="P15" s="139">
        <f t="shared" si="2"/>
        <v>58354.5</v>
      </c>
      <c r="Q15" s="213">
        <f t="shared" si="3"/>
        <v>1.7585475362794322E-3</v>
      </c>
    </row>
    <row r="16" spans="1:17" x14ac:dyDescent="0.2">
      <c r="A16" s="175" t="s">
        <v>18</v>
      </c>
      <c r="B16" s="139">
        <v>28882</v>
      </c>
      <c r="C16" s="139">
        <v>30509</v>
      </c>
      <c r="D16" s="139">
        <v>27239</v>
      </c>
      <c r="E16" s="139">
        <v>29653</v>
      </c>
      <c r="F16" s="139">
        <v>29675</v>
      </c>
      <c r="G16" s="139">
        <v>30672</v>
      </c>
      <c r="H16" s="139">
        <v>29925</v>
      </c>
      <c r="I16" s="139">
        <v>31039</v>
      </c>
      <c r="J16" s="139">
        <v>32436</v>
      </c>
      <c r="K16" s="139">
        <v>29129</v>
      </c>
      <c r="L16" s="139">
        <v>29359</v>
      </c>
      <c r="M16" s="139">
        <v>29575</v>
      </c>
      <c r="N16" s="139">
        <f t="shared" si="0"/>
        <v>358093</v>
      </c>
      <c r="O16" s="139">
        <f t="shared" si="1"/>
        <v>32436</v>
      </c>
      <c r="P16" s="139">
        <f t="shared" si="2"/>
        <v>29841.083333333332</v>
      </c>
      <c r="Q16" s="213">
        <f t="shared" si="3"/>
        <v>8.9927878014107836E-4</v>
      </c>
    </row>
    <row r="17" spans="1:17" x14ac:dyDescent="0.2">
      <c r="A17" s="175" t="s">
        <v>23</v>
      </c>
      <c r="B17" s="139">
        <v>33409</v>
      </c>
      <c r="C17" s="139">
        <v>30703</v>
      </c>
      <c r="D17" s="139">
        <v>32828</v>
      </c>
      <c r="E17" s="139">
        <v>36999</v>
      </c>
      <c r="F17" s="139">
        <v>26134</v>
      </c>
      <c r="G17" s="139">
        <v>24607</v>
      </c>
      <c r="H17" s="139">
        <v>32799</v>
      </c>
      <c r="I17" s="139">
        <v>32189</v>
      </c>
      <c r="J17" s="139">
        <v>19488</v>
      </c>
      <c r="K17" s="139">
        <v>23042</v>
      </c>
      <c r="L17" s="139">
        <v>19258</v>
      </c>
      <c r="M17" s="139">
        <v>27413</v>
      </c>
      <c r="N17" s="139">
        <f t="shared" si="0"/>
        <v>338869</v>
      </c>
      <c r="O17" s="139">
        <f t="shared" si="1"/>
        <v>36999</v>
      </c>
      <c r="P17" s="139">
        <f t="shared" si="2"/>
        <v>28239.083333333332</v>
      </c>
      <c r="Q17" s="213">
        <f t="shared" si="3"/>
        <v>8.5100155810816482E-4</v>
      </c>
    </row>
    <row r="18" spans="1:17" x14ac:dyDescent="0.2">
      <c r="A18" s="181" t="s">
        <v>26</v>
      </c>
      <c r="B18" s="139">
        <v>20401</v>
      </c>
      <c r="C18" s="139">
        <v>23508</v>
      </c>
      <c r="D18" s="139">
        <v>22720</v>
      </c>
      <c r="E18" s="139">
        <v>24943</v>
      </c>
      <c r="F18" s="139">
        <v>25372</v>
      </c>
      <c r="G18" s="139">
        <v>24011</v>
      </c>
      <c r="H18" s="139">
        <v>22949</v>
      </c>
      <c r="I18" s="139">
        <v>24928</v>
      </c>
      <c r="J18" s="139">
        <v>23906</v>
      </c>
      <c r="K18" s="139">
        <v>21779</v>
      </c>
      <c r="L18" s="139">
        <v>21313</v>
      </c>
      <c r="M18" s="139">
        <v>20130</v>
      </c>
      <c r="N18" s="139">
        <f t="shared" si="0"/>
        <v>275960</v>
      </c>
      <c r="O18" s="139">
        <f t="shared" si="1"/>
        <v>25372</v>
      </c>
      <c r="P18" s="139">
        <f t="shared" si="2"/>
        <v>22996.666666666668</v>
      </c>
      <c r="Q18" s="213">
        <f t="shared" si="3"/>
        <v>6.9301821640672121E-4</v>
      </c>
    </row>
    <row r="19" spans="1:17" x14ac:dyDescent="0.2">
      <c r="A19" s="181" t="s">
        <v>62</v>
      </c>
      <c r="B19" s="139">
        <v>15801</v>
      </c>
      <c r="C19" s="139">
        <v>17032</v>
      </c>
      <c r="D19" s="139">
        <v>16884</v>
      </c>
      <c r="E19" s="139">
        <v>17995</v>
      </c>
      <c r="F19" s="139">
        <v>17682</v>
      </c>
      <c r="G19" s="139">
        <v>18977</v>
      </c>
      <c r="H19" s="139">
        <v>19808</v>
      </c>
      <c r="I19" s="139">
        <v>19923</v>
      </c>
      <c r="J19" s="139">
        <v>20022</v>
      </c>
      <c r="K19" s="139">
        <v>18902</v>
      </c>
      <c r="L19" s="139">
        <v>17109</v>
      </c>
      <c r="M19" s="139">
        <v>16699</v>
      </c>
      <c r="N19" s="139">
        <f t="shared" si="0"/>
        <v>216834</v>
      </c>
      <c r="O19" s="139">
        <f t="shared" si="1"/>
        <v>20022</v>
      </c>
      <c r="P19" s="139">
        <f t="shared" si="2"/>
        <v>18069.5</v>
      </c>
      <c r="Q19" s="213">
        <f t="shared" si="3"/>
        <v>5.4453512080132984E-4</v>
      </c>
    </row>
    <row r="20" spans="1:17" x14ac:dyDescent="0.2">
      <c r="A20" s="181" t="s">
        <v>27</v>
      </c>
      <c r="B20" s="139">
        <v>11812</v>
      </c>
      <c r="C20" s="139">
        <v>15508</v>
      </c>
      <c r="D20" s="139">
        <v>16171</v>
      </c>
      <c r="E20" s="139">
        <v>14113</v>
      </c>
      <c r="F20" s="139">
        <v>13871</v>
      </c>
      <c r="G20" s="139">
        <v>10455</v>
      </c>
      <c r="H20" s="139">
        <v>9250</v>
      </c>
      <c r="I20" s="139">
        <v>10513</v>
      </c>
      <c r="J20" s="139">
        <v>14527</v>
      </c>
      <c r="K20" s="139">
        <v>13518</v>
      </c>
      <c r="L20" s="139">
        <v>15686</v>
      </c>
      <c r="M20" s="139">
        <v>14931</v>
      </c>
      <c r="N20" s="139">
        <f t="shared" si="0"/>
        <v>160355</v>
      </c>
      <c r="O20" s="139">
        <f t="shared" si="1"/>
        <v>16171</v>
      </c>
      <c r="P20" s="139">
        <f t="shared" si="2"/>
        <v>13362.916666666666</v>
      </c>
      <c r="Q20" s="213">
        <f t="shared" si="3"/>
        <v>4.0269943503369967E-4</v>
      </c>
    </row>
    <row r="21" spans="1:17" x14ac:dyDescent="0.2">
      <c r="A21" s="181" t="s">
        <v>94</v>
      </c>
      <c r="B21" s="139">
        <v>1047</v>
      </c>
      <c r="C21" s="139">
        <v>1413</v>
      </c>
      <c r="D21" s="139">
        <v>3854</v>
      </c>
      <c r="E21" s="139">
        <v>4355</v>
      </c>
      <c r="F21" s="139">
        <v>3897</v>
      </c>
      <c r="G21" s="139">
        <v>3603</v>
      </c>
      <c r="H21" s="139">
        <v>4611</v>
      </c>
      <c r="I21" s="139">
        <v>3534</v>
      </c>
      <c r="J21" s="139">
        <v>4425</v>
      </c>
      <c r="K21" s="139">
        <v>5705</v>
      </c>
      <c r="L21" s="139">
        <v>2480</v>
      </c>
      <c r="M21" s="139">
        <v>6479</v>
      </c>
      <c r="N21" s="139">
        <f t="shared" si="0"/>
        <v>45403</v>
      </c>
      <c r="O21" s="139">
        <f t="shared" si="1"/>
        <v>6479</v>
      </c>
      <c r="P21" s="139">
        <f t="shared" si="2"/>
        <v>3783.5833333333335</v>
      </c>
      <c r="Q21" s="213">
        <f t="shared" si="3"/>
        <v>1.1402053224929106E-4</v>
      </c>
    </row>
    <row r="22" spans="1:17" x14ac:dyDescent="0.2">
      <c r="A22" s="181" t="s">
        <v>63</v>
      </c>
      <c r="B22" s="139">
        <v>3052</v>
      </c>
      <c r="C22" s="139">
        <v>3116</v>
      </c>
      <c r="D22" s="139">
        <v>2709</v>
      </c>
      <c r="E22" s="139">
        <v>2937</v>
      </c>
      <c r="F22" s="139">
        <v>2867</v>
      </c>
      <c r="G22" s="139">
        <v>6186</v>
      </c>
      <c r="H22" s="139">
        <v>6802</v>
      </c>
      <c r="I22" s="139">
        <v>6848</v>
      </c>
      <c r="J22" s="139">
        <v>6996</v>
      </c>
      <c r="K22" s="139">
        <v>1262</v>
      </c>
      <c r="L22" s="139">
        <v>1232</v>
      </c>
      <c r="M22" s="139">
        <v>1234</v>
      </c>
      <c r="N22" s="139">
        <f t="shared" si="0"/>
        <v>45241</v>
      </c>
      <c r="O22" s="139">
        <f t="shared" si="1"/>
        <v>6996</v>
      </c>
      <c r="P22" s="139">
        <f t="shared" si="2"/>
        <v>3770.0833333333335</v>
      </c>
      <c r="Q22" s="213">
        <f t="shared" si="3"/>
        <v>1.1361370172654179E-4</v>
      </c>
    </row>
    <row r="23" spans="1:17" x14ac:dyDescent="0.2">
      <c r="A23" s="181" t="s">
        <v>30</v>
      </c>
      <c r="B23" s="139">
        <v>3527</v>
      </c>
      <c r="C23" s="139">
        <v>3908</v>
      </c>
      <c r="D23" s="139">
        <v>3544</v>
      </c>
      <c r="E23" s="139">
        <v>3655</v>
      </c>
      <c r="F23" s="139">
        <v>3542</v>
      </c>
      <c r="G23" s="139">
        <v>3199</v>
      </c>
      <c r="H23" s="139">
        <v>3506</v>
      </c>
      <c r="I23" s="139">
        <v>3512</v>
      </c>
      <c r="J23" s="139">
        <v>3473</v>
      </c>
      <c r="K23" s="139">
        <v>3507</v>
      </c>
      <c r="L23" s="139">
        <v>3625</v>
      </c>
      <c r="M23" s="139">
        <v>3517</v>
      </c>
      <c r="N23" s="139">
        <f t="shared" si="0"/>
        <v>42515</v>
      </c>
      <c r="O23" s="139">
        <f t="shared" si="1"/>
        <v>3908</v>
      </c>
      <c r="P23" s="139">
        <f t="shared" si="2"/>
        <v>3542.9166666666665</v>
      </c>
      <c r="Q23" s="213">
        <f t="shared" si="3"/>
        <v>1.067678992264522E-4</v>
      </c>
    </row>
    <row r="24" spans="1:17" x14ac:dyDescent="0.2"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213"/>
    </row>
    <row r="25" spans="1:17" x14ac:dyDescent="0.2">
      <c r="A25" s="140" t="s">
        <v>15</v>
      </c>
      <c r="B25" s="141">
        <f t="shared" ref="B25:P25" si="4">SUM(B7:B24)</f>
        <v>32341479</v>
      </c>
      <c r="C25" s="141">
        <f t="shared" si="4"/>
        <v>33832658</v>
      </c>
      <c r="D25" s="141">
        <f t="shared" si="4"/>
        <v>31864062</v>
      </c>
      <c r="E25" s="141">
        <f t="shared" si="4"/>
        <v>30961355</v>
      </c>
      <c r="F25" s="141">
        <f t="shared" si="4"/>
        <v>32175672</v>
      </c>
      <c r="G25" s="141">
        <f t="shared" si="4"/>
        <v>31397110</v>
      </c>
      <c r="H25" s="141">
        <f t="shared" si="4"/>
        <v>33351903</v>
      </c>
      <c r="I25" s="141">
        <f t="shared" si="4"/>
        <v>33953031</v>
      </c>
      <c r="J25" s="141">
        <f t="shared" si="4"/>
        <v>36798897</v>
      </c>
      <c r="K25" s="141">
        <f t="shared" si="4"/>
        <v>33449499</v>
      </c>
      <c r="L25" s="141">
        <f t="shared" si="4"/>
        <v>32012945</v>
      </c>
      <c r="M25" s="141">
        <f t="shared" si="4"/>
        <v>31587892</v>
      </c>
      <c r="N25" s="141">
        <f t="shared" si="4"/>
        <v>393726503</v>
      </c>
      <c r="O25" s="141">
        <f t="shared" si="4"/>
        <v>36844637</v>
      </c>
      <c r="P25" s="141">
        <f t="shared" si="4"/>
        <v>32810541.916666664</v>
      </c>
      <c r="Q25" s="216">
        <f>+P25/$P$36</f>
        <v>0.98876517923291607</v>
      </c>
    </row>
    <row r="26" spans="1:17" x14ac:dyDescent="0.2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261"/>
    </row>
    <row r="27" spans="1:17" x14ac:dyDescent="0.2">
      <c r="A27" s="140" t="s">
        <v>97</v>
      </c>
      <c r="B27" s="139">
        <v>172867</v>
      </c>
      <c r="C27" s="139">
        <v>194639</v>
      </c>
      <c r="D27" s="139">
        <v>196069</v>
      </c>
      <c r="E27" s="139">
        <v>223880</v>
      </c>
      <c r="F27" s="139">
        <v>224198</v>
      </c>
      <c r="G27" s="139">
        <v>231785</v>
      </c>
      <c r="H27" s="139">
        <v>226251</v>
      </c>
      <c r="I27" s="139">
        <v>236361</v>
      </c>
      <c r="J27" s="139">
        <v>227263</v>
      </c>
      <c r="K27" s="139">
        <v>220995</v>
      </c>
      <c r="L27" s="139">
        <v>187306</v>
      </c>
      <c r="M27" s="139">
        <v>183623</v>
      </c>
      <c r="N27" s="139">
        <f t="shared" ref="N27:N32" si="5">SUM(B27:M27)</f>
        <v>2525237</v>
      </c>
      <c r="O27" s="139">
        <f t="shared" ref="O27:O32" si="6">MAX(B27:M27)</f>
        <v>236361</v>
      </c>
      <c r="P27" s="139">
        <f t="shared" ref="P27:P32" si="7">SUM(B27:M27)/12</f>
        <v>210436.41666666666</v>
      </c>
      <c r="Q27" s="213">
        <f t="shared" ref="Q27:Q32" si="8">+P27/$P$36</f>
        <v>6.3416264739246967E-3</v>
      </c>
    </row>
    <row r="28" spans="1:17" x14ac:dyDescent="0.2">
      <c r="A28" s="140" t="s">
        <v>34</v>
      </c>
      <c r="B28" s="139">
        <v>104213</v>
      </c>
      <c r="C28" s="139">
        <v>108678</v>
      </c>
      <c r="D28" s="139">
        <v>98374</v>
      </c>
      <c r="E28" s="139">
        <v>126807</v>
      </c>
      <c r="F28" s="139">
        <v>139147</v>
      </c>
      <c r="G28" s="139">
        <v>139433</v>
      </c>
      <c r="H28" s="139">
        <v>147695</v>
      </c>
      <c r="I28" s="139">
        <v>140477</v>
      </c>
      <c r="J28" s="139">
        <v>133456</v>
      </c>
      <c r="K28" s="139">
        <v>129638</v>
      </c>
      <c r="L28" s="139">
        <v>105406</v>
      </c>
      <c r="M28" s="139">
        <v>115885</v>
      </c>
      <c r="N28" s="139">
        <f t="shared" si="5"/>
        <v>1489209</v>
      </c>
      <c r="O28" s="139">
        <f t="shared" si="6"/>
        <v>147695</v>
      </c>
      <c r="P28" s="139">
        <f t="shared" si="7"/>
        <v>124100.75</v>
      </c>
      <c r="Q28" s="213">
        <f t="shared" si="8"/>
        <v>3.739849851561229E-3</v>
      </c>
    </row>
    <row r="29" spans="1:17" x14ac:dyDescent="0.2">
      <c r="A29" s="140" t="s">
        <v>35</v>
      </c>
      <c r="B29" s="139">
        <v>45000</v>
      </c>
      <c r="C29" s="139">
        <v>45000</v>
      </c>
      <c r="D29" s="139">
        <v>45000</v>
      </c>
      <c r="E29" s="139">
        <v>45000</v>
      </c>
      <c r="F29" s="139">
        <v>45000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139">
        <f t="shared" si="5"/>
        <v>225000</v>
      </c>
      <c r="O29" s="139">
        <f t="shared" si="6"/>
        <v>45000</v>
      </c>
      <c r="P29" s="139">
        <f t="shared" si="7"/>
        <v>18750</v>
      </c>
      <c r="Q29" s="213">
        <f t="shared" si="8"/>
        <v>5.6504239270732085E-4</v>
      </c>
    </row>
    <row r="30" spans="1:17" x14ac:dyDescent="0.2">
      <c r="A30" s="175" t="s">
        <v>40</v>
      </c>
      <c r="B30" s="139">
        <v>8708</v>
      </c>
      <c r="C30" s="139">
        <v>10853</v>
      </c>
      <c r="D30" s="139">
        <v>11363</v>
      </c>
      <c r="E30" s="139">
        <v>11581</v>
      </c>
      <c r="F30" s="139">
        <v>12367</v>
      </c>
      <c r="G30" s="139">
        <v>13187</v>
      </c>
      <c r="H30" s="139">
        <v>12500</v>
      </c>
      <c r="I30" s="139">
        <v>13557</v>
      </c>
      <c r="J30" s="139">
        <v>13021</v>
      </c>
      <c r="K30" s="139">
        <v>11905</v>
      </c>
      <c r="L30" s="139">
        <v>9634</v>
      </c>
      <c r="M30" s="139">
        <v>9546</v>
      </c>
      <c r="N30" s="139">
        <f t="shared" si="5"/>
        <v>138222</v>
      </c>
      <c r="O30" s="139">
        <f t="shared" si="6"/>
        <v>13557</v>
      </c>
      <c r="P30" s="139">
        <f t="shared" si="7"/>
        <v>11518.5</v>
      </c>
      <c r="Q30" s="213">
        <f t="shared" si="8"/>
        <v>3.4711684268796131E-4</v>
      </c>
    </row>
    <row r="31" spans="1:17" x14ac:dyDescent="0.2">
      <c r="A31" s="140" t="s">
        <v>33</v>
      </c>
      <c r="B31" s="139">
        <v>6529</v>
      </c>
      <c r="C31" s="139">
        <v>6727</v>
      </c>
      <c r="D31" s="139">
        <v>6742</v>
      </c>
      <c r="E31" s="139">
        <v>6324</v>
      </c>
      <c r="F31" s="139">
        <v>7555</v>
      </c>
      <c r="G31" s="139">
        <v>7987</v>
      </c>
      <c r="H31" s="139">
        <v>8255</v>
      </c>
      <c r="I31" s="139">
        <v>8389</v>
      </c>
      <c r="J31" s="139">
        <v>8163</v>
      </c>
      <c r="K31" s="139">
        <v>7220</v>
      </c>
      <c r="L31" s="139">
        <v>5707</v>
      </c>
      <c r="M31" s="139">
        <v>6401</v>
      </c>
      <c r="N31" s="139">
        <f t="shared" si="5"/>
        <v>85999</v>
      </c>
      <c r="O31" s="139">
        <f t="shared" si="6"/>
        <v>8389</v>
      </c>
      <c r="P31" s="139">
        <f t="shared" si="7"/>
        <v>7166.583333333333</v>
      </c>
      <c r="Q31" s="213">
        <f t="shared" si="8"/>
        <v>2.1596924769083059E-4</v>
      </c>
    </row>
    <row r="32" spans="1:17" x14ac:dyDescent="0.2">
      <c r="A32" s="175" t="s">
        <v>100</v>
      </c>
      <c r="B32" s="139">
        <v>986</v>
      </c>
      <c r="C32" s="139">
        <v>587</v>
      </c>
      <c r="D32" s="139">
        <v>974</v>
      </c>
      <c r="E32" s="139">
        <v>978</v>
      </c>
      <c r="F32" s="139">
        <v>1001</v>
      </c>
      <c r="G32" s="139">
        <v>939</v>
      </c>
      <c r="H32" s="139">
        <v>900</v>
      </c>
      <c r="I32" s="139">
        <v>890</v>
      </c>
      <c r="J32" s="139">
        <v>919</v>
      </c>
      <c r="K32" s="139">
        <v>944</v>
      </c>
      <c r="L32" s="139">
        <v>923</v>
      </c>
      <c r="M32" s="139">
        <v>0</v>
      </c>
      <c r="N32" s="139">
        <f t="shared" si="5"/>
        <v>10041</v>
      </c>
      <c r="O32" s="139">
        <f t="shared" si="6"/>
        <v>1001</v>
      </c>
      <c r="P32" s="139">
        <f t="shared" si="7"/>
        <v>836.75</v>
      </c>
      <c r="Q32" s="213">
        <f t="shared" si="8"/>
        <v>2.521595851188537E-5</v>
      </c>
    </row>
    <row r="33" spans="1:17" x14ac:dyDescent="0.2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261"/>
    </row>
    <row r="34" spans="1:17" x14ac:dyDescent="0.2">
      <c r="A34" s="140" t="s">
        <v>42</v>
      </c>
      <c r="B34" s="141">
        <f t="shared" ref="B34:N34" si="9">SUM(B27:B33)</f>
        <v>338303</v>
      </c>
      <c r="C34" s="141">
        <f t="shared" si="9"/>
        <v>366484</v>
      </c>
      <c r="D34" s="141">
        <f t="shared" si="9"/>
        <v>358522</v>
      </c>
      <c r="E34" s="141">
        <f t="shared" si="9"/>
        <v>414570</v>
      </c>
      <c r="F34" s="141">
        <f t="shared" si="9"/>
        <v>429268</v>
      </c>
      <c r="G34" s="141">
        <f t="shared" si="9"/>
        <v>393331</v>
      </c>
      <c r="H34" s="141">
        <f t="shared" si="9"/>
        <v>395601</v>
      </c>
      <c r="I34" s="141">
        <f t="shared" si="9"/>
        <v>399674</v>
      </c>
      <c r="J34" s="141">
        <f t="shared" si="9"/>
        <v>382822</v>
      </c>
      <c r="K34" s="141">
        <f t="shared" si="9"/>
        <v>370702</v>
      </c>
      <c r="L34" s="141">
        <f t="shared" si="9"/>
        <v>308976</v>
      </c>
      <c r="M34" s="141">
        <f t="shared" si="9"/>
        <v>315455</v>
      </c>
      <c r="N34" s="141">
        <f t="shared" si="9"/>
        <v>4473708</v>
      </c>
      <c r="O34" s="141">
        <f>SUM(O27:O33)</f>
        <v>452003</v>
      </c>
      <c r="P34" s="141">
        <f>SUM(P27:P33)</f>
        <v>372808.99999999994</v>
      </c>
      <c r="Q34" s="216">
        <f>+P34/$P$36</f>
        <v>1.1234820767083922E-2</v>
      </c>
    </row>
    <row r="35" spans="1:17" x14ac:dyDescent="0.2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261"/>
    </row>
    <row r="36" spans="1:17" ht="13.5" thickBot="1" x14ac:dyDescent="0.25">
      <c r="A36" s="140" t="s">
        <v>14</v>
      </c>
      <c r="B36" s="262">
        <f>B25+B34</f>
        <v>32679782</v>
      </c>
      <c r="C36" s="262">
        <f t="shared" ref="C36:P36" si="10">C25+C34</f>
        <v>34199142</v>
      </c>
      <c r="D36" s="262">
        <f t="shared" si="10"/>
        <v>32222584</v>
      </c>
      <c r="E36" s="262">
        <f t="shared" si="10"/>
        <v>31375925</v>
      </c>
      <c r="F36" s="262">
        <f t="shared" si="10"/>
        <v>32604940</v>
      </c>
      <c r="G36" s="262">
        <f t="shared" si="10"/>
        <v>31790441</v>
      </c>
      <c r="H36" s="262">
        <f t="shared" si="10"/>
        <v>33747504</v>
      </c>
      <c r="I36" s="262">
        <f t="shared" si="10"/>
        <v>34352705</v>
      </c>
      <c r="J36" s="262">
        <f t="shared" si="10"/>
        <v>37181719</v>
      </c>
      <c r="K36" s="262">
        <f t="shared" si="10"/>
        <v>33820201</v>
      </c>
      <c r="L36" s="262">
        <f t="shared" si="10"/>
        <v>32321921</v>
      </c>
      <c r="M36" s="262">
        <f t="shared" si="10"/>
        <v>31903347</v>
      </c>
      <c r="N36" s="262">
        <f t="shared" si="10"/>
        <v>398200211</v>
      </c>
      <c r="O36" s="262">
        <f t="shared" si="10"/>
        <v>37296640</v>
      </c>
      <c r="P36" s="262">
        <f t="shared" si="10"/>
        <v>33183350.916666664</v>
      </c>
      <c r="Q36" s="225">
        <f>+P36/$P$36</f>
        <v>1</v>
      </c>
    </row>
    <row r="37" spans="1:17" ht="13.5" thickTop="1" x14ac:dyDescent="0.2"/>
  </sheetData>
  <pageMargins left="0.5" right="0.5" top="1" bottom="1" header="0.5" footer="0.5"/>
  <pageSetup scale="5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Q38"/>
  <sheetViews>
    <sheetView tabSelected="1" zoomScale="75" zoomScaleNormal="75" workbookViewId="0">
      <selection activeCell="A2" sqref="A2"/>
    </sheetView>
  </sheetViews>
  <sheetFormatPr defaultColWidth="9.140625" defaultRowHeight="12.75" x14ac:dyDescent="0.2"/>
  <cols>
    <col min="1" max="2" width="16.28515625" style="175" customWidth="1"/>
    <col min="3" max="3" width="11.140625" style="175" customWidth="1"/>
    <col min="4" max="6" width="12.7109375" style="175" customWidth="1"/>
    <col min="7" max="8" width="12.28515625" style="175" customWidth="1"/>
    <col min="9" max="15" width="12.7109375" style="175" customWidth="1"/>
    <col min="16" max="16" width="13.28515625" style="175" customWidth="1"/>
    <col min="17" max="17" width="14.28515625" style="175" customWidth="1"/>
    <col min="18" max="18" width="13.42578125" style="175" customWidth="1"/>
    <col min="19" max="19" width="9.42578125" style="175" customWidth="1"/>
    <col min="20" max="16384" width="9.140625" style="175"/>
  </cols>
  <sheetData>
    <row r="1" spans="1:17" ht="15" x14ac:dyDescent="0.25">
      <c r="A1" s="324" t="s">
        <v>221</v>
      </c>
    </row>
    <row r="2" spans="1:17" ht="15" x14ac:dyDescent="0.25">
      <c r="A2" s="324" t="s">
        <v>206</v>
      </c>
    </row>
    <row r="3" spans="1:17" ht="23.25" x14ac:dyDescent="0.35">
      <c r="A3" s="248" t="s">
        <v>132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</row>
    <row r="4" spans="1:17" ht="13.5" thickBot="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</row>
    <row r="5" spans="1:17" ht="26.25" thickBot="1" x14ac:dyDescent="0.25">
      <c r="A5" s="258"/>
      <c r="B5" s="198">
        <v>41640</v>
      </c>
      <c r="C5" s="198">
        <v>41671</v>
      </c>
      <c r="D5" s="198">
        <v>41699</v>
      </c>
      <c r="E5" s="198">
        <v>41730</v>
      </c>
      <c r="F5" s="198">
        <v>41760</v>
      </c>
      <c r="G5" s="198">
        <v>41791</v>
      </c>
      <c r="H5" s="198">
        <v>41821</v>
      </c>
      <c r="I5" s="198">
        <v>41852</v>
      </c>
      <c r="J5" s="198">
        <v>41883</v>
      </c>
      <c r="K5" s="198">
        <v>41913</v>
      </c>
      <c r="L5" s="198">
        <v>41944</v>
      </c>
      <c r="M5" s="198">
        <v>41974</v>
      </c>
      <c r="N5" s="137" t="s">
        <v>124</v>
      </c>
      <c r="O5" s="137" t="s">
        <v>130</v>
      </c>
      <c r="P5" s="137" t="s">
        <v>133</v>
      </c>
      <c r="Q5" s="137" t="s">
        <v>126</v>
      </c>
    </row>
    <row r="6" spans="1:17" x14ac:dyDescent="0.2">
      <c r="A6" s="259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260"/>
    </row>
    <row r="7" spans="1:17" x14ac:dyDescent="0.2">
      <c r="A7" s="140" t="s">
        <v>28</v>
      </c>
      <c r="B7" s="139">
        <v>27391882</v>
      </c>
      <c r="C7" s="139">
        <v>23493714</v>
      </c>
      <c r="D7" s="139">
        <v>20209655</v>
      </c>
      <c r="E7" s="139">
        <v>21036145</v>
      </c>
      <c r="F7" s="139">
        <v>21581543</v>
      </c>
      <c r="G7" s="139">
        <v>22673132</v>
      </c>
      <c r="H7" s="139">
        <v>22588857</v>
      </c>
      <c r="I7" s="139">
        <v>22947321</v>
      </c>
      <c r="J7" s="139">
        <v>25701682</v>
      </c>
      <c r="K7" s="139">
        <v>23442680</v>
      </c>
      <c r="L7" s="139">
        <v>23229953</v>
      </c>
      <c r="M7" s="139">
        <v>23819641</v>
      </c>
      <c r="N7" s="139">
        <f t="shared" ref="N7:N23" si="0">SUM(B7:M7)</f>
        <v>278116205</v>
      </c>
      <c r="O7" s="139">
        <f t="shared" ref="O7:O23" si="1">MAX(B7:M7)</f>
        <v>27391882</v>
      </c>
      <c r="P7" s="139">
        <f t="shared" ref="P7:P23" si="2">SUM(B7:M7)/12</f>
        <v>23176350.416666668</v>
      </c>
      <c r="Q7" s="213">
        <f t="shared" ref="Q7:Q23" si="3">+P7/$P$37</f>
        <v>0.66273234304808593</v>
      </c>
    </row>
    <row r="8" spans="1:17" x14ac:dyDescent="0.2">
      <c r="A8" s="142" t="s">
        <v>20</v>
      </c>
      <c r="B8" s="139">
        <v>5716501</v>
      </c>
      <c r="C8" s="139">
        <v>5376733</v>
      </c>
      <c r="D8" s="139">
        <v>4949407</v>
      </c>
      <c r="E8" s="139">
        <v>5359575</v>
      </c>
      <c r="F8" s="139">
        <v>5534741</v>
      </c>
      <c r="G8" s="139">
        <v>5746465</v>
      </c>
      <c r="H8" s="139">
        <v>5670898</v>
      </c>
      <c r="I8" s="139">
        <v>5798934</v>
      </c>
      <c r="J8" s="139">
        <v>6114629</v>
      </c>
      <c r="K8" s="139">
        <v>5696449</v>
      </c>
      <c r="L8" s="139">
        <v>5770478</v>
      </c>
      <c r="M8" s="139">
        <v>5081223</v>
      </c>
      <c r="N8" s="139">
        <f t="shared" si="0"/>
        <v>66816033</v>
      </c>
      <c r="O8" s="139">
        <f t="shared" si="1"/>
        <v>6114629</v>
      </c>
      <c r="P8" s="139">
        <f t="shared" si="2"/>
        <v>5568002.75</v>
      </c>
      <c r="Q8" s="213">
        <f t="shared" si="3"/>
        <v>0.15921814445608526</v>
      </c>
    </row>
    <row r="9" spans="1:17" x14ac:dyDescent="0.2">
      <c r="A9" s="140" t="s">
        <v>24</v>
      </c>
      <c r="B9" s="139">
        <v>2162075</v>
      </c>
      <c r="C9" s="139">
        <v>1992059</v>
      </c>
      <c r="D9" s="139">
        <v>1851713</v>
      </c>
      <c r="E9" s="139">
        <v>2125517</v>
      </c>
      <c r="F9" s="139">
        <v>2278361</v>
      </c>
      <c r="G9" s="139">
        <v>2450736</v>
      </c>
      <c r="H9" s="139">
        <v>2343515</v>
      </c>
      <c r="I9" s="139">
        <v>1986834</v>
      </c>
      <c r="J9" s="139">
        <v>2077347</v>
      </c>
      <c r="K9" s="139">
        <v>1897320</v>
      </c>
      <c r="L9" s="139">
        <v>1803435</v>
      </c>
      <c r="M9" s="139">
        <v>1653334</v>
      </c>
      <c r="N9" s="139">
        <f t="shared" si="0"/>
        <v>24622246</v>
      </c>
      <c r="O9" s="139">
        <f t="shared" si="1"/>
        <v>2450736</v>
      </c>
      <c r="P9" s="139">
        <f t="shared" si="2"/>
        <v>2051853.8333333333</v>
      </c>
      <c r="Q9" s="213">
        <f t="shared" si="3"/>
        <v>5.8673167867677324E-2</v>
      </c>
    </row>
    <row r="10" spans="1:17" x14ac:dyDescent="0.2">
      <c r="A10" s="140" t="s">
        <v>21</v>
      </c>
      <c r="B10" s="139">
        <v>1790175</v>
      </c>
      <c r="C10" s="139">
        <v>1769283</v>
      </c>
      <c r="D10" s="139">
        <v>1620032</v>
      </c>
      <c r="E10" s="139">
        <v>1772133</v>
      </c>
      <c r="F10" s="139">
        <v>1888051</v>
      </c>
      <c r="G10" s="139">
        <v>1973350</v>
      </c>
      <c r="H10" s="139">
        <v>1888617</v>
      </c>
      <c r="I10" s="139">
        <v>2010001</v>
      </c>
      <c r="J10" s="139">
        <v>2121214</v>
      </c>
      <c r="K10" s="139">
        <v>1952370</v>
      </c>
      <c r="L10" s="139">
        <v>1963133</v>
      </c>
      <c r="M10" s="139">
        <v>1783906</v>
      </c>
      <c r="N10" s="139">
        <f t="shared" si="0"/>
        <v>22532265</v>
      </c>
      <c r="O10" s="139">
        <f t="shared" si="1"/>
        <v>2121214</v>
      </c>
      <c r="P10" s="139">
        <f t="shared" si="2"/>
        <v>1877688.75</v>
      </c>
      <c r="Q10" s="213">
        <f t="shared" si="3"/>
        <v>5.369288272012189E-2</v>
      </c>
    </row>
    <row r="11" spans="1:17" x14ac:dyDescent="0.2">
      <c r="A11" s="140" t="s">
        <v>17</v>
      </c>
      <c r="B11" s="139">
        <v>442529</v>
      </c>
      <c r="C11" s="139">
        <v>438731</v>
      </c>
      <c r="D11" s="139">
        <v>397789</v>
      </c>
      <c r="E11" s="139">
        <v>426621</v>
      </c>
      <c r="F11" s="139">
        <v>412899</v>
      </c>
      <c r="G11" s="139">
        <v>434116</v>
      </c>
      <c r="H11" s="139">
        <v>424623</v>
      </c>
      <c r="I11" s="139">
        <v>429420</v>
      </c>
      <c r="J11" s="139">
        <v>444510</v>
      </c>
      <c r="K11" s="139">
        <v>417772</v>
      </c>
      <c r="L11" s="139">
        <v>431318</v>
      </c>
      <c r="M11" s="139">
        <v>405654</v>
      </c>
      <c r="N11" s="139">
        <f t="shared" si="0"/>
        <v>5105982</v>
      </c>
      <c r="O11" s="139">
        <f t="shared" si="1"/>
        <v>444510</v>
      </c>
      <c r="P11" s="139">
        <f t="shared" si="2"/>
        <v>425498.5</v>
      </c>
      <c r="Q11" s="213">
        <f t="shared" si="3"/>
        <v>1.2167214112609338E-2</v>
      </c>
    </row>
    <row r="12" spans="1:17" x14ac:dyDescent="0.2">
      <c r="A12" s="142" t="s">
        <v>22</v>
      </c>
      <c r="B12" s="139">
        <v>379439</v>
      </c>
      <c r="C12" s="139">
        <v>358179</v>
      </c>
      <c r="D12" s="139">
        <v>325696</v>
      </c>
      <c r="E12" s="139">
        <v>348926</v>
      </c>
      <c r="F12" s="139">
        <v>357202</v>
      </c>
      <c r="G12" s="139">
        <v>386208</v>
      </c>
      <c r="H12" s="139">
        <v>374619</v>
      </c>
      <c r="I12" s="139">
        <v>398083</v>
      </c>
      <c r="J12" s="139">
        <v>414868</v>
      </c>
      <c r="K12" s="139">
        <v>366726</v>
      </c>
      <c r="L12" s="139">
        <v>380213</v>
      </c>
      <c r="M12" s="139">
        <v>348320</v>
      </c>
      <c r="N12" s="139">
        <f t="shared" si="0"/>
        <v>4438479</v>
      </c>
      <c r="O12" s="139">
        <f t="shared" si="1"/>
        <v>414868</v>
      </c>
      <c r="P12" s="139">
        <f t="shared" si="2"/>
        <v>369873.25</v>
      </c>
      <c r="Q12" s="213">
        <f t="shared" si="3"/>
        <v>1.0576599041539939E-2</v>
      </c>
    </row>
    <row r="13" spans="1:17" x14ac:dyDescent="0.2">
      <c r="A13" s="140" t="s">
        <v>19</v>
      </c>
      <c r="B13" s="139">
        <v>192399</v>
      </c>
      <c r="C13" s="139">
        <v>194679</v>
      </c>
      <c r="D13" s="139">
        <v>198144</v>
      </c>
      <c r="E13" s="139">
        <v>208509</v>
      </c>
      <c r="F13" s="139">
        <v>215659</v>
      </c>
      <c r="G13" s="139">
        <v>216795</v>
      </c>
      <c r="H13" s="139">
        <v>214928</v>
      </c>
      <c r="I13" s="139">
        <v>213280</v>
      </c>
      <c r="J13" s="139">
        <v>215080</v>
      </c>
      <c r="K13" s="139">
        <v>210796</v>
      </c>
      <c r="L13" s="139">
        <v>207125</v>
      </c>
      <c r="M13" s="139">
        <v>200564</v>
      </c>
      <c r="N13" s="139">
        <f t="shared" si="0"/>
        <v>2487958</v>
      </c>
      <c r="O13" s="139">
        <f t="shared" si="1"/>
        <v>216795</v>
      </c>
      <c r="P13" s="139">
        <f t="shared" si="2"/>
        <v>207329.83333333334</v>
      </c>
      <c r="Q13" s="213">
        <f t="shared" si="3"/>
        <v>5.9286377604110827E-3</v>
      </c>
    </row>
    <row r="14" spans="1:17" x14ac:dyDescent="0.2">
      <c r="A14" s="142" t="s">
        <v>29</v>
      </c>
      <c r="B14" s="139">
        <v>98671</v>
      </c>
      <c r="C14" s="139">
        <v>111238</v>
      </c>
      <c r="D14" s="139">
        <v>132005</v>
      </c>
      <c r="E14" s="139">
        <v>126507</v>
      </c>
      <c r="F14" s="139">
        <v>132850</v>
      </c>
      <c r="G14" s="139">
        <v>112556</v>
      </c>
      <c r="H14" s="139">
        <v>121995</v>
      </c>
      <c r="I14" s="139">
        <v>125898</v>
      </c>
      <c r="J14" s="139">
        <v>124291</v>
      </c>
      <c r="K14" s="139">
        <v>98173</v>
      </c>
      <c r="L14" s="139">
        <v>108524</v>
      </c>
      <c r="M14" s="139">
        <v>118061</v>
      </c>
      <c r="N14" s="139">
        <f t="shared" si="0"/>
        <v>1410769</v>
      </c>
      <c r="O14" s="139">
        <f t="shared" si="1"/>
        <v>132850</v>
      </c>
      <c r="P14" s="139">
        <f t="shared" si="2"/>
        <v>117564.08333333333</v>
      </c>
      <c r="Q14" s="213">
        <f t="shared" si="3"/>
        <v>3.361768311449543E-3</v>
      </c>
    </row>
    <row r="15" spans="1:17" x14ac:dyDescent="0.2">
      <c r="A15" s="142" t="s">
        <v>88</v>
      </c>
      <c r="B15" s="139">
        <v>46242</v>
      </c>
      <c r="C15" s="139">
        <v>44488</v>
      </c>
      <c r="D15" s="139">
        <v>36581</v>
      </c>
      <c r="E15" s="139">
        <v>42961</v>
      </c>
      <c r="F15" s="139">
        <v>54030</v>
      </c>
      <c r="G15" s="139">
        <v>60507</v>
      </c>
      <c r="H15" s="139">
        <v>35979</v>
      </c>
      <c r="I15" s="139">
        <v>29909</v>
      </c>
      <c r="J15" s="139">
        <v>61843</v>
      </c>
      <c r="K15" s="139">
        <v>48390</v>
      </c>
      <c r="L15" s="139">
        <v>54139</v>
      </c>
      <c r="M15" s="139">
        <v>32613</v>
      </c>
      <c r="N15" s="139">
        <f t="shared" si="0"/>
        <v>547682</v>
      </c>
      <c r="O15" s="139">
        <f t="shared" si="1"/>
        <v>61843</v>
      </c>
      <c r="P15" s="139">
        <f t="shared" si="2"/>
        <v>45640.166666666664</v>
      </c>
      <c r="Q15" s="213">
        <f t="shared" si="3"/>
        <v>1.3050896300891986E-3</v>
      </c>
    </row>
    <row r="16" spans="1:17" x14ac:dyDescent="0.2">
      <c r="A16" s="140" t="s">
        <v>23</v>
      </c>
      <c r="B16" s="139">
        <v>23754</v>
      </c>
      <c r="C16" s="139">
        <v>23713</v>
      </c>
      <c r="D16" s="139">
        <v>22811</v>
      </c>
      <c r="E16" s="139">
        <v>36751</v>
      </c>
      <c r="F16" s="139">
        <v>37272</v>
      </c>
      <c r="G16" s="139">
        <v>22695</v>
      </c>
      <c r="H16" s="139">
        <v>23234</v>
      </c>
      <c r="I16" s="139">
        <v>30116</v>
      </c>
      <c r="J16" s="139">
        <v>23246</v>
      </c>
      <c r="K16" s="139">
        <v>28844</v>
      </c>
      <c r="L16" s="139">
        <v>21652</v>
      </c>
      <c r="M16" s="139">
        <v>28262</v>
      </c>
      <c r="N16" s="139">
        <f t="shared" si="0"/>
        <v>322350</v>
      </c>
      <c r="O16" s="139">
        <f t="shared" si="1"/>
        <v>37272</v>
      </c>
      <c r="P16" s="139">
        <f t="shared" si="2"/>
        <v>26862.5</v>
      </c>
      <c r="Q16" s="213">
        <f t="shared" si="3"/>
        <v>7.6813852246240192E-4</v>
      </c>
    </row>
    <row r="17" spans="1:17" x14ac:dyDescent="0.2">
      <c r="A17" s="140" t="s">
        <v>18</v>
      </c>
      <c r="B17" s="139">
        <v>30378</v>
      </c>
      <c r="C17" s="139">
        <v>30669</v>
      </c>
      <c r="D17" s="139">
        <v>27127</v>
      </c>
      <c r="E17" s="139">
        <v>29389</v>
      </c>
      <c r="F17" s="139">
        <v>21278</v>
      </c>
      <c r="G17" s="139">
        <v>23294</v>
      </c>
      <c r="H17" s="139">
        <v>22055</v>
      </c>
      <c r="I17" s="139">
        <v>21937</v>
      </c>
      <c r="J17" s="139">
        <v>22186</v>
      </c>
      <c r="K17" s="139">
        <v>20172</v>
      </c>
      <c r="L17" s="139">
        <v>20445</v>
      </c>
      <c r="M17" s="139">
        <v>19153</v>
      </c>
      <c r="N17" s="139">
        <f t="shared" si="0"/>
        <v>288083</v>
      </c>
      <c r="O17" s="139">
        <f t="shared" si="1"/>
        <v>30669</v>
      </c>
      <c r="P17" s="139">
        <f t="shared" si="2"/>
        <v>24006.916666666668</v>
      </c>
      <c r="Q17" s="213">
        <f t="shared" si="3"/>
        <v>6.8648254991945446E-4</v>
      </c>
    </row>
    <row r="18" spans="1:17" x14ac:dyDescent="0.2">
      <c r="A18" s="142" t="s">
        <v>26</v>
      </c>
      <c r="B18" s="139">
        <v>20308</v>
      </c>
      <c r="C18" s="139">
        <v>23536</v>
      </c>
      <c r="D18" s="139">
        <v>22679</v>
      </c>
      <c r="E18" s="139">
        <v>24797</v>
      </c>
      <c r="F18" s="139">
        <v>25707</v>
      </c>
      <c r="G18" s="139">
        <v>23578</v>
      </c>
      <c r="H18" s="139">
        <v>22608</v>
      </c>
      <c r="I18" s="139">
        <v>24714</v>
      </c>
      <c r="J18" s="139">
        <v>23891</v>
      </c>
      <c r="K18" s="139">
        <v>21754</v>
      </c>
      <c r="L18" s="139">
        <v>21117</v>
      </c>
      <c r="M18" s="139">
        <v>20192</v>
      </c>
      <c r="N18" s="139">
        <f t="shared" si="0"/>
        <v>274881</v>
      </c>
      <c r="O18" s="139">
        <f t="shared" si="1"/>
        <v>25707</v>
      </c>
      <c r="P18" s="139">
        <f t="shared" si="2"/>
        <v>22906.75</v>
      </c>
      <c r="Q18" s="213">
        <f t="shared" si="3"/>
        <v>6.5502306559015822E-4</v>
      </c>
    </row>
    <row r="19" spans="1:17" x14ac:dyDescent="0.2">
      <c r="A19" s="142" t="s">
        <v>62</v>
      </c>
      <c r="B19" s="139">
        <v>17207</v>
      </c>
      <c r="C19" s="139">
        <v>18749</v>
      </c>
      <c r="D19" s="139">
        <v>17294</v>
      </c>
      <c r="E19" s="139">
        <v>18560</v>
      </c>
      <c r="F19" s="139">
        <v>18548</v>
      </c>
      <c r="G19" s="139">
        <v>18834</v>
      </c>
      <c r="H19" s="139">
        <v>19608</v>
      </c>
      <c r="I19" s="139">
        <v>19812</v>
      </c>
      <c r="J19" s="139">
        <v>19364</v>
      </c>
      <c r="K19" s="139">
        <v>19004</v>
      </c>
      <c r="L19" s="139">
        <v>18071</v>
      </c>
      <c r="M19" s="139">
        <v>16823</v>
      </c>
      <c r="N19" s="139">
        <f t="shared" si="0"/>
        <v>221874</v>
      </c>
      <c r="O19" s="139">
        <f t="shared" si="1"/>
        <v>19812</v>
      </c>
      <c r="P19" s="139">
        <f t="shared" si="2"/>
        <v>18489.5</v>
      </c>
      <c r="Q19" s="213">
        <f t="shared" si="3"/>
        <v>5.2871092456281362E-4</v>
      </c>
    </row>
    <row r="20" spans="1:17" x14ac:dyDescent="0.2">
      <c r="A20" s="142" t="s">
        <v>27</v>
      </c>
      <c r="B20" s="139">
        <v>12459</v>
      </c>
      <c r="C20" s="139">
        <v>14020</v>
      </c>
      <c r="D20" s="139">
        <v>15175</v>
      </c>
      <c r="E20" s="139">
        <v>13601</v>
      </c>
      <c r="F20" s="139">
        <v>13484</v>
      </c>
      <c r="G20" s="139">
        <v>11977</v>
      </c>
      <c r="H20" s="139">
        <v>9023</v>
      </c>
      <c r="I20" s="139">
        <v>9868</v>
      </c>
      <c r="J20" s="139">
        <v>13741</v>
      </c>
      <c r="K20" s="139">
        <v>13041</v>
      </c>
      <c r="L20" s="139">
        <v>15484</v>
      </c>
      <c r="M20" s="139">
        <v>14318</v>
      </c>
      <c r="N20" s="139">
        <f t="shared" si="0"/>
        <v>156191</v>
      </c>
      <c r="O20" s="139">
        <f t="shared" si="1"/>
        <v>15484</v>
      </c>
      <c r="P20" s="139">
        <f t="shared" si="2"/>
        <v>13015.916666666666</v>
      </c>
      <c r="Q20" s="213">
        <f t="shared" si="3"/>
        <v>3.721927220782535E-4</v>
      </c>
    </row>
    <row r="21" spans="1:17" x14ac:dyDescent="0.2">
      <c r="A21" s="142" t="s">
        <v>63</v>
      </c>
      <c r="B21" s="139">
        <v>11612</v>
      </c>
      <c r="C21" s="139">
        <v>11683</v>
      </c>
      <c r="D21" s="139">
        <v>10124</v>
      </c>
      <c r="E21" s="139">
        <v>10915</v>
      </c>
      <c r="F21" s="139">
        <v>10908</v>
      </c>
      <c r="G21" s="139">
        <v>11819</v>
      </c>
      <c r="H21" s="139">
        <v>11061</v>
      </c>
      <c r="I21" s="139">
        <v>9676</v>
      </c>
      <c r="J21" s="139">
        <v>9877</v>
      </c>
      <c r="K21" s="139">
        <v>9380</v>
      </c>
      <c r="L21" s="139">
        <v>9124</v>
      </c>
      <c r="M21" s="139">
        <v>9034</v>
      </c>
      <c r="N21" s="139">
        <f t="shared" si="0"/>
        <v>125213</v>
      </c>
      <c r="O21" s="139">
        <f t="shared" si="1"/>
        <v>11819</v>
      </c>
      <c r="P21" s="139">
        <f t="shared" si="2"/>
        <v>10434.416666666666</v>
      </c>
      <c r="Q21" s="213">
        <f t="shared" si="3"/>
        <v>2.9837421688563587E-4</v>
      </c>
    </row>
    <row r="22" spans="1:17" x14ac:dyDescent="0.2">
      <c r="A22" s="142" t="s">
        <v>94</v>
      </c>
      <c r="B22" s="139">
        <v>3114</v>
      </c>
      <c r="C22" s="139">
        <v>3902</v>
      </c>
      <c r="D22" s="139">
        <v>5818</v>
      </c>
      <c r="E22" s="139">
        <v>4539</v>
      </c>
      <c r="F22" s="139">
        <v>5488</v>
      </c>
      <c r="G22" s="139">
        <v>3731</v>
      </c>
      <c r="H22" s="139">
        <v>4444</v>
      </c>
      <c r="I22" s="139">
        <v>5223</v>
      </c>
      <c r="J22" s="139">
        <v>3403</v>
      </c>
      <c r="K22" s="139">
        <v>4903</v>
      </c>
      <c r="L22" s="139">
        <v>928</v>
      </c>
      <c r="M22" s="139">
        <v>1006</v>
      </c>
      <c r="N22" s="139">
        <f t="shared" si="0"/>
        <v>46499</v>
      </c>
      <c r="O22" s="139">
        <f t="shared" si="1"/>
        <v>5818</v>
      </c>
      <c r="P22" s="139">
        <f t="shared" si="2"/>
        <v>3874.9166666666665</v>
      </c>
      <c r="Q22" s="213">
        <f t="shared" si="3"/>
        <v>1.1080401165186668E-4</v>
      </c>
    </row>
    <row r="23" spans="1:17" x14ac:dyDescent="0.2">
      <c r="A23" s="142" t="s">
        <v>30</v>
      </c>
      <c r="B23" s="139">
        <v>3473</v>
      </c>
      <c r="C23" s="139">
        <v>3853</v>
      </c>
      <c r="D23" s="139">
        <v>3488</v>
      </c>
      <c r="E23" s="139">
        <v>3597</v>
      </c>
      <c r="F23" s="139">
        <v>3481</v>
      </c>
      <c r="G23" s="139">
        <v>3601</v>
      </c>
      <c r="H23" s="139">
        <v>3484</v>
      </c>
      <c r="I23" s="139">
        <v>3499</v>
      </c>
      <c r="J23" s="139">
        <v>3381</v>
      </c>
      <c r="K23" s="139">
        <v>3483</v>
      </c>
      <c r="L23" s="139">
        <v>3566</v>
      </c>
      <c r="M23" s="139">
        <v>3503</v>
      </c>
      <c r="N23" s="139">
        <f t="shared" si="0"/>
        <v>42409</v>
      </c>
      <c r="O23" s="139">
        <f t="shared" si="1"/>
        <v>3853</v>
      </c>
      <c r="P23" s="139">
        <f t="shared" si="2"/>
        <v>3534.0833333333335</v>
      </c>
      <c r="Q23" s="213">
        <f t="shared" si="3"/>
        <v>1.010578147948131E-4</v>
      </c>
    </row>
    <row r="24" spans="1:17" x14ac:dyDescent="0.2">
      <c r="A24" s="140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213"/>
    </row>
    <row r="25" spans="1:17" x14ac:dyDescent="0.2">
      <c r="A25" s="140" t="s">
        <v>15</v>
      </c>
      <c r="B25" s="141">
        <f t="shared" ref="B25:P25" si="4">SUM(B7:B24)</f>
        <v>38342218</v>
      </c>
      <c r="C25" s="141">
        <f t="shared" si="4"/>
        <v>33909229</v>
      </c>
      <c r="D25" s="141">
        <f t="shared" si="4"/>
        <v>29845538</v>
      </c>
      <c r="E25" s="141">
        <f t="shared" si="4"/>
        <v>31589043</v>
      </c>
      <c r="F25" s="141">
        <f t="shared" si="4"/>
        <v>32591502</v>
      </c>
      <c r="G25" s="141">
        <f t="shared" si="4"/>
        <v>34173394</v>
      </c>
      <c r="H25" s="141">
        <f t="shared" si="4"/>
        <v>33779548</v>
      </c>
      <c r="I25" s="141">
        <f t="shared" si="4"/>
        <v>34064525</v>
      </c>
      <c r="J25" s="141">
        <f t="shared" si="4"/>
        <v>37394553</v>
      </c>
      <c r="K25" s="141">
        <f t="shared" si="4"/>
        <v>34251257</v>
      </c>
      <c r="L25" s="141">
        <f t="shared" si="4"/>
        <v>34058705</v>
      </c>
      <c r="M25" s="141">
        <f t="shared" si="4"/>
        <v>33555607</v>
      </c>
      <c r="N25" s="141">
        <f t="shared" si="4"/>
        <v>407555119</v>
      </c>
      <c r="O25" s="141">
        <f t="shared" si="4"/>
        <v>39499761</v>
      </c>
      <c r="P25" s="141">
        <f t="shared" si="4"/>
        <v>33962926.583333328</v>
      </c>
      <c r="Q25" s="216">
        <f>+P25/$P$37</f>
        <v>0.97117663077601468</v>
      </c>
    </row>
    <row r="26" spans="1:17" x14ac:dyDescent="0.2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261"/>
    </row>
    <row r="27" spans="1:17" x14ac:dyDescent="0.2">
      <c r="A27" s="140" t="s">
        <v>97</v>
      </c>
      <c r="B27" s="139">
        <v>759818</v>
      </c>
      <c r="C27" s="139">
        <v>537921</v>
      </c>
      <c r="D27" s="139">
        <v>537710</v>
      </c>
      <c r="E27" s="139">
        <v>720832</v>
      </c>
      <c r="F27" s="139">
        <v>729301</v>
      </c>
      <c r="G27" s="139">
        <v>810713</v>
      </c>
      <c r="H27" s="139">
        <v>793641</v>
      </c>
      <c r="I27" s="139">
        <v>836336</v>
      </c>
      <c r="J27" s="139">
        <v>768510</v>
      </c>
      <c r="K27" s="139">
        <v>761167</v>
      </c>
      <c r="L27" s="139">
        <v>562147</v>
      </c>
      <c r="M27" s="139">
        <v>539994</v>
      </c>
      <c r="N27" s="139">
        <f t="shared" ref="N27:N33" si="5">SUM(B27:M27)</f>
        <v>8358090</v>
      </c>
      <c r="O27" s="139">
        <f t="shared" ref="O27:O33" si="6">MAX(B27:M27)</f>
        <v>836336</v>
      </c>
      <c r="P27" s="139">
        <f t="shared" ref="P27:P33" si="7">SUM(B27:M27)/12</f>
        <v>696507.5</v>
      </c>
      <c r="Q27" s="213">
        <f t="shared" ref="Q27:Q33" si="8">+P27/$P$37</f>
        <v>1.9916770290701959E-2</v>
      </c>
    </row>
    <row r="28" spans="1:17" x14ac:dyDescent="0.2">
      <c r="A28" s="140" t="s">
        <v>39</v>
      </c>
      <c r="B28" s="139">
        <v>0</v>
      </c>
      <c r="C28" s="139">
        <v>0</v>
      </c>
      <c r="D28" s="139">
        <v>0</v>
      </c>
      <c r="E28" s="139">
        <v>0</v>
      </c>
      <c r="F28" s="139">
        <v>0</v>
      </c>
      <c r="G28" s="139">
        <v>200000</v>
      </c>
      <c r="H28" s="139">
        <v>200000</v>
      </c>
      <c r="I28" s="139">
        <v>200000</v>
      </c>
      <c r="J28" s="139">
        <v>200000</v>
      </c>
      <c r="K28" s="139">
        <v>200000</v>
      </c>
      <c r="L28" s="139">
        <v>200000</v>
      </c>
      <c r="M28" s="139">
        <v>200000</v>
      </c>
      <c r="N28" s="139">
        <f t="shared" si="5"/>
        <v>1400000</v>
      </c>
      <c r="O28" s="139">
        <f t="shared" si="6"/>
        <v>200000</v>
      </c>
      <c r="P28" s="139">
        <f t="shared" si="7"/>
        <v>116666.66666666667</v>
      </c>
      <c r="Q28" s="213">
        <f t="shared" si="8"/>
        <v>3.3361065036369248E-3</v>
      </c>
    </row>
    <row r="29" spans="1:17" x14ac:dyDescent="0.2">
      <c r="A29" s="140" t="s">
        <v>34</v>
      </c>
      <c r="B29" s="139">
        <v>116339</v>
      </c>
      <c r="C29" s="139">
        <v>111866</v>
      </c>
      <c r="D29" s="139">
        <v>112653</v>
      </c>
      <c r="E29" s="139">
        <v>130649</v>
      </c>
      <c r="F29" s="139">
        <v>129272</v>
      </c>
      <c r="G29" s="139">
        <v>144202</v>
      </c>
      <c r="H29" s="139">
        <v>158706</v>
      </c>
      <c r="I29" s="139">
        <v>156563</v>
      </c>
      <c r="J29" s="139">
        <v>141684</v>
      </c>
      <c r="K29" s="139">
        <v>136857</v>
      </c>
      <c r="L29" s="139">
        <v>110957</v>
      </c>
      <c r="M29" s="139">
        <v>118302</v>
      </c>
      <c r="N29" s="139">
        <f t="shared" si="5"/>
        <v>1568050</v>
      </c>
      <c r="O29" s="139">
        <f t="shared" si="6"/>
        <v>158706</v>
      </c>
      <c r="P29" s="139">
        <f t="shared" si="7"/>
        <v>130670.83333333333</v>
      </c>
      <c r="Q29" s="213">
        <f t="shared" si="8"/>
        <v>3.7365584307341997E-3</v>
      </c>
    </row>
    <row r="30" spans="1:17" x14ac:dyDescent="0.2">
      <c r="A30" s="140" t="s">
        <v>111</v>
      </c>
      <c r="B30" s="139">
        <v>0</v>
      </c>
      <c r="C30" s="139">
        <v>35000</v>
      </c>
      <c r="D30" s="139">
        <v>20000</v>
      </c>
      <c r="E30" s="139">
        <v>10000</v>
      </c>
      <c r="F30" s="139">
        <v>20000</v>
      </c>
      <c r="G30" s="139">
        <v>35000</v>
      </c>
      <c r="H30" s="139">
        <v>35000</v>
      </c>
      <c r="I30" s="139">
        <v>35000</v>
      </c>
      <c r="J30" s="139">
        <v>25000</v>
      </c>
      <c r="K30" s="139">
        <v>20000</v>
      </c>
      <c r="L30" s="139">
        <v>10000</v>
      </c>
      <c r="M30" s="139">
        <v>20000</v>
      </c>
      <c r="N30" s="139">
        <f t="shared" si="5"/>
        <v>265000</v>
      </c>
      <c r="O30" s="139">
        <f t="shared" si="6"/>
        <v>35000</v>
      </c>
      <c r="P30" s="139">
        <f t="shared" si="7"/>
        <v>22083.333333333332</v>
      </c>
      <c r="Q30" s="213">
        <f t="shared" si="8"/>
        <v>6.3147730247413208E-4</v>
      </c>
    </row>
    <row r="31" spans="1:17" x14ac:dyDescent="0.2">
      <c r="A31" s="140" t="s">
        <v>41</v>
      </c>
      <c r="B31" s="139">
        <v>23000</v>
      </c>
      <c r="C31" s="139">
        <v>23000</v>
      </c>
      <c r="D31" s="139">
        <v>23000</v>
      </c>
      <c r="E31" s="139">
        <v>23000</v>
      </c>
      <c r="F31" s="139">
        <v>23000</v>
      </c>
      <c r="G31" s="139">
        <v>23000</v>
      </c>
      <c r="H31" s="139">
        <v>23000</v>
      </c>
      <c r="I31" s="139">
        <v>23000</v>
      </c>
      <c r="J31" s="139">
        <v>23000</v>
      </c>
      <c r="K31" s="139">
        <v>23000</v>
      </c>
      <c r="L31" s="139">
        <v>23000</v>
      </c>
      <c r="M31" s="139">
        <v>23000</v>
      </c>
      <c r="N31" s="139">
        <f t="shared" si="5"/>
        <v>276000</v>
      </c>
      <c r="O31" s="139">
        <f t="shared" si="6"/>
        <v>23000</v>
      </c>
      <c r="P31" s="139">
        <f t="shared" si="7"/>
        <v>23000</v>
      </c>
      <c r="Q31" s="213">
        <f t="shared" si="8"/>
        <v>6.5768956785985087E-4</v>
      </c>
    </row>
    <row r="32" spans="1:17" x14ac:dyDescent="0.2">
      <c r="A32" s="140" t="s">
        <v>40</v>
      </c>
      <c r="B32" s="139">
        <v>12444</v>
      </c>
      <c r="C32" s="139">
        <v>8991</v>
      </c>
      <c r="D32" s="139">
        <v>8619</v>
      </c>
      <c r="E32" s="139">
        <v>12473</v>
      </c>
      <c r="F32" s="139">
        <v>12655</v>
      </c>
      <c r="G32" s="139">
        <v>13244</v>
      </c>
      <c r="H32" s="139">
        <v>12957</v>
      </c>
      <c r="I32" s="139">
        <v>13556</v>
      </c>
      <c r="J32" s="139">
        <v>13084</v>
      </c>
      <c r="K32" s="139">
        <v>12339</v>
      </c>
      <c r="L32" s="139">
        <v>9197</v>
      </c>
      <c r="M32" s="139">
        <v>9621</v>
      </c>
      <c r="N32" s="139">
        <f t="shared" si="5"/>
        <v>139180</v>
      </c>
      <c r="O32" s="139">
        <f t="shared" si="6"/>
        <v>13556</v>
      </c>
      <c r="P32" s="139">
        <f t="shared" si="7"/>
        <v>11598.333333333334</v>
      </c>
      <c r="Q32" s="213">
        <f t="shared" si="8"/>
        <v>3.3165664512584798E-4</v>
      </c>
    </row>
    <row r="33" spans="1:17" x14ac:dyDescent="0.2">
      <c r="A33" s="140" t="s">
        <v>33</v>
      </c>
      <c r="B33" s="139">
        <v>8505</v>
      </c>
      <c r="C33" s="139">
        <v>6861</v>
      </c>
      <c r="D33" s="139">
        <v>5883</v>
      </c>
      <c r="E33" s="139">
        <v>6515</v>
      </c>
      <c r="F33" s="139">
        <v>7297</v>
      </c>
      <c r="G33" s="139">
        <v>8300</v>
      </c>
      <c r="H33" s="139">
        <v>8358</v>
      </c>
      <c r="I33" s="139">
        <v>8658</v>
      </c>
      <c r="J33" s="139">
        <v>8237</v>
      </c>
      <c r="K33" s="139">
        <v>6928</v>
      </c>
      <c r="L33" s="139">
        <v>7506</v>
      </c>
      <c r="M33" s="139">
        <v>6384</v>
      </c>
      <c r="N33" s="139">
        <f t="shared" si="5"/>
        <v>89432</v>
      </c>
      <c r="O33" s="139">
        <f t="shared" si="6"/>
        <v>8658</v>
      </c>
      <c r="P33" s="139">
        <f t="shared" si="7"/>
        <v>7452.666666666667</v>
      </c>
      <c r="Q33" s="213">
        <f t="shared" si="8"/>
        <v>2.1311048345232675E-4</v>
      </c>
    </row>
    <row r="34" spans="1:17" x14ac:dyDescent="0.2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261"/>
    </row>
    <row r="35" spans="1:17" x14ac:dyDescent="0.2">
      <c r="A35" s="140" t="s">
        <v>42</v>
      </c>
      <c r="B35" s="141">
        <f t="shared" ref="B35:N35" si="9">SUM(B27:B33)</f>
        <v>920106</v>
      </c>
      <c r="C35" s="141">
        <f>SUM(C27:C33)</f>
        <v>723639</v>
      </c>
      <c r="D35" s="141">
        <f t="shared" si="9"/>
        <v>707865</v>
      </c>
      <c r="E35" s="141">
        <f t="shared" si="9"/>
        <v>903469</v>
      </c>
      <c r="F35" s="141">
        <f t="shared" si="9"/>
        <v>921525</v>
      </c>
      <c r="G35" s="141">
        <f t="shared" si="9"/>
        <v>1234459</v>
      </c>
      <c r="H35" s="141">
        <f t="shared" si="9"/>
        <v>1231662</v>
      </c>
      <c r="I35" s="141">
        <f t="shared" si="9"/>
        <v>1273113</v>
      </c>
      <c r="J35" s="141">
        <f t="shared" si="9"/>
        <v>1179515</v>
      </c>
      <c r="K35" s="141">
        <f t="shared" si="9"/>
        <v>1160291</v>
      </c>
      <c r="L35" s="141">
        <f t="shared" si="9"/>
        <v>922807</v>
      </c>
      <c r="M35" s="141">
        <f t="shared" si="9"/>
        <v>917301</v>
      </c>
      <c r="N35" s="141">
        <f t="shared" si="9"/>
        <v>12095752</v>
      </c>
      <c r="O35" s="141">
        <f>SUM(O27:O33)</f>
        <v>1275256</v>
      </c>
      <c r="P35" s="141">
        <f>SUM(P27:P33)</f>
        <v>1007979.3333333334</v>
      </c>
      <c r="Q35" s="216">
        <f>+P35/$P$37</f>
        <v>2.8823369223985242E-2</v>
      </c>
    </row>
    <row r="36" spans="1:17" x14ac:dyDescent="0.2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261"/>
    </row>
    <row r="37" spans="1:17" ht="13.5" thickBot="1" x14ac:dyDescent="0.25">
      <c r="A37" s="140" t="s">
        <v>14</v>
      </c>
      <c r="B37" s="262">
        <f>B25+B35</f>
        <v>39262324</v>
      </c>
      <c r="C37" s="262">
        <f t="shared" ref="C37:P37" si="10">C25+C35</f>
        <v>34632868</v>
      </c>
      <c r="D37" s="262">
        <f t="shared" si="10"/>
        <v>30553403</v>
      </c>
      <c r="E37" s="262">
        <f t="shared" si="10"/>
        <v>32492512</v>
      </c>
      <c r="F37" s="262">
        <f t="shared" si="10"/>
        <v>33513027</v>
      </c>
      <c r="G37" s="262">
        <f t="shared" si="10"/>
        <v>35407853</v>
      </c>
      <c r="H37" s="262">
        <f t="shared" si="10"/>
        <v>35011210</v>
      </c>
      <c r="I37" s="262">
        <f t="shared" si="10"/>
        <v>35337638</v>
      </c>
      <c r="J37" s="262">
        <f t="shared" si="10"/>
        <v>38574068</v>
      </c>
      <c r="K37" s="262">
        <f t="shared" si="10"/>
        <v>35411548</v>
      </c>
      <c r="L37" s="262">
        <f t="shared" si="10"/>
        <v>34981512</v>
      </c>
      <c r="M37" s="262">
        <f t="shared" si="10"/>
        <v>34472908</v>
      </c>
      <c r="N37" s="262">
        <f t="shared" si="10"/>
        <v>419650871</v>
      </c>
      <c r="O37" s="262">
        <f t="shared" si="10"/>
        <v>40775017</v>
      </c>
      <c r="P37" s="262">
        <f t="shared" si="10"/>
        <v>34970905.916666664</v>
      </c>
      <c r="Q37" s="225">
        <f>+P37/$P$37</f>
        <v>1</v>
      </c>
    </row>
    <row r="38" spans="1:17" ht="13.5" thickTop="1" x14ac:dyDescent="0.2"/>
  </sheetData>
  <pageMargins left="0.5" right="0.5" top="1" bottom="1" header="0.5" footer="0.5"/>
  <pageSetup scale="5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Y51"/>
  <sheetViews>
    <sheetView showGridLines="0" zoomScaleNormal="100" workbookViewId="0">
      <selection activeCell="A3" sqref="A2:A3"/>
    </sheetView>
  </sheetViews>
  <sheetFormatPr defaultRowHeight="15" x14ac:dyDescent="0.25"/>
  <cols>
    <col min="1" max="1" width="30.140625" customWidth="1"/>
    <col min="2" max="2" width="11.42578125" bestFit="1" customWidth="1"/>
    <col min="3" max="3" width="10.85546875" customWidth="1"/>
    <col min="4" max="4" width="11.42578125" bestFit="1" customWidth="1"/>
    <col min="5" max="10" width="10.85546875" customWidth="1"/>
    <col min="11" max="11" width="10.85546875" style="99" customWidth="1"/>
    <col min="12" max="13" width="10.85546875" customWidth="1"/>
    <col min="14" max="15" width="11.42578125" bestFit="1" customWidth="1"/>
    <col min="16" max="17" width="10.85546875" customWidth="1"/>
    <col min="24" max="24" width="10.28515625" bestFit="1" customWidth="1"/>
  </cols>
  <sheetData>
    <row r="1" spans="1:25" ht="15.75" thickBot="1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5" x14ac:dyDescent="0.25">
      <c r="A2" s="324" t="s">
        <v>207</v>
      </c>
    </row>
    <row r="3" spans="1:25" ht="15.75" x14ac:dyDescent="0.25">
      <c r="A3" s="324" t="s">
        <v>206</v>
      </c>
      <c r="F3" s="42" t="s">
        <v>51</v>
      </c>
    </row>
    <row r="4" spans="1:25" ht="15.75" x14ac:dyDescent="0.25">
      <c r="A4" s="115"/>
      <c r="E4" s="42" t="s">
        <v>46</v>
      </c>
    </row>
    <row r="5" spans="1:25" x14ac:dyDescent="0.25">
      <c r="A5" s="136"/>
      <c r="B5" s="119" t="s">
        <v>58</v>
      </c>
    </row>
    <row r="7" spans="1:25" x14ac:dyDescent="0.25">
      <c r="X7" s="120"/>
      <c r="Y7" s="120"/>
    </row>
    <row r="8" spans="1:25" x14ac:dyDescent="0.25">
      <c r="A8" s="41" t="s">
        <v>47</v>
      </c>
      <c r="X8" s="120"/>
      <c r="Y8" s="120"/>
    </row>
    <row r="9" spans="1:25" x14ac:dyDescent="0.25">
      <c r="A9" s="41" t="s">
        <v>48</v>
      </c>
      <c r="X9" s="120"/>
      <c r="Y9" s="120"/>
    </row>
    <row r="10" spans="1:25" ht="15.75" thickBot="1" x14ac:dyDescent="0.3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40"/>
      <c r="N10" s="40"/>
      <c r="O10" s="40"/>
      <c r="P10" s="40"/>
      <c r="Q10" s="40"/>
      <c r="X10" s="120"/>
      <c r="Y10" s="120"/>
    </row>
    <row r="11" spans="1:25" ht="15.75" thickBot="1" x14ac:dyDescent="0.3">
      <c r="A11" s="332" t="s">
        <v>2</v>
      </c>
      <c r="B11" s="332" t="s">
        <v>49</v>
      </c>
      <c r="C11" s="330"/>
      <c r="D11" s="330"/>
      <c r="E11" s="332" t="s">
        <v>4</v>
      </c>
      <c r="F11" s="330"/>
      <c r="G11" s="330"/>
      <c r="H11" s="332" t="s">
        <v>5</v>
      </c>
      <c r="I11" s="330"/>
      <c r="J11" s="330"/>
      <c r="K11" s="134"/>
      <c r="L11" s="334" t="s">
        <v>50</v>
      </c>
      <c r="M11" s="330"/>
      <c r="N11" s="330"/>
      <c r="O11" s="330"/>
      <c r="P11" s="332" t="s">
        <v>7</v>
      </c>
      <c r="Q11" s="333"/>
      <c r="R11" s="325" t="s">
        <v>59</v>
      </c>
      <c r="S11" s="326"/>
      <c r="T11" s="326"/>
      <c r="U11" s="326"/>
      <c r="V11" s="327"/>
      <c r="X11" s="302"/>
      <c r="Y11" s="120"/>
    </row>
    <row r="12" spans="1:25" ht="39" thickBot="1" x14ac:dyDescent="0.3">
      <c r="A12" s="332"/>
      <c r="B12" s="43" t="s">
        <v>8</v>
      </c>
      <c r="C12" s="43" t="s">
        <v>9</v>
      </c>
      <c r="D12" s="43" t="s">
        <v>10</v>
      </c>
      <c r="E12" s="43" t="s">
        <v>11</v>
      </c>
      <c r="F12" s="43" t="s">
        <v>12</v>
      </c>
      <c r="G12" s="43" t="s">
        <v>13</v>
      </c>
      <c r="H12" s="43" t="s">
        <v>11</v>
      </c>
      <c r="I12" s="43" t="s">
        <v>12</v>
      </c>
      <c r="J12" s="125" t="s">
        <v>13</v>
      </c>
      <c r="K12" s="135" t="s">
        <v>54</v>
      </c>
      <c r="L12" s="133" t="s">
        <v>11</v>
      </c>
      <c r="M12" s="43" t="s">
        <v>12</v>
      </c>
      <c r="N12" s="43" t="s">
        <v>13</v>
      </c>
      <c r="O12" s="43" t="s">
        <v>14</v>
      </c>
      <c r="P12" s="43" t="s">
        <v>15</v>
      </c>
      <c r="Q12" s="125" t="s">
        <v>16</v>
      </c>
      <c r="R12" s="126"/>
      <c r="S12" s="119"/>
      <c r="T12" s="119"/>
      <c r="U12" s="119"/>
      <c r="V12" s="127"/>
      <c r="X12" s="138"/>
      <c r="Y12" s="120"/>
    </row>
    <row r="13" spans="1:25" x14ac:dyDescent="0.25">
      <c r="A13" s="122" t="s">
        <v>17</v>
      </c>
      <c r="B13" s="306">
        <v>334971.51709110459</v>
      </c>
      <c r="C13" s="306">
        <v>0</v>
      </c>
      <c r="D13" s="316">
        <f>B13</f>
        <v>334971.51709110459</v>
      </c>
      <c r="E13" s="317">
        <v>0</v>
      </c>
      <c r="F13" s="317">
        <f>0.39212</f>
        <v>0.39212000000000002</v>
      </c>
      <c r="G13" s="317">
        <f>0.60788</f>
        <v>0.60787999999999998</v>
      </c>
      <c r="H13" s="318">
        <v>1.0241800000000001</v>
      </c>
      <c r="I13" s="318">
        <v>1.0373000000000001</v>
      </c>
      <c r="J13" s="318">
        <v>1.07429</v>
      </c>
      <c r="K13" s="312">
        <f>(E13*H13)+(F13*I13)+(G13*J13)</f>
        <v>1.0597854812</v>
      </c>
      <c r="L13" s="108">
        <f>$D13*E13*H13</f>
        <v>0</v>
      </c>
      <c r="M13" s="108">
        <f t="shared" ref="M13:N13" si="0">$D13*F13*I13</f>
        <v>136248.35014857375</v>
      </c>
      <c r="N13" s="108">
        <f t="shared" si="0"/>
        <v>218749.60028011655</v>
      </c>
      <c r="O13" s="108">
        <f>SUM(L13:N13)</f>
        <v>354997.9504286903</v>
      </c>
      <c r="P13" s="113">
        <f>O13/$O$31</f>
        <v>1.8618124205335842E-2</v>
      </c>
      <c r="Q13" s="53">
        <v>1.6692158139924754E-2</v>
      </c>
      <c r="R13" s="126">
        <f>D13/($D$13+$D$14)</f>
        <v>0.9627113728049761</v>
      </c>
      <c r="S13" s="120">
        <f>K13*R13</f>
        <v>1.0202675354848343</v>
      </c>
      <c r="T13" s="120"/>
      <c r="U13" s="119"/>
      <c r="V13" s="127"/>
      <c r="X13" s="303"/>
      <c r="Y13" s="120"/>
    </row>
    <row r="14" spans="1:25" x14ac:dyDescent="0.25">
      <c r="A14" s="122" t="s">
        <v>18</v>
      </c>
      <c r="B14" s="306">
        <v>12974.426577478618</v>
      </c>
      <c r="C14" s="306"/>
      <c r="D14" s="316">
        <f>B14</f>
        <v>12974.426577478618</v>
      </c>
      <c r="E14" s="317">
        <v>0</v>
      </c>
      <c r="F14" s="317">
        <v>1.4279999999999999E-2</v>
      </c>
      <c r="G14" s="317">
        <v>0.98572000000000004</v>
      </c>
      <c r="H14" s="318">
        <v>1.0241800000000001</v>
      </c>
      <c r="I14" s="318">
        <v>1.0373000000000001</v>
      </c>
      <c r="J14" s="318">
        <v>1.07429</v>
      </c>
      <c r="K14" s="312">
        <f t="shared" ref="K14:K29" si="1">(E14*H14)+(F14*I14)+(G14*J14)</f>
        <v>1.0737617828000001</v>
      </c>
      <c r="L14" s="108">
        <f t="shared" ref="L14:L29" si="2">$D14*E14*H14</f>
        <v>0</v>
      </c>
      <c r="M14" s="108">
        <f t="shared" ref="M14:M29" si="3">$D14*F14*I14</f>
        <v>192.18556199632923</v>
      </c>
      <c r="N14" s="108">
        <f t="shared" ref="N14:N29" si="4">$D14*G14*J14</f>
        <v>13739.257850644814</v>
      </c>
      <c r="O14" s="108">
        <f t="shared" ref="O14:O29" si="5">SUM(L14:N14)</f>
        <v>13931.443412641143</v>
      </c>
      <c r="P14" s="113">
        <f t="shared" ref="P14:P29" si="6">O14/$O$31</f>
        <v>7.3064462344906605E-4</v>
      </c>
      <c r="Q14" s="53">
        <v>9.0513782831797864E-4</v>
      </c>
      <c r="R14" s="126">
        <f>D14/($D$13+$D$14)</f>
        <v>3.7288627195023995E-2</v>
      </c>
      <c r="S14" s="120">
        <f>K14*R14</f>
        <v>4.0039102815093534E-2</v>
      </c>
      <c r="T14" s="136">
        <f>S13+S14</f>
        <v>1.0603066382999278</v>
      </c>
      <c r="U14" s="119" t="s">
        <v>55</v>
      </c>
      <c r="V14" s="127"/>
      <c r="X14" s="303"/>
      <c r="Y14" s="120"/>
    </row>
    <row r="15" spans="1:25" x14ac:dyDescent="0.25">
      <c r="A15" s="5" t="s">
        <v>19</v>
      </c>
      <c r="B15" s="306">
        <f>'CP Analysis - From Load Researc'!B6</f>
        <v>179197.42167694357</v>
      </c>
      <c r="C15" s="306">
        <v>0</v>
      </c>
      <c r="D15" s="306">
        <f t="shared" ref="D15:D29" si="7">B15</f>
        <v>179197.42167694357</v>
      </c>
      <c r="E15" s="48">
        <v>1</v>
      </c>
      <c r="F15" s="48">
        <v>0</v>
      </c>
      <c r="G15" s="48">
        <v>0</v>
      </c>
      <c r="H15" s="49">
        <v>1.0241800000000001</v>
      </c>
      <c r="I15" s="49">
        <v>1.0373000000000001</v>
      </c>
      <c r="J15" s="49">
        <v>1.07429</v>
      </c>
      <c r="K15" s="107">
        <f t="shared" si="1"/>
        <v>1.0241800000000001</v>
      </c>
      <c r="L15" s="108">
        <f t="shared" si="2"/>
        <v>183530.4153330921</v>
      </c>
      <c r="M15" s="108">
        <f t="shared" si="3"/>
        <v>0</v>
      </c>
      <c r="N15" s="108">
        <f t="shared" si="4"/>
        <v>0</v>
      </c>
      <c r="O15" s="108">
        <f t="shared" si="5"/>
        <v>183530.4153330921</v>
      </c>
      <c r="P15" s="113">
        <f t="shared" si="6"/>
        <v>9.6253853409634417E-3</v>
      </c>
      <c r="Q15" s="53">
        <v>7.9033212957546044E-3</v>
      </c>
      <c r="R15" s="126"/>
      <c r="S15" s="119"/>
      <c r="T15" s="119"/>
      <c r="U15" s="119"/>
      <c r="V15" s="127"/>
      <c r="X15" s="303"/>
      <c r="Y15" s="120"/>
    </row>
    <row r="16" spans="1:25" x14ac:dyDescent="0.25">
      <c r="A16" s="123" t="s">
        <v>204</v>
      </c>
      <c r="B16" s="306">
        <v>8037.883932963342</v>
      </c>
      <c r="C16" s="306">
        <v>0</v>
      </c>
      <c r="D16" s="316">
        <f t="shared" si="7"/>
        <v>8037.883932963342</v>
      </c>
      <c r="E16" s="317">
        <v>0</v>
      </c>
      <c r="F16" s="317">
        <v>0</v>
      </c>
      <c r="G16" s="317">
        <f>1</f>
        <v>1</v>
      </c>
      <c r="H16" s="318">
        <v>1.0241800000000001</v>
      </c>
      <c r="I16" s="318">
        <v>1.0373000000000001</v>
      </c>
      <c r="J16" s="318">
        <v>1.07429</v>
      </c>
      <c r="K16" s="312">
        <f t="shared" si="1"/>
        <v>1.07429</v>
      </c>
      <c r="L16" s="108">
        <f t="shared" si="2"/>
        <v>0</v>
      </c>
      <c r="M16" s="108">
        <f t="shared" si="3"/>
        <v>0</v>
      </c>
      <c r="N16" s="108">
        <f t="shared" si="4"/>
        <v>8635.0183303431877</v>
      </c>
      <c r="O16" s="108">
        <f t="shared" si="5"/>
        <v>8635.0183303431877</v>
      </c>
      <c r="P16" s="113">
        <f t="shared" si="6"/>
        <v>4.5286978022137964E-4</v>
      </c>
      <c r="Q16" s="53">
        <v>4.9107732856399668E-4</v>
      </c>
      <c r="R16" s="126">
        <f>D16/($D$16+$D$27)</f>
        <v>0.68225739211515601</v>
      </c>
      <c r="S16" s="120">
        <f>K16*R16</f>
        <v>0.73294229377539089</v>
      </c>
      <c r="T16" s="120"/>
      <c r="U16" s="119"/>
      <c r="V16" s="127"/>
      <c r="X16" s="303"/>
      <c r="Y16" s="120"/>
    </row>
    <row r="17" spans="1:25" x14ac:dyDescent="0.25">
      <c r="A17" s="5" t="s">
        <v>20</v>
      </c>
      <c r="B17" s="306">
        <f>'CP Analysis - From Load Researc'!B8</f>
        <v>3854029.7945355414</v>
      </c>
      <c r="C17" s="306">
        <v>0</v>
      </c>
      <c r="D17" s="306">
        <f t="shared" si="7"/>
        <v>3854029.7945355414</v>
      </c>
      <c r="E17" s="48">
        <v>0</v>
      </c>
      <c r="F17" s="48">
        <v>2.8800000000000002E-3</v>
      </c>
      <c r="G17" s="48">
        <v>0.99712000000000001</v>
      </c>
      <c r="H17" s="49">
        <v>1.0241800000000001</v>
      </c>
      <c r="I17" s="49">
        <v>1.0373000000000001</v>
      </c>
      <c r="J17" s="49">
        <v>1.07429</v>
      </c>
      <c r="K17" s="107">
        <f t="shared" si="1"/>
        <v>1.0741834688</v>
      </c>
      <c r="L17" s="108">
        <f t="shared" si="2"/>
        <v>0</v>
      </c>
      <c r="M17" s="108">
        <f t="shared" si="3"/>
        <v>11513.621104910548</v>
      </c>
      <c r="N17" s="108">
        <f t="shared" si="4"/>
        <v>4128421.4724478289</v>
      </c>
      <c r="O17" s="108">
        <f t="shared" si="5"/>
        <v>4139935.0935527394</v>
      </c>
      <c r="P17" s="113">
        <f t="shared" si="6"/>
        <v>0.21712188952278602</v>
      </c>
      <c r="Q17" s="53">
        <v>0.19946111887196513</v>
      </c>
      <c r="R17" s="126">
        <f>D27/($D$16+$D$27)</f>
        <v>0.31774260788484393</v>
      </c>
      <c r="S17" s="120">
        <f>K27*R17</f>
        <v>0.34134770622460897</v>
      </c>
      <c r="T17" s="136">
        <f>S16+S17</f>
        <v>1.07429</v>
      </c>
      <c r="U17" s="119" t="s">
        <v>56</v>
      </c>
      <c r="V17" s="127"/>
      <c r="X17" s="303"/>
      <c r="Y17" s="120"/>
    </row>
    <row r="18" spans="1:25" x14ac:dyDescent="0.25">
      <c r="A18" s="5" t="s">
        <v>21</v>
      </c>
      <c r="B18" s="306">
        <f>'CP Analysis - From Load Researc'!B9</f>
        <v>1556942.6185767679</v>
      </c>
      <c r="C18" s="306">
        <v>0</v>
      </c>
      <c r="D18" s="306">
        <f t="shared" si="7"/>
        <v>1556942.6185767679</v>
      </c>
      <c r="E18" s="48">
        <v>0</v>
      </c>
      <c r="F18" s="48">
        <v>3.9350000000000003E-2</v>
      </c>
      <c r="G18" s="48">
        <v>0.96065</v>
      </c>
      <c r="H18" s="49">
        <v>1.0241800000000001</v>
      </c>
      <c r="I18" s="49">
        <v>1.0373000000000001</v>
      </c>
      <c r="J18" s="49">
        <v>1.07429</v>
      </c>
      <c r="K18" s="107">
        <f t="shared" si="1"/>
        <v>1.0728344434999999</v>
      </c>
      <c r="L18" s="108">
        <f t="shared" si="2"/>
        <v>0</v>
      </c>
      <c r="M18" s="108">
        <f t="shared" si="3"/>
        <v>63550.90235412497</v>
      </c>
      <c r="N18" s="108">
        <f t="shared" si="4"/>
        <v>1606790.7654081145</v>
      </c>
      <c r="O18" s="108">
        <f t="shared" si="5"/>
        <v>1670341.6677622395</v>
      </c>
      <c r="P18" s="113">
        <f t="shared" si="6"/>
        <v>8.7602276571430743E-2</v>
      </c>
      <c r="Q18" s="53">
        <v>8.1830626958473665E-2</v>
      </c>
      <c r="R18" s="126"/>
      <c r="S18" s="119"/>
      <c r="T18" s="119"/>
      <c r="U18" s="119"/>
      <c r="V18" s="127"/>
      <c r="X18" s="303"/>
      <c r="Y18" s="120"/>
    </row>
    <row r="19" spans="1:25" x14ac:dyDescent="0.25">
      <c r="A19" s="5" t="s">
        <v>22</v>
      </c>
      <c r="B19" s="306">
        <f>'CP Analysis - From Load Researc'!B10</f>
        <v>312391.3799935063</v>
      </c>
      <c r="C19" s="306">
        <v>0</v>
      </c>
      <c r="D19" s="306">
        <f t="shared" si="7"/>
        <v>312391.3799935063</v>
      </c>
      <c r="E19" s="48">
        <v>0</v>
      </c>
      <c r="F19" s="48">
        <v>0.32521</v>
      </c>
      <c r="G19" s="48">
        <v>0.67479</v>
      </c>
      <c r="H19" s="49">
        <v>1.0241800000000001</v>
      </c>
      <c r="I19" s="49">
        <v>1.0373000000000001</v>
      </c>
      <c r="J19" s="49">
        <v>1.07429</v>
      </c>
      <c r="K19" s="107">
        <f t="shared" si="1"/>
        <v>1.0622604821000001</v>
      </c>
      <c r="L19" s="108">
        <f t="shared" si="2"/>
        <v>0</v>
      </c>
      <c r="M19" s="108">
        <f t="shared" si="3"/>
        <v>105382.21215333896</v>
      </c>
      <c r="N19" s="108">
        <f t="shared" si="4"/>
        <v>226458.80576244736</v>
      </c>
      <c r="O19" s="108">
        <f t="shared" si="5"/>
        <v>331841.0179157863</v>
      </c>
      <c r="P19" s="113">
        <f t="shared" si="6"/>
        <v>1.7403642135174056E-2</v>
      </c>
      <c r="Q19" s="53">
        <v>1.6250191976936699E-2</v>
      </c>
      <c r="R19" s="126"/>
      <c r="S19" s="119"/>
      <c r="T19" s="119"/>
      <c r="U19" s="119"/>
      <c r="V19" s="127"/>
      <c r="X19" s="303"/>
      <c r="Y19" s="120"/>
    </row>
    <row r="20" spans="1:25" x14ac:dyDescent="0.25">
      <c r="A20" s="5" t="s">
        <v>23</v>
      </c>
      <c r="B20" s="306">
        <f>'CP Analysis - From Load Researc'!B11</f>
        <v>21568.80140757118</v>
      </c>
      <c r="C20" s="306">
        <v>0</v>
      </c>
      <c r="D20" s="306">
        <f t="shared" si="7"/>
        <v>21568.80140757118</v>
      </c>
      <c r="E20" s="48">
        <v>1</v>
      </c>
      <c r="F20" s="48">
        <v>0</v>
      </c>
      <c r="G20" s="48">
        <v>0</v>
      </c>
      <c r="H20" s="49">
        <v>1.0241800000000001</v>
      </c>
      <c r="I20" s="49">
        <v>1.0373000000000001</v>
      </c>
      <c r="J20" s="49">
        <v>1.07429</v>
      </c>
      <c r="K20" s="107">
        <f t="shared" si="1"/>
        <v>1.0241800000000001</v>
      </c>
      <c r="L20" s="108">
        <f t="shared" si="2"/>
        <v>22090.335025606251</v>
      </c>
      <c r="M20" s="108">
        <f t="shared" si="3"/>
        <v>0</v>
      </c>
      <c r="N20" s="108">
        <f t="shared" si="4"/>
        <v>0</v>
      </c>
      <c r="O20" s="108">
        <f t="shared" si="5"/>
        <v>22090.335025606251</v>
      </c>
      <c r="P20" s="113">
        <f t="shared" si="6"/>
        <v>1.1585435936955735E-3</v>
      </c>
      <c r="Q20" s="53">
        <v>9.6944842440971433E-4</v>
      </c>
      <c r="R20" s="126"/>
      <c r="S20" s="119"/>
      <c r="T20" s="119"/>
      <c r="U20" s="119"/>
      <c r="V20" s="127"/>
      <c r="X20" s="303"/>
      <c r="Y20" s="120"/>
    </row>
    <row r="21" spans="1:25" x14ac:dyDescent="0.25">
      <c r="A21" s="5" t="s">
        <v>24</v>
      </c>
      <c r="B21" s="306">
        <f>'CP Analysis - From Load Researc'!B12</f>
        <v>988701.4373954176</v>
      </c>
      <c r="C21" s="306">
        <v>0</v>
      </c>
      <c r="D21" s="306">
        <f t="shared" si="7"/>
        <v>988701.4373954176</v>
      </c>
      <c r="E21" s="48">
        <v>0</v>
      </c>
      <c r="F21" s="48">
        <v>0</v>
      </c>
      <c r="G21" s="48">
        <v>1</v>
      </c>
      <c r="H21" s="49">
        <v>1.0241800000000001</v>
      </c>
      <c r="I21" s="49">
        <v>1.0373000000000001</v>
      </c>
      <c r="J21" s="49">
        <v>1.07429</v>
      </c>
      <c r="K21" s="107">
        <f t="shared" si="1"/>
        <v>1.07429</v>
      </c>
      <c r="L21" s="108">
        <f t="shared" si="2"/>
        <v>0</v>
      </c>
      <c r="M21" s="108">
        <f t="shared" si="3"/>
        <v>0</v>
      </c>
      <c r="N21" s="108">
        <f t="shared" si="4"/>
        <v>1062152.0671795232</v>
      </c>
      <c r="O21" s="108">
        <f t="shared" si="5"/>
        <v>1062152.0671795232</v>
      </c>
      <c r="P21" s="113">
        <f t="shared" si="6"/>
        <v>5.5705333193676883E-2</v>
      </c>
      <c r="Q21" s="53">
        <v>5.0272930673318027E-2</v>
      </c>
      <c r="R21" s="126"/>
      <c r="S21" s="119"/>
      <c r="T21" s="119"/>
      <c r="U21" s="119"/>
      <c r="V21" s="127"/>
      <c r="X21" s="303"/>
      <c r="Y21" s="120"/>
    </row>
    <row r="22" spans="1:25" x14ac:dyDescent="0.25">
      <c r="A22" s="5" t="s">
        <v>25</v>
      </c>
      <c r="B22" s="306">
        <f>'CP Analysis - From Load Researc'!B13</f>
        <v>20894.512243814999</v>
      </c>
      <c r="C22" s="306">
        <v>0</v>
      </c>
      <c r="D22" s="306">
        <f t="shared" si="7"/>
        <v>20894.512243814999</v>
      </c>
      <c r="E22" s="48">
        <v>0</v>
      </c>
      <c r="F22" s="48">
        <v>1</v>
      </c>
      <c r="G22" s="48">
        <v>0</v>
      </c>
      <c r="H22" s="49">
        <v>1.0241800000000001</v>
      </c>
      <c r="I22" s="49">
        <v>1.0373000000000001</v>
      </c>
      <c r="J22" s="49">
        <v>1.07429</v>
      </c>
      <c r="K22" s="107">
        <f t="shared" si="1"/>
        <v>1.0373000000000001</v>
      </c>
      <c r="L22" s="108">
        <f t="shared" si="2"/>
        <v>0</v>
      </c>
      <c r="M22" s="108">
        <f t="shared" si="3"/>
        <v>21673.8775505093</v>
      </c>
      <c r="N22" s="108">
        <f t="shared" si="4"/>
        <v>0</v>
      </c>
      <c r="O22" s="108">
        <f t="shared" si="5"/>
        <v>21673.8775505093</v>
      </c>
      <c r="P22" s="113">
        <f t="shared" si="6"/>
        <v>1.1367021802783062E-3</v>
      </c>
      <c r="Q22" s="53">
        <v>6.8226296666982751E-4</v>
      </c>
      <c r="R22" s="126"/>
      <c r="S22" s="119"/>
      <c r="T22" s="119"/>
      <c r="U22" s="119"/>
      <c r="V22" s="127"/>
      <c r="X22" s="303"/>
      <c r="Y22" s="120"/>
    </row>
    <row r="23" spans="1:25" x14ac:dyDescent="0.25">
      <c r="A23" s="124" t="s">
        <v>26</v>
      </c>
      <c r="B23" s="306">
        <v>3633.3663849182722</v>
      </c>
      <c r="C23" s="306">
        <v>0</v>
      </c>
      <c r="D23" s="316">
        <f t="shared" si="7"/>
        <v>3633.3663849182722</v>
      </c>
      <c r="E23" s="317">
        <v>0</v>
      </c>
      <c r="F23" s="317">
        <v>0</v>
      </c>
      <c r="G23" s="317">
        <f>1</f>
        <v>1</v>
      </c>
      <c r="H23" s="318">
        <v>1.0241800000000001</v>
      </c>
      <c r="I23" s="318">
        <v>1.0373000000000001</v>
      </c>
      <c r="J23" s="318">
        <v>1.07429</v>
      </c>
      <c r="K23" s="312">
        <f t="shared" si="1"/>
        <v>1.07429</v>
      </c>
      <c r="L23" s="108">
        <f t="shared" si="2"/>
        <v>0</v>
      </c>
      <c r="M23" s="108">
        <f t="shared" si="3"/>
        <v>0</v>
      </c>
      <c r="N23" s="108">
        <f t="shared" si="4"/>
        <v>3903.2891736538504</v>
      </c>
      <c r="O23" s="108">
        <f t="shared" si="5"/>
        <v>3903.2891736538504</v>
      </c>
      <c r="P23" s="113">
        <f t="shared" si="6"/>
        <v>2.0471082313763375E-4</v>
      </c>
      <c r="Q23" s="53">
        <v>1.508384219785231E-4</v>
      </c>
      <c r="R23" s="126">
        <f>D22/($D$22+$D$26)</f>
        <v>0.50044650966943527</v>
      </c>
      <c r="S23" s="120">
        <f>K23*R23</f>
        <v>0.53762468087277759</v>
      </c>
      <c r="T23" s="120"/>
      <c r="U23" s="119"/>
      <c r="V23" s="127"/>
      <c r="X23" s="303"/>
      <c r="Y23" s="120"/>
    </row>
    <row r="24" spans="1:25" ht="15.75" thickBot="1" x14ac:dyDescent="0.3">
      <c r="A24" s="5" t="s">
        <v>27</v>
      </c>
      <c r="B24" s="306">
        <f>'CP Analysis - From Load Researc'!B15</f>
        <v>815.91435103653828</v>
      </c>
      <c r="C24" s="306">
        <v>0</v>
      </c>
      <c r="D24" s="306">
        <f t="shared" si="7"/>
        <v>815.91435103653828</v>
      </c>
      <c r="E24" s="48">
        <v>0</v>
      </c>
      <c r="F24" s="48">
        <v>1</v>
      </c>
      <c r="G24" s="48">
        <v>0</v>
      </c>
      <c r="H24" s="49">
        <v>1.0241800000000001</v>
      </c>
      <c r="I24" s="49">
        <v>1.0373000000000001</v>
      </c>
      <c r="J24" s="49">
        <v>1.07429</v>
      </c>
      <c r="K24" s="107">
        <f t="shared" si="1"/>
        <v>1.0373000000000001</v>
      </c>
      <c r="L24" s="108">
        <f t="shared" si="2"/>
        <v>0</v>
      </c>
      <c r="M24" s="108">
        <f t="shared" si="3"/>
        <v>846.34795633020121</v>
      </c>
      <c r="N24" s="108">
        <f t="shared" si="4"/>
        <v>0</v>
      </c>
      <c r="O24" s="108">
        <f t="shared" si="5"/>
        <v>846.34795633020121</v>
      </c>
      <c r="P24" s="113">
        <f t="shared" si="6"/>
        <v>4.4387330554611441E-5</v>
      </c>
      <c r="Q24" s="53">
        <v>7.8283231756264579E-5</v>
      </c>
      <c r="R24" s="128">
        <f>D26/($D$22+$D$26)</f>
        <v>0.49955349033056473</v>
      </c>
      <c r="S24" s="129">
        <f>K26*R24</f>
        <v>0.53666531912722237</v>
      </c>
      <c r="T24" s="315">
        <f>S23+S24</f>
        <v>1.07429</v>
      </c>
      <c r="U24" s="40" t="s">
        <v>57</v>
      </c>
      <c r="V24" s="130"/>
      <c r="X24" s="303"/>
      <c r="Y24" s="120"/>
    </row>
    <row r="25" spans="1:25" x14ac:dyDescent="0.25">
      <c r="A25" s="5" t="s">
        <v>28</v>
      </c>
      <c r="B25" s="306">
        <f>'CP Analysis - From Load Researc'!B16</f>
        <v>10443289.805182116</v>
      </c>
      <c r="C25" s="306">
        <v>0</v>
      </c>
      <c r="D25" s="306">
        <f t="shared" si="7"/>
        <v>10443289.805182116</v>
      </c>
      <c r="E25" s="48">
        <v>0</v>
      </c>
      <c r="F25" s="48">
        <v>0</v>
      </c>
      <c r="G25" s="48">
        <v>1</v>
      </c>
      <c r="H25" s="49">
        <v>1.0241800000000001</v>
      </c>
      <c r="I25" s="49">
        <v>1.0373000000000001</v>
      </c>
      <c r="J25" s="49">
        <v>1.07429</v>
      </c>
      <c r="K25" s="107">
        <f t="shared" si="1"/>
        <v>1.07429</v>
      </c>
      <c r="L25" s="108">
        <f t="shared" si="2"/>
        <v>0</v>
      </c>
      <c r="M25" s="108">
        <f t="shared" si="3"/>
        <v>0</v>
      </c>
      <c r="N25" s="108">
        <f t="shared" si="4"/>
        <v>11219121.804809095</v>
      </c>
      <c r="O25" s="108">
        <f t="shared" si="5"/>
        <v>11219121.804809095</v>
      </c>
      <c r="P25" s="113">
        <f t="shared" si="6"/>
        <v>0.58839495547647003</v>
      </c>
      <c r="Q25" s="53">
        <v>0.57252565575043191</v>
      </c>
      <c r="X25" s="303"/>
      <c r="Y25" s="120"/>
    </row>
    <row r="26" spans="1:25" x14ac:dyDescent="0.25">
      <c r="A26" s="124" t="s">
        <v>29</v>
      </c>
      <c r="B26" s="306">
        <v>20857.227133119915</v>
      </c>
      <c r="C26" s="306">
        <v>0</v>
      </c>
      <c r="D26" s="316">
        <f t="shared" si="7"/>
        <v>20857.227133119915</v>
      </c>
      <c r="E26" s="317">
        <v>0</v>
      </c>
      <c r="F26" s="317">
        <v>0</v>
      </c>
      <c r="G26" s="317">
        <v>1</v>
      </c>
      <c r="H26" s="318">
        <v>1.0241800000000001</v>
      </c>
      <c r="I26" s="318">
        <v>1.0373000000000001</v>
      </c>
      <c r="J26" s="318">
        <v>1.07429</v>
      </c>
      <c r="K26" s="312">
        <f t="shared" si="1"/>
        <v>1.07429</v>
      </c>
      <c r="L26" s="108">
        <f t="shared" si="2"/>
        <v>0</v>
      </c>
      <c r="M26" s="108">
        <f t="shared" si="3"/>
        <v>0</v>
      </c>
      <c r="N26" s="108">
        <f t="shared" si="4"/>
        <v>22406.710536839393</v>
      </c>
      <c r="O26" s="108">
        <f t="shared" si="5"/>
        <v>22406.710536839393</v>
      </c>
      <c r="P26" s="113">
        <f t="shared" si="6"/>
        <v>1.1751361361498388E-3</v>
      </c>
      <c r="Q26" s="53">
        <v>8.3026432973220513E-4</v>
      </c>
      <c r="X26" s="303"/>
      <c r="Y26" s="120"/>
    </row>
    <row r="27" spans="1:25" x14ac:dyDescent="0.25">
      <c r="A27" s="123" t="s">
        <v>30</v>
      </c>
      <c r="B27" s="306">
        <v>3743.4232772730156</v>
      </c>
      <c r="C27" s="306">
        <v>0</v>
      </c>
      <c r="D27" s="316">
        <f t="shared" si="7"/>
        <v>3743.4232772730156</v>
      </c>
      <c r="E27" s="317">
        <v>0</v>
      </c>
      <c r="F27" s="317">
        <v>0</v>
      </c>
      <c r="G27" s="317">
        <v>1</v>
      </c>
      <c r="H27" s="318">
        <v>1.0241800000000001</v>
      </c>
      <c r="I27" s="318">
        <v>1.0373000000000001</v>
      </c>
      <c r="J27" s="318">
        <v>1.07429</v>
      </c>
      <c r="K27" s="312">
        <f t="shared" si="1"/>
        <v>1.07429</v>
      </c>
      <c r="L27" s="108">
        <f t="shared" si="2"/>
        <v>0</v>
      </c>
      <c r="M27" s="108">
        <f t="shared" si="3"/>
        <v>0</v>
      </c>
      <c r="N27" s="108">
        <f t="shared" si="4"/>
        <v>4021.5221925416276</v>
      </c>
      <c r="O27" s="108">
        <f t="shared" si="5"/>
        <v>4021.5221925416276</v>
      </c>
      <c r="P27" s="113">
        <f t="shared" si="6"/>
        <v>2.1091163930619534E-4</v>
      </c>
      <c r="Q27" s="53">
        <v>1.9484008215947302E-4</v>
      </c>
      <c r="X27" s="303"/>
      <c r="Y27" s="120"/>
    </row>
    <row r="28" spans="1:25" x14ac:dyDescent="0.25">
      <c r="A28" s="5" t="s">
        <v>31</v>
      </c>
      <c r="B28" s="306">
        <f>'CP Analysis - From Load Researc'!B17</f>
        <v>1664.7526750432392</v>
      </c>
      <c r="C28" s="306">
        <v>0</v>
      </c>
      <c r="D28" s="306">
        <f t="shared" si="7"/>
        <v>1664.7526750432392</v>
      </c>
      <c r="E28" s="48">
        <v>0</v>
      </c>
      <c r="F28" s="48">
        <v>1</v>
      </c>
      <c r="G28" s="48">
        <v>0</v>
      </c>
      <c r="H28" s="49">
        <v>1.0241800000000001</v>
      </c>
      <c r="I28" s="49">
        <v>1.0373000000000001</v>
      </c>
      <c r="J28" s="49">
        <v>1.07429</v>
      </c>
      <c r="K28" s="107">
        <f t="shared" si="1"/>
        <v>1.0373000000000001</v>
      </c>
      <c r="L28" s="108">
        <f t="shared" si="2"/>
        <v>0</v>
      </c>
      <c r="M28" s="108">
        <f t="shared" si="3"/>
        <v>1726.8479498223521</v>
      </c>
      <c r="N28" s="108">
        <f t="shared" si="4"/>
        <v>0</v>
      </c>
      <c r="O28" s="108">
        <f t="shared" si="5"/>
        <v>1726.8479498223521</v>
      </c>
      <c r="P28" s="113">
        <f t="shared" si="6"/>
        <v>9.0565789393142783E-5</v>
      </c>
      <c r="Q28" s="53">
        <v>1.0538976445442507E-4</v>
      </c>
      <c r="X28" s="303"/>
      <c r="Y28" s="120"/>
    </row>
    <row r="29" spans="1:25" x14ac:dyDescent="0.25">
      <c r="A29" s="5" t="s">
        <v>32</v>
      </c>
      <c r="B29" s="306">
        <f>'CP Analysis - From Load Researc'!B18</f>
        <v>6030.5041178798392</v>
      </c>
      <c r="C29" s="306">
        <v>0</v>
      </c>
      <c r="D29" s="306">
        <f t="shared" si="7"/>
        <v>6030.5041178798392</v>
      </c>
      <c r="E29" s="48">
        <v>1</v>
      </c>
      <c r="F29" s="48">
        <v>0</v>
      </c>
      <c r="G29" s="48">
        <v>0</v>
      </c>
      <c r="H29" s="49">
        <v>1.0241800000000001</v>
      </c>
      <c r="I29" s="49">
        <v>1.0373000000000001</v>
      </c>
      <c r="J29" s="49">
        <v>1.07429</v>
      </c>
      <c r="K29" s="107">
        <f t="shared" si="1"/>
        <v>1.0241800000000001</v>
      </c>
      <c r="L29" s="108">
        <f t="shared" si="2"/>
        <v>6176.3217074501745</v>
      </c>
      <c r="M29" s="108">
        <f t="shared" si="3"/>
        <v>0</v>
      </c>
      <c r="N29" s="108">
        <f t="shared" si="4"/>
        <v>0</v>
      </c>
      <c r="O29" s="108">
        <f t="shared" si="5"/>
        <v>6176.3217074501745</v>
      </c>
      <c r="P29" s="113">
        <f t="shared" si="6"/>
        <v>3.2392165797734103E-4</v>
      </c>
      <c r="Q29" s="53">
        <v>4.9481793444744243E-4</v>
      </c>
      <c r="X29" s="303"/>
      <c r="Y29" s="120"/>
    </row>
    <row r="30" spans="1:25" ht="15.75" thickBot="1" x14ac:dyDescent="0.3">
      <c r="B30" s="307"/>
      <c r="C30" s="307"/>
      <c r="D30" s="307"/>
      <c r="L30" s="105"/>
      <c r="M30" s="105"/>
      <c r="N30" s="105"/>
      <c r="O30" s="105"/>
      <c r="P30" s="105"/>
      <c r="X30" s="304"/>
      <c r="Y30" s="120"/>
    </row>
    <row r="31" spans="1:25" ht="15.75" thickBot="1" x14ac:dyDescent="0.3">
      <c r="A31" s="44" t="s">
        <v>15</v>
      </c>
      <c r="B31" s="308">
        <f>SUM(B13:B29)</f>
        <v>17769744.786552496</v>
      </c>
      <c r="C31" s="308">
        <f t="shared" ref="C31:D31" si="8">SUM(C13:C29)</f>
        <v>0</v>
      </c>
      <c r="D31" s="308">
        <f t="shared" si="8"/>
        <v>17769744.786552496</v>
      </c>
      <c r="E31" s="54" t="s">
        <v>2</v>
      </c>
      <c r="F31" s="54" t="s">
        <v>2</v>
      </c>
      <c r="G31" s="54" t="s">
        <v>2</v>
      </c>
      <c r="H31" s="55" t="s">
        <v>2</v>
      </c>
      <c r="I31" s="55" t="s">
        <v>2</v>
      </c>
      <c r="J31" s="55" t="s">
        <v>2</v>
      </c>
      <c r="K31" s="55"/>
      <c r="L31" s="118">
        <f>SUM(L13:L29)</f>
        <v>211797.07206614851</v>
      </c>
      <c r="M31" s="118">
        <f t="shared" ref="M31:O31" si="9">SUM(M13:M29)</f>
        <v>341134.34477960644</v>
      </c>
      <c r="N31" s="118">
        <f t="shared" si="9"/>
        <v>18514400.313971147</v>
      </c>
      <c r="O31" s="118">
        <f t="shared" si="9"/>
        <v>19067331.730816901</v>
      </c>
      <c r="P31" s="114">
        <v>1</v>
      </c>
      <c r="Q31" s="56">
        <v>0.94983836397929455</v>
      </c>
      <c r="X31" s="305"/>
      <c r="Y31" s="120"/>
    </row>
    <row r="32" spans="1:25" x14ac:dyDescent="0.25">
      <c r="X32" s="120"/>
      <c r="Y32" s="120"/>
    </row>
    <row r="33" spans="1:25" x14ac:dyDescent="0.25">
      <c r="A33" s="44" t="s">
        <v>33</v>
      </c>
      <c r="B33" s="45">
        <v>1647.6536862644682</v>
      </c>
      <c r="C33" s="46">
        <v>0</v>
      </c>
      <c r="D33" s="47">
        <v>1647.6536862644682</v>
      </c>
      <c r="E33" s="48">
        <v>1</v>
      </c>
      <c r="F33" s="48">
        <v>0</v>
      </c>
      <c r="G33" s="48">
        <v>0</v>
      </c>
      <c r="H33" s="49">
        <v>1.0241800000000001</v>
      </c>
      <c r="I33" s="49">
        <v>1.0373000000000001</v>
      </c>
      <c r="J33" s="49">
        <v>1.07429</v>
      </c>
      <c r="K33" s="49"/>
      <c r="L33" s="47">
        <v>1687.4939523983433</v>
      </c>
      <c r="M33" s="50">
        <v>0</v>
      </c>
      <c r="N33" s="51">
        <v>0</v>
      </c>
      <c r="O33" s="52">
        <v>1687.4939523983433</v>
      </c>
      <c r="P33" s="57" t="s">
        <v>2</v>
      </c>
      <c r="Q33" s="53">
        <v>7.8950094074269474E-5</v>
      </c>
      <c r="X33" s="120"/>
      <c r="Y33" s="120"/>
    </row>
    <row r="34" spans="1:25" x14ac:dyDescent="0.25">
      <c r="A34" s="44" t="s">
        <v>34</v>
      </c>
      <c r="B34" s="45">
        <v>126186.839522961</v>
      </c>
      <c r="C34" s="46">
        <v>0</v>
      </c>
      <c r="D34" s="47">
        <v>126186.839522961</v>
      </c>
      <c r="E34" s="48">
        <v>1</v>
      </c>
      <c r="F34" s="48">
        <v>0</v>
      </c>
      <c r="G34" s="48">
        <v>0</v>
      </c>
      <c r="H34" s="49">
        <v>1.0241800000000001</v>
      </c>
      <c r="I34" s="49">
        <v>1.0373000000000001</v>
      </c>
      <c r="J34" s="49">
        <v>1.07429</v>
      </c>
      <c r="K34" s="49"/>
      <c r="L34" s="47">
        <v>129238.03730262621</v>
      </c>
      <c r="M34" s="50">
        <v>0</v>
      </c>
      <c r="N34" s="51">
        <v>0</v>
      </c>
      <c r="O34" s="52">
        <v>129238.03730262621</v>
      </c>
      <c r="P34" s="58" t="s">
        <v>2</v>
      </c>
      <c r="Q34" s="53">
        <v>6.0464543819637477E-3</v>
      </c>
      <c r="X34" s="120"/>
      <c r="Y34" s="120"/>
    </row>
    <row r="35" spans="1:25" x14ac:dyDescent="0.25">
      <c r="A35" s="44" t="s">
        <v>35</v>
      </c>
      <c r="B35" s="45">
        <v>0</v>
      </c>
      <c r="C35" s="46">
        <v>0</v>
      </c>
      <c r="D35" s="47">
        <v>0</v>
      </c>
      <c r="E35" s="48">
        <v>1</v>
      </c>
      <c r="F35" s="48">
        <v>0</v>
      </c>
      <c r="G35" s="48">
        <v>0</v>
      </c>
      <c r="H35" s="49">
        <v>1.0241800000000001</v>
      </c>
      <c r="I35" s="49">
        <v>1.0373000000000001</v>
      </c>
      <c r="J35" s="49">
        <v>1.07429</v>
      </c>
      <c r="K35" s="49"/>
      <c r="L35" s="47">
        <v>0</v>
      </c>
      <c r="M35" s="50">
        <v>0</v>
      </c>
      <c r="N35" s="51">
        <v>0</v>
      </c>
      <c r="O35" s="52">
        <v>0</v>
      </c>
      <c r="P35" s="59" t="s">
        <v>2</v>
      </c>
      <c r="Q35" s="53">
        <v>0</v>
      </c>
      <c r="X35" s="120"/>
      <c r="Y35" s="120"/>
    </row>
    <row r="36" spans="1:25" x14ac:dyDescent="0.25">
      <c r="A36" s="44" t="s">
        <v>36</v>
      </c>
      <c r="B36" s="45">
        <v>689565.72335174109</v>
      </c>
      <c r="C36" s="46">
        <v>0</v>
      </c>
      <c r="D36" s="47">
        <v>689565.72335174109</v>
      </c>
      <c r="E36" s="48">
        <v>1</v>
      </c>
      <c r="F36" s="48">
        <v>0</v>
      </c>
      <c r="G36" s="48">
        <v>0</v>
      </c>
      <c r="H36" s="49">
        <v>1.0241800000000001</v>
      </c>
      <c r="I36" s="49">
        <v>1.0373000000000001</v>
      </c>
      <c r="J36" s="49">
        <v>1.07429</v>
      </c>
      <c r="K36" s="49"/>
      <c r="L36" s="47">
        <v>706239.42254238622</v>
      </c>
      <c r="M36" s="50">
        <v>0</v>
      </c>
      <c r="N36" s="51">
        <v>0</v>
      </c>
      <c r="O36" s="52">
        <v>706239.42254238622</v>
      </c>
      <c r="P36" s="60" t="s">
        <v>2</v>
      </c>
      <c r="Q36" s="53">
        <v>3.3041699953610976E-2</v>
      </c>
    </row>
    <row r="37" spans="1:25" x14ac:dyDescent="0.25">
      <c r="A37" s="44" t="s">
        <v>37</v>
      </c>
      <c r="B37" s="45">
        <v>0</v>
      </c>
      <c r="C37" s="46">
        <v>0</v>
      </c>
      <c r="D37" s="47">
        <v>0</v>
      </c>
      <c r="E37" s="48">
        <v>1</v>
      </c>
      <c r="F37" s="48">
        <v>0</v>
      </c>
      <c r="G37" s="48">
        <v>0</v>
      </c>
      <c r="H37" s="49">
        <v>1.0241800000000001</v>
      </c>
      <c r="I37" s="49">
        <v>1.0373000000000001</v>
      </c>
      <c r="J37" s="49">
        <v>1.07429</v>
      </c>
      <c r="K37" s="49"/>
      <c r="L37" s="47">
        <v>0</v>
      </c>
      <c r="M37" s="50">
        <v>0</v>
      </c>
      <c r="N37" s="51">
        <v>0</v>
      </c>
      <c r="O37" s="52">
        <v>0</v>
      </c>
      <c r="P37" s="61" t="s">
        <v>2</v>
      </c>
      <c r="Q37" s="53">
        <v>0</v>
      </c>
    </row>
    <row r="38" spans="1:25" x14ac:dyDescent="0.25">
      <c r="A38" s="44" t="s">
        <v>38</v>
      </c>
      <c r="B38" s="45">
        <v>34173.557791896608</v>
      </c>
      <c r="C38" s="46">
        <v>0</v>
      </c>
      <c r="D38" s="47">
        <v>34173.557791896608</v>
      </c>
      <c r="E38" s="48">
        <v>1</v>
      </c>
      <c r="F38" s="48">
        <v>0</v>
      </c>
      <c r="G38" s="48">
        <v>0</v>
      </c>
      <c r="H38" s="49">
        <v>1.0241800000000001</v>
      </c>
      <c r="I38" s="49">
        <v>1.0373000000000001</v>
      </c>
      <c r="J38" s="49">
        <v>1.07429</v>
      </c>
      <c r="K38" s="49"/>
      <c r="L38" s="47">
        <v>34999.874419304673</v>
      </c>
      <c r="M38" s="50">
        <v>0</v>
      </c>
      <c r="N38" s="51">
        <v>0</v>
      </c>
      <c r="O38" s="52">
        <v>34999.874419304673</v>
      </c>
      <c r="P38" s="62" t="s">
        <v>2</v>
      </c>
      <c r="Q38" s="53">
        <v>1.6374834256824885E-3</v>
      </c>
    </row>
    <row r="39" spans="1:25" x14ac:dyDescent="0.25">
      <c r="A39" s="44" t="s">
        <v>39</v>
      </c>
      <c r="B39" s="45">
        <v>195277.47348507986</v>
      </c>
      <c r="C39" s="46">
        <v>0</v>
      </c>
      <c r="D39" s="47">
        <v>195277.47348507986</v>
      </c>
      <c r="E39" s="48">
        <v>1</v>
      </c>
      <c r="F39" s="48">
        <v>0</v>
      </c>
      <c r="G39" s="48">
        <v>0</v>
      </c>
      <c r="H39" s="49">
        <v>1.0241800000000001</v>
      </c>
      <c r="I39" s="49">
        <v>1.0373000000000001</v>
      </c>
      <c r="J39" s="49">
        <v>1.07429</v>
      </c>
      <c r="K39" s="49"/>
      <c r="L39" s="47">
        <v>199999.2827939491</v>
      </c>
      <c r="M39" s="50">
        <v>0</v>
      </c>
      <c r="N39" s="51">
        <v>0</v>
      </c>
      <c r="O39" s="52">
        <v>199999.2827939491</v>
      </c>
      <c r="P39" s="63" t="s">
        <v>2</v>
      </c>
      <c r="Q39" s="53">
        <v>9.3570481653740389E-3</v>
      </c>
    </row>
    <row r="40" spans="1:25" x14ac:dyDescent="0.25">
      <c r="A40" s="44" t="s">
        <v>40</v>
      </c>
      <c r="B40" s="45">
        <v>0</v>
      </c>
      <c r="C40" s="46">
        <v>0</v>
      </c>
      <c r="D40" s="47">
        <v>0</v>
      </c>
      <c r="E40" s="48">
        <v>1</v>
      </c>
      <c r="F40" s="48">
        <v>0</v>
      </c>
      <c r="G40" s="48">
        <v>0</v>
      </c>
      <c r="H40" s="49">
        <v>1.0241800000000001</v>
      </c>
      <c r="I40" s="49">
        <v>1.0373000000000001</v>
      </c>
      <c r="J40" s="49">
        <v>1.07429</v>
      </c>
      <c r="K40" s="49"/>
      <c r="L40" s="47">
        <v>0</v>
      </c>
      <c r="M40" s="50">
        <v>0</v>
      </c>
      <c r="N40" s="51">
        <v>0</v>
      </c>
      <c r="O40" s="52">
        <v>0</v>
      </c>
      <c r="P40" s="64" t="s">
        <v>2</v>
      </c>
      <c r="Q40" s="53">
        <v>0</v>
      </c>
    </row>
    <row r="41" spans="1:25" x14ac:dyDescent="0.25">
      <c r="A41" s="44" t="s">
        <v>41</v>
      </c>
      <c r="B41" s="45">
        <v>0</v>
      </c>
      <c r="C41" s="46">
        <v>0</v>
      </c>
      <c r="D41" s="47">
        <v>0</v>
      </c>
      <c r="E41" s="48">
        <v>1</v>
      </c>
      <c r="F41" s="48">
        <v>0</v>
      </c>
      <c r="G41" s="48">
        <v>0</v>
      </c>
      <c r="H41" s="49">
        <v>1.0241800000000001</v>
      </c>
      <c r="I41" s="49">
        <v>1.0373000000000001</v>
      </c>
      <c r="J41" s="49">
        <v>1.07429</v>
      </c>
      <c r="K41" s="49"/>
      <c r="L41" s="47">
        <v>0</v>
      </c>
      <c r="M41" s="50">
        <v>0</v>
      </c>
      <c r="N41" s="51">
        <v>0</v>
      </c>
      <c r="O41" s="52">
        <v>0</v>
      </c>
      <c r="P41" s="65" t="s">
        <v>2</v>
      </c>
      <c r="Q41" s="53">
        <v>0</v>
      </c>
    </row>
    <row r="43" spans="1:25" ht="15.75" thickBot="1" x14ac:dyDescent="0.3">
      <c r="A43" s="44" t="s">
        <v>42</v>
      </c>
      <c r="B43" s="66">
        <v>1046851.247837943</v>
      </c>
      <c r="C43" s="67">
        <v>0</v>
      </c>
      <c r="D43" s="68">
        <v>1046851.247837943</v>
      </c>
      <c r="E43" s="69" t="s">
        <v>2</v>
      </c>
      <c r="F43" s="69" t="s">
        <v>2</v>
      </c>
      <c r="G43" s="69" t="s">
        <v>2</v>
      </c>
      <c r="H43" s="70" t="s">
        <v>2</v>
      </c>
      <c r="I43" s="70" t="s">
        <v>2</v>
      </c>
      <c r="J43" s="70" t="s">
        <v>2</v>
      </c>
      <c r="K43" s="70"/>
      <c r="L43" s="68">
        <v>1072164.1110106646</v>
      </c>
      <c r="M43" s="71">
        <v>0</v>
      </c>
      <c r="N43" s="72">
        <v>0</v>
      </c>
      <c r="O43" s="73">
        <v>1072164.1110106646</v>
      </c>
      <c r="P43" s="74" t="s">
        <v>2</v>
      </c>
      <c r="Q43" s="75">
        <v>5.0161636020705523E-2</v>
      </c>
    </row>
    <row r="45" spans="1:25" ht="15.75" thickBot="1" x14ac:dyDescent="0.3">
      <c r="A45" s="44" t="s">
        <v>43</v>
      </c>
      <c r="B45" s="76">
        <v>19965485.387013808</v>
      </c>
      <c r="C45" s="77">
        <v>0</v>
      </c>
      <c r="D45" s="78">
        <v>19965485.387013808</v>
      </c>
      <c r="E45" s="79" t="s">
        <v>2</v>
      </c>
      <c r="F45" s="79" t="s">
        <v>2</v>
      </c>
      <c r="G45" s="79" t="s">
        <v>2</v>
      </c>
      <c r="H45" s="80" t="s">
        <v>2</v>
      </c>
      <c r="I45" s="80" t="s">
        <v>2</v>
      </c>
      <c r="J45" s="80" t="s">
        <v>2</v>
      </c>
      <c r="K45" s="80"/>
      <c r="L45" s="78">
        <v>1272388.6668021772</v>
      </c>
      <c r="M45" s="81">
        <v>344413.59758104355</v>
      </c>
      <c r="N45" s="82">
        <v>19757383.190176141</v>
      </c>
      <c r="O45" s="83">
        <v>21374185.454559356</v>
      </c>
      <c r="P45" s="84" t="s">
        <v>2</v>
      </c>
      <c r="Q45" s="85">
        <v>1</v>
      </c>
    </row>
    <row r="48" spans="1:25" ht="15.75" thickBot="1" x14ac:dyDescent="0.3">
      <c r="A48" s="86" t="s">
        <v>44</v>
      </c>
      <c r="B48" s="87" t="s">
        <v>2</v>
      </c>
      <c r="C48" s="88" t="s">
        <v>2</v>
      </c>
      <c r="D48" s="89" t="s">
        <v>2</v>
      </c>
      <c r="E48" s="90" t="s">
        <v>2</v>
      </c>
      <c r="F48" s="90" t="s">
        <v>2</v>
      </c>
      <c r="G48" s="90" t="s">
        <v>2</v>
      </c>
      <c r="H48" s="91" t="s">
        <v>2</v>
      </c>
      <c r="I48" s="91" t="s">
        <v>2</v>
      </c>
      <c r="J48" s="91" t="s">
        <v>2</v>
      </c>
      <c r="K48" s="91"/>
      <c r="L48" s="89" t="s">
        <v>2</v>
      </c>
      <c r="M48" s="92" t="s">
        <v>2</v>
      </c>
      <c r="N48" s="93" t="s">
        <v>2</v>
      </c>
      <c r="O48" s="94">
        <v>0.94983836397929455</v>
      </c>
      <c r="P48" s="95" t="s">
        <v>2</v>
      </c>
      <c r="Q48" s="96" t="s">
        <v>2</v>
      </c>
    </row>
    <row r="50" spans="1:1" x14ac:dyDescent="0.25">
      <c r="A50" s="97" t="s">
        <v>2</v>
      </c>
    </row>
    <row r="51" spans="1:1" x14ac:dyDescent="0.25">
      <c r="A51" s="97" t="s">
        <v>45</v>
      </c>
    </row>
  </sheetData>
  <mergeCells count="7">
    <mergeCell ref="R11:V11"/>
    <mergeCell ref="P11:Q11"/>
    <mergeCell ref="A11:A12"/>
    <mergeCell ref="B11:D11"/>
    <mergeCell ref="E11:G11"/>
    <mergeCell ref="H11:J11"/>
    <mergeCell ref="L11:O11"/>
  </mergeCells>
  <pageMargins left="0.5" right="0.5" top="0.75" bottom="0.5" header="0.75" footer="0.5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zoomScale="75" workbookViewId="0">
      <selection activeCell="A2" sqref="A2"/>
    </sheetView>
  </sheetViews>
  <sheetFormatPr defaultColWidth="9.140625" defaultRowHeight="12.75" x14ac:dyDescent="0.2"/>
  <cols>
    <col min="1" max="1" width="40.7109375" style="267" customWidth="1"/>
    <col min="2" max="2" width="16.7109375" style="289" bestFit="1" customWidth="1"/>
    <col min="3" max="3" width="17.28515625" style="265" bestFit="1" customWidth="1"/>
    <col min="4" max="4" width="14.140625" style="265" customWidth="1"/>
    <col min="5" max="5" width="23.42578125" style="265" customWidth="1"/>
    <col min="6" max="6" width="19.28515625" style="290" customWidth="1"/>
    <col min="7" max="7" width="20.85546875" style="290" customWidth="1"/>
    <col min="8" max="8" width="14" style="289" customWidth="1"/>
    <col min="9" max="16384" width="9.140625" style="267"/>
  </cols>
  <sheetData>
    <row r="1" spans="1:8" ht="15" x14ac:dyDescent="0.25">
      <c r="A1" s="324" t="s">
        <v>208</v>
      </c>
    </row>
    <row r="2" spans="1:8" ht="15" x14ac:dyDescent="0.25">
      <c r="A2" s="324" t="s">
        <v>206</v>
      </c>
    </row>
    <row r="3" spans="1:8" ht="20.25" x14ac:dyDescent="0.3">
      <c r="A3" s="335" t="s">
        <v>179</v>
      </c>
      <c r="B3" s="335"/>
      <c r="C3" s="335"/>
      <c r="D3" s="335"/>
      <c r="E3" s="335"/>
      <c r="F3" s="335"/>
      <c r="G3" s="335"/>
      <c r="H3" s="335"/>
    </row>
    <row r="4" spans="1:8" ht="20.25" x14ac:dyDescent="0.3">
      <c r="A4" s="335" t="str">
        <f>'LF Analysis'!A5</f>
        <v>January 2017 through December 2017</v>
      </c>
      <c r="B4" s="335"/>
      <c r="C4" s="335"/>
      <c r="D4" s="335"/>
      <c r="E4" s="335"/>
      <c r="F4" s="335"/>
      <c r="G4" s="335"/>
      <c r="H4" s="335"/>
    </row>
    <row r="5" spans="1:8" ht="14.25" x14ac:dyDescent="0.2">
      <c r="A5" s="336" t="s">
        <v>134</v>
      </c>
      <c r="B5" s="336"/>
      <c r="C5" s="336"/>
      <c r="D5" s="336"/>
      <c r="E5" s="336"/>
      <c r="F5" s="336"/>
      <c r="G5" s="336"/>
      <c r="H5" s="336"/>
    </row>
    <row r="6" spans="1:8" ht="20.25" x14ac:dyDescent="0.3">
      <c r="A6" s="270"/>
    </row>
    <row r="8" spans="1:8" x14ac:dyDescent="0.2">
      <c r="A8" s="273" t="s">
        <v>180</v>
      </c>
      <c r="B8" s="291" t="s">
        <v>181</v>
      </c>
      <c r="C8" s="272" t="s">
        <v>182</v>
      </c>
      <c r="D8" s="292" t="s">
        <v>181</v>
      </c>
      <c r="E8" s="292"/>
      <c r="F8" s="337" t="s">
        <v>183</v>
      </c>
      <c r="G8" s="337"/>
      <c r="H8" s="337"/>
    </row>
    <row r="9" spans="1:8" s="293" customFormat="1" ht="30" customHeight="1" x14ac:dyDescent="0.2">
      <c r="A9" s="273" t="s">
        <v>184</v>
      </c>
      <c r="B9" s="291" t="s">
        <v>183</v>
      </c>
      <c r="C9" s="272" t="s">
        <v>185</v>
      </c>
      <c r="D9" s="272" t="s">
        <v>186</v>
      </c>
      <c r="E9" s="319" t="s">
        <v>195</v>
      </c>
      <c r="F9" s="272" t="s">
        <v>200</v>
      </c>
      <c r="G9" s="320" t="s">
        <v>201</v>
      </c>
      <c r="H9" s="291" t="s">
        <v>202</v>
      </c>
    </row>
    <row r="10" spans="1:8" s="293" customFormat="1" x14ac:dyDescent="0.2">
      <c r="A10" s="273"/>
      <c r="B10" s="291" t="s">
        <v>187</v>
      </c>
      <c r="C10" s="272" t="s">
        <v>188</v>
      </c>
      <c r="D10" s="294"/>
      <c r="E10" s="319" t="s">
        <v>189</v>
      </c>
      <c r="F10" s="319" t="s">
        <v>189</v>
      </c>
      <c r="G10" s="319" t="s">
        <v>189</v>
      </c>
      <c r="H10" s="291"/>
    </row>
    <row r="11" spans="1:8" s="293" customFormat="1" ht="13.5" thickBot="1" x14ac:dyDescent="0.25">
      <c r="A11" s="295"/>
      <c r="B11" s="296"/>
      <c r="C11" s="297"/>
      <c r="D11" s="298"/>
      <c r="E11" s="298"/>
      <c r="F11" s="298"/>
      <c r="G11" s="298"/>
      <c r="H11" s="296"/>
    </row>
    <row r="13" spans="1:8" ht="14.1" customHeight="1" x14ac:dyDescent="0.2">
      <c r="A13" s="293" t="s">
        <v>28</v>
      </c>
      <c r="B13" s="299">
        <f>+C13/8760/D13</f>
        <v>0.62452247066734179</v>
      </c>
      <c r="C13" s="300">
        <f>+VLOOKUP($A13,'LF Analysis'!$A$14:$O$27,3,FALSE)</f>
        <v>57133325763</v>
      </c>
      <c r="D13" s="300">
        <f>+VLOOKUP($A13,'LF Analysis'!$A$14:$O$27,5,FALSE)</f>
        <v>10443289.805182116</v>
      </c>
      <c r="E13" s="300"/>
      <c r="F13" s="300">
        <f>+VLOOKUP($A13,'LF Analysis'!$A$14:$O$27,11,FALSE)</f>
        <v>27505799.319059569</v>
      </c>
      <c r="G13" s="300"/>
      <c r="H13" s="301">
        <f>+C13/8760/F13</f>
        <v>0.23711614686681967</v>
      </c>
    </row>
    <row r="14" spans="1:8" ht="14.1" customHeight="1" x14ac:dyDescent="0.2">
      <c r="A14" s="293" t="s">
        <v>24</v>
      </c>
      <c r="B14" s="299">
        <f t="shared" ref="B14:B26" si="0">+C14/8760/D14</f>
        <v>0.69064836922557582</v>
      </c>
      <c r="C14" s="300">
        <f>+VLOOKUP($A14,'LF Analysis'!$A$14:$O$27,3,FALSE)</f>
        <v>5981722510</v>
      </c>
      <c r="D14" s="300">
        <f>+VLOOKUP($A14,'LF Analysis'!$A$14:$O$27,5,FALSE)</f>
        <v>988701.4373954176</v>
      </c>
      <c r="E14" s="300"/>
      <c r="F14" s="300">
        <f>+VLOOKUP($A14,'LF Analysis'!$A$14:$O$27,11,FALSE)</f>
        <v>2013398.9279461752</v>
      </c>
      <c r="G14" s="300"/>
      <c r="H14" s="301">
        <f>+C14/8760/F14</f>
        <v>0.33915039186232376</v>
      </c>
    </row>
    <row r="15" spans="1:8" ht="14.1" customHeight="1" x14ac:dyDescent="0.2">
      <c r="A15" s="288" t="s">
        <v>151</v>
      </c>
      <c r="B15" s="299">
        <f t="shared" si="0"/>
        <v>0.76659623540275634</v>
      </c>
      <c r="C15" s="300">
        <f>+VLOOKUP($A15,'LF Analysis'!$A$14:$O$27,3,FALSE)</f>
        <v>25881286249</v>
      </c>
      <c r="D15" s="300">
        <f>+VLOOKUP($A15,'LF Analysis'!$A$14:$O$27,5,FALSE)</f>
        <v>3854029.7945355414</v>
      </c>
      <c r="E15" s="300"/>
      <c r="F15" s="300">
        <f>+VLOOKUP($A15,'LF Analysis'!$A$14:$O$27,11,FALSE)</f>
        <v>5881181.6062718211</v>
      </c>
      <c r="G15" s="300"/>
      <c r="H15" s="301">
        <f>+C15/8760/F15</f>
        <v>0.50236243826755445</v>
      </c>
    </row>
    <row r="16" spans="1:8" ht="14.1" customHeight="1" x14ac:dyDescent="0.2">
      <c r="A16" s="293" t="s">
        <v>27</v>
      </c>
      <c r="B16" s="299">
        <f t="shared" si="0"/>
        <v>1.5101013416409526</v>
      </c>
      <c r="C16" s="300">
        <f>+VLOOKUP($A16,'LF Analysis'!$A$14:$O$27,3,FALSE)</f>
        <v>10793313</v>
      </c>
      <c r="D16" s="300">
        <f>+VLOOKUP($A16,'LF Analysis'!$A$14:$O$27,5,FALSE)</f>
        <v>815.91435103653828</v>
      </c>
      <c r="E16" s="300"/>
      <c r="F16" s="300">
        <f>+VLOOKUP($A16,'LF Analysis'!$A$14:$O$27,11,FALSE)</f>
        <v>12933.1126208973</v>
      </c>
      <c r="G16" s="300"/>
      <c r="H16" s="301">
        <f>+C16/8760/F16</f>
        <v>9.5268122398743896E-2</v>
      </c>
    </row>
    <row r="17" spans="1:8" ht="14.1" customHeight="1" x14ac:dyDescent="0.2">
      <c r="A17" s="288" t="s">
        <v>153</v>
      </c>
      <c r="B17" s="299">
        <f t="shared" si="0"/>
        <v>0.77203718625199858</v>
      </c>
      <c r="C17" s="300">
        <f>+VLOOKUP($A17,'LF Analysis'!$A$14:$O$27,3,FALSE)</f>
        <v>10529674162</v>
      </c>
      <c r="D17" s="300">
        <f>+VLOOKUP($A17,'LF Analysis'!$A$14:$O$27,5,FALSE)</f>
        <v>1556942.6185767679</v>
      </c>
      <c r="E17" s="300"/>
      <c r="F17" s="300">
        <f>+VLOOKUP($A17,'LF Analysis'!$A$14:$O$27,11,FALSE)</f>
        <v>2114794.4008058771</v>
      </c>
      <c r="G17" s="300"/>
      <c r="H17" s="301">
        <f>+C17/8760/F17</f>
        <v>0.56838508648584374</v>
      </c>
    </row>
    <row r="18" spans="1:8" ht="14.1" customHeight="1" x14ac:dyDescent="0.2">
      <c r="A18" s="288" t="s">
        <v>155</v>
      </c>
      <c r="B18" s="299">
        <f t="shared" si="0"/>
        <v>0.92104224184883499</v>
      </c>
      <c r="C18" s="300">
        <f>+VLOOKUP($A18,'LF Analysis'!$A$14:$O$27,3,FALSE)</f>
        <v>2520476755</v>
      </c>
      <c r="D18" s="300">
        <f>+VLOOKUP($A18,'LF Analysis'!$A$14:$O$27,5,FALSE)</f>
        <v>312391.3799935063</v>
      </c>
      <c r="E18" s="300"/>
      <c r="F18" s="300">
        <f>+VLOOKUP($A18,'LF Analysis'!$A$14:$O$27,11,FALSE)</f>
        <v>437167.85136880982</v>
      </c>
      <c r="G18" s="300"/>
      <c r="H18" s="301">
        <f t="shared" ref="H18:H21" si="1">+C18/8760/F18</f>
        <v>0.65815831622242293</v>
      </c>
    </row>
    <row r="19" spans="1:8" ht="14.1" customHeight="1" x14ac:dyDescent="0.2">
      <c r="A19" s="293" t="s">
        <v>157</v>
      </c>
      <c r="B19" s="299">
        <f t="shared" si="0"/>
        <v>0.91570373291755391</v>
      </c>
      <c r="C19" s="300">
        <f>+VLOOKUP($A19,'LF Analysis'!$A$14:$O$27,3,FALSE)</f>
        <v>173015536</v>
      </c>
      <c r="D19" s="300">
        <f>+VLOOKUP($A19,'LF Analysis'!$A$14:$O$27,5,FALSE)</f>
        <v>21568.80140757118</v>
      </c>
      <c r="E19" s="300"/>
      <c r="F19" s="300"/>
      <c r="G19" s="300">
        <f>+VLOOKUP($A19,'LF Analysis'!$A$14:$O$27,14,FALSE)</f>
        <v>33960</v>
      </c>
      <c r="H19" s="301">
        <f>+C19/8760/G19</f>
        <v>0.58158515793493293</v>
      </c>
    </row>
    <row r="20" spans="1:8" ht="14.1" customHeight="1" x14ac:dyDescent="0.2">
      <c r="A20" s="293" t="s">
        <v>166</v>
      </c>
      <c r="B20" s="299">
        <f t="shared" si="0"/>
        <v>1.6973779931299779</v>
      </c>
      <c r="C20" s="300">
        <f>+VLOOKUP($A20,'LF Analysis'!$A$14:$O$27,3,FALSE)</f>
        <v>89667754</v>
      </c>
      <c r="D20" s="300">
        <f>+VLOOKUP($A20,'LF Analysis'!$A$14:$O$27,5,FALSE)</f>
        <v>6030.5041178798392</v>
      </c>
      <c r="E20" s="300"/>
      <c r="F20" s="300">
        <f>+VLOOKUP($A20,'LF Analysis'!$A$14:$O$27,11,FALSE)</f>
        <v>90102.460205345778</v>
      </c>
      <c r="G20" s="300"/>
      <c r="H20" s="301">
        <f t="shared" si="1"/>
        <v>0.11360450040809923</v>
      </c>
    </row>
    <row r="21" spans="1:8" ht="14.1" customHeight="1" x14ac:dyDescent="0.2">
      <c r="A21" s="293" t="s">
        <v>164</v>
      </c>
      <c r="B21" s="299">
        <f t="shared" si="0"/>
        <v>0.81305192392116021</v>
      </c>
      <c r="C21" s="300">
        <f>+VLOOKUP($A21,'LF Analysis'!$A$14:$O$27,3,FALSE)</f>
        <v>11856926</v>
      </c>
      <c r="D21" s="300">
        <f>+VLOOKUP($A21,'LF Analysis'!$A$14:$O$27,5,FALSE)</f>
        <v>1664.7526750432392</v>
      </c>
      <c r="E21" s="300"/>
      <c r="F21" s="300">
        <f>+VLOOKUP($A21,'LF Analysis'!$A$14:$O$27,11,FALSE)</f>
        <v>4550.257545735104</v>
      </c>
      <c r="G21" s="300"/>
      <c r="H21" s="301">
        <f t="shared" si="1"/>
        <v>0.29746236376563995</v>
      </c>
    </row>
    <row r="22" spans="1:8" ht="14.1" customHeight="1" x14ac:dyDescent="0.2">
      <c r="A22" s="293" t="s">
        <v>193</v>
      </c>
      <c r="B22" s="299">
        <f t="shared" si="0"/>
        <v>0.9164622446401508</v>
      </c>
      <c r="C22" s="300">
        <f>+VLOOKUP($A22,'LF Analysis'!$A$14:$O$27,3,FALSE)</f>
        <v>2793382848</v>
      </c>
      <c r="D22" s="300">
        <f>+VLOOKUP($A22,'LF Analysis'!$A$14:$O$27,5,FALSE)</f>
        <v>347945.94366858318</v>
      </c>
      <c r="E22" s="300"/>
      <c r="F22" s="300"/>
      <c r="G22" s="300">
        <f>+VLOOKUP($A22,'LF Analysis'!$A$14:$O$27,14,FALSE)</f>
        <v>492879.66666666669</v>
      </c>
      <c r="H22" s="301">
        <f>+C22/8760/G22</f>
        <v>0.64697195302155264</v>
      </c>
    </row>
    <row r="23" spans="1:8" ht="14.1" customHeight="1" x14ac:dyDescent="0.2">
      <c r="A23" s="293" t="s">
        <v>19</v>
      </c>
      <c r="B23" s="299">
        <f t="shared" si="0"/>
        <v>0.9610391575037337</v>
      </c>
      <c r="C23" s="300">
        <f>+VLOOKUP($A23,'LF Analysis'!$A$14:$O$27,3,FALSE)</f>
        <v>1508609875</v>
      </c>
      <c r="D23" s="300">
        <f>+VLOOKUP($A23,'LF Analysis'!$A$14:$O$27,5,FALSE)</f>
        <v>179197.42167694357</v>
      </c>
      <c r="E23" s="300"/>
      <c r="F23" s="300"/>
      <c r="G23" s="300">
        <f>+VLOOKUP($A23,'LF Analysis'!$A$14:$O$27,14,FALSE)</f>
        <v>210531.33333333334</v>
      </c>
      <c r="H23" s="301">
        <f>+C23/8760/G23</f>
        <v>0.81800526519528916</v>
      </c>
    </row>
    <row r="24" spans="1:8" ht="14.1" customHeight="1" x14ac:dyDescent="0.2">
      <c r="A24" s="293" t="s">
        <v>25</v>
      </c>
      <c r="B24" s="299">
        <f t="shared" si="0"/>
        <v>0.49830815931848782</v>
      </c>
      <c r="C24" s="300">
        <f>+VLOOKUP($A24,'LF Analysis'!$A$14:$O$27,3,FALSE)</f>
        <v>91208296</v>
      </c>
      <c r="D24" s="300">
        <f>+VLOOKUP($A24,'LF Analysis'!$A$14:$O$27,5,FALSE)</f>
        <v>20894.512243814999</v>
      </c>
      <c r="E24" s="300">
        <f>+VLOOKUP($A24,'LF Analysis'!$A$14:$O$27,8,FALSE)</f>
        <v>23985.648697802604</v>
      </c>
      <c r="F24" s="300"/>
      <c r="G24" s="300"/>
      <c r="H24" s="301">
        <f>+$C24/8760/E24</f>
        <v>0.43408898659584405</v>
      </c>
    </row>
    <row r="25" spans="1:8" ht="14.1" customHeight="1" x14ac:dyDescent="0.2">
      <c r="A25" s="293" t="s">
        <v>159</v>
      </c>
      <c r="B25" s="299">
        <f t="shared" si="0"/>
        <v>3.0713995467544617</v>
      </c>
      <c r="C25" s="300">
        <f>+VLOOKUP($A25,'LF Analysis'!$A$14:$O$27,3,FALSE)</f>
        <v>658930685</v>
      </c>
      <c r="D25" s="300">
        <f>+VLOOKUP($A25,'LF Analysis'!$A$14:$O$27,5,FALSE)</f>
        <v>24490.593518038182</v>
      </c>
      <c r="E25" s="300"/>
      <c r="F25" s="300">
        <f>+VLOOKUP($A25,'LF Analysis'!$A$14:$O$27,11,FALSE)</f>
        <v>153682.37976917459</v>
      </c>
      <c r="G25" s="300"/>
      <c r="H25" s="301">
        <f>+C25/8760/F25</f>
        <v>0.48945362470329107</v>
      </c>
    </row>
    <row r="26" spans="1:8" ht="14.1" customHeight="1" x14ac:dyDescent="0.2">
      <c r="A26" s="293" t="s">
        <v>162</v>
      </c>
      <c r="B26" s="299">
        <f t="shared" si="0"/>
        <v>0.9980639638443044</v>
      </c>
      <c r="C26" s="300">
        <f>+VLOOKUP($A26,'LF Analysis'!$A$14:$O$27,3,FALSE)</f>
        <v>103004444</v>
      </c>
      <c r="D26" s="300">
        <f>+VLOOKUP($A26,'LF Analysis'!$A$14:$O$27,5,FALSE)</f>
        <v>11781.307210236357</v>
      </c>
      <c r="E26" s="300"/>
      <c r="F26" s="300">
        <f>+VLOOKUP($A26,'LF Analysis'!$A$14:$O$27,11,FALSE)</f>
        <v>12363.282645920508</v>
      </c>
      <c r="G26" s="300"/>
      <c r="H26" s="301">
        <f>+C26/8760/F26</f>
        <v>0.95108220933506793</v>
      </c>
    </row>
    <row r="28" spans="1:8" ht="13.5" thickBot="1" x14ac:dyDescent="0.25">
      <c r="A28" s="267" t="s">
        <v>120</v>
      </c>
      <c r="C28" s="285">
        <f>SUM(C13:C27)</f>
        <v>107486955116</v>
      </c>
      <c r="D28" s="285">
        <f t="shared" ref="D28:G28" si="2">SUM(D13:D27)</f>
        <v>17769744.786552496</v>
      </c>
      <c r="E28" s="285">
        <f t="shared" si="2"/>
        <v>23985.648697802604</v>
      </c>
      <c r="F28" s="285">
        <f t="shared" si="2"/>
        <v>38225973.598239318</v>
      </c>
      <c r="G28" s="285">
        <f t="shared" si="2"/>
        <v>737371.00000000012</v>
      </c>
    </row>
    <row r="29" spans="1:8" ht="13.5" thickTop="1" x14ac:dyDescent="0.2"/>
    <row r="31" spans="1:8" x14ac:dyDescent="0.2">
      <c r="A31" s="267" t="s">
        <v>190</v>
      </c>
    </row>
    <row r="32" spans="1:8" x14ac:dyDescent="0.2">
      <c r="A32" s="267" t="s">
        <v>191</v>
      </c>
    </row>
    <row r="33" spans="1:7" x14ac:dyDescent="0.2">
      <c r="A33" s="288" t="s">
        <v>169</v>
      </c>
    </row>
    <row r="34" spans="1:7" x14ac:dyDescent="0.2">
      <c r="A34" s="288" t="s">
        <v>192</v>
      </c>
    </row>
    <row r="35" spans="1:7" x14ac:dyDescent="0.2">
      <c r="A35" s="293" t="s">
        <v>194</v>
      </c>
    </row>
    <row r="36" spans="1:7" s="289" customFormat="1" x14ac:dyDescent="0.2">
      <c r="A36" s="293" t="s">
        <v>196</v>
      </c>
      <c r="C36" s="265"/>
      <c r="D36" s="265"/>
      <c r="E36" s="265"/>
      <c r="F36" s="290"/>
      <c r="G36" s="290"/>
    </row>
    <row r="37" spans="1:7" s="289" customFormat="1" x14ac:dyDescent="0.2">
      <c r="A37" s="293" t="s">
        <v>197</v>
      </c>
      <c r="C37" s="265"/>
      <c r="D37" s="265"/>
      <c r="E37" s="265"/>
      <c r="F37" s="290"/>
      <c r="G37" s="290"/>
    </row>
    <row r="38" spans="1:7" s="289" customFormat="1" x14ac:dyDescent="0.2">
      <c r="A38" s="293" t="s">
        <v>198</v>
      </c>
      <c r="C38" s="265"/>
      <c r="D38" s="265"/>
      <c r="E38" s="265"/>
      <c r="F38" s="290"/>
      <c r="G38" s="290"/>
    </row>
    <row r="39" spans="1:7" s="289" customFormat="1" x14ac:dyDescent="0.2">
      <c r="A39" s="293" t="s">
        <v>199</v>
      </c>
      <c r="C39" s="265"/>
      <c r="D39" s="265"/>
      <c r="E39" s="265"/>
      <c r="F39" s="290"/>
      <c r="G39" s="290"/>
    </row>
  </sheetData>
  <mergeCells count="4">
    <mergeCell ref="A3:H3"/>
    <mergeCell ref="A4:H4"/>
    <mergeCell ref="A5:H5"/>
    <mergeCell ref="F8:H8"/>
  </mergeCells>
  <printOptions horizontalCentered="1"/>
  <pageMargins left="0" right="0" top="0.75" bottom="0.5" header="0.5" footer="0.5"/>
  <pageSetup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zoomScale="75" zoomScaleNormal="75" zoomScaleSheetLayoutView="75" workbookViewId="0">
      <selection activeCell="A2" sqref="A2"/>
    </sheetView>
  </sheetViews>
  <sheetFormatPr defaultColWidth="9.140625" defaultRowHeight="12.75" x14ac:dyDescent="0.2"/>
  <cols>
    <col min="1" max="1" width="46" style="267" customWidth="1"/>
    <col min="2" max="2" width="23.7109375" style="264" customWidth="1"/>
    <col min="3" max="3" width="17.28515625" style="265" bestFit="1" customWidth="1"/>
    <col min="4" max="4" width="1.7109375" style="265" customWidth="1"/>
    <col min="5" max="5" width="12.7109375" style="265" customWidth="1"/>
    <col min="6" max="6" width="11.7109375" style="266" customWidth="1"/>
    <col min="7" max="7" width="1.7109375" style="267" customWidth="1"/>
    <col min="8" max="8" width="12.5703125" style="265" bestFit="1" customWidth="1"/>
    <col min="9" max="9" width="11.7109375" style="266" customWidth="1"/>
    <col min="10" max="10" width="1.7109375" style="267" customWidth="1"/>
    <col min="11" max="11" width="12.7109375" style="265" customWidth="1"/>
    <col min="12" max="12" width="11.7109375" style="266" customWidth="1"/>
    <col min="13" max="13" width="1.7109375" style="267" customWidth="1"/>
    <col min="14" max="14" width="12.7109375" style="265" customWidth="1"/>
    <col min="15" max="15" width="11.7109375" style="266" customWidth="1"/>
    <col min="16" max="16384" width="9.140625" style="267"/>
  </cols>
  <sheetData>
    <row r="1" spans="1:15" ht="15" x14ac:dyDescent="0.25">
      <c r="A1" s="324" t="s">
        <v>209</v>
      </c>
    </row>
    <row r="2" spans="1:15" ht="15" x14ac:dyDescent="0.25">
      <c r="A2" s="324" t="s">
        <v>206</v>
      </c>
    </row>
    <row r="4" spans="1:15" ht="20.25" x14ac:dyDescent="0.3">
      <c r="A4" s="263" t="s">
        <v>175</v>
      </c>
    </row>
    <row r="5" spans="1:15" ht="20.25" x14ac:dyDescent="0.3">
      <c r="A5" s="263" t="s">
        <v>176</v>
      </c>
    </row>
    <row r="6" spans="1:15" s="269" customFormat="1" ht="14.25" x14ac:dyDescent="0.2">
      <c r="A6" s="268" t="s">
        <v>134</v>
      </c>
      <c r="B6" s="268"/>
      <c r="C6" s="268"/>
      <c r="D6" s="268"/>
      <c r="E6" s="268"/>
      <c r="F6" s="268"/>
    </row>
    <row r="7" spans="1:15" ht="20.25" x14ac:dyDescent="0.3">
      <c r="A7" s="270"/>
    </row>
    <row r="8" spans="1:15" ht="12.75" customHeight="1" x14ac:dyDescent="0.2">
      <c r="C8" s="267"/>
      <c r="D8" s="267"/>
      <c r="E8" s="267"/>
      <c r="F8" s="267"/>
      <c r="H8" s="267"/>
      <c r="O8" s="271" t="s">
        <v>135</v>
      </c>
    </row>
    <row r="9" spans="1:15" x14ac:dyDescent="0.2">
      <c r="F9" s="271" t="s">
        <v>135</v>
      </c>
      <c r="I9" s="271" t="s">
        <v>135</v>
      </c>
      <c r="L9" s="271" t="s">
        <v>135</v>
      </c>
      <c r="N9" s="272" t="s">
        <v>135</v>
      </c>
      <c r="O9" s="271" t="s">
        <v>60</v>
      </c>
    </row>
    <row r="10" spans="1:15" x14ac:dyDescent="0.2">
      <c r="C10" s="272" t="s">
        <v>136</v>
      </c>
      <c r="D10" s="272"/>
      <c r="E10" s="272" t="s">
        <v>135</v>
      </c>
      <c r="F10" s="271" t="s">
        <v>66</v>
      </c>
      <c r="H10" s="272" t="s">
        <v>135</v>
      </c>
      <c r="I10" s="271" t="s">
        <v>116</v>
      </c>
      <c r="K10" s="272" t="s">
        <v>135</v>
      </c>
      <c r="L10" s="271" t="s">
        <v>60</v>
      </c>
      <c r="N10" s="272" t="s">
        <v>60</v>
      </c>
      <c r="O10" s="271" t="s">
        <v>137</v>
      </c>
    </row>
    <row r="11" spans="1:15" x14ac:dyDescent="0.2">
      <c r="A11" s="273" t="s">
        <v>138</v>
      </c>
      <c r="B11" s="273" t="s">
        <v>138</v>
      </c>
      <c r="C11" s="272" t="s">
        <v>139</v>
      </c>
      <c r="D11" s="272"/>
      <c r="E11" s="272" t="s">
        <v>66</v>
      </c>
      <c r="F11" s="271" t="s">
        <v>140</v>
      </c>
      <c r="H11" s="272" t="s">
        <v>116</v>
      </c>
      <c r="I11" s="271" t="s">
        <v>140</v>
      </c>
      <c r="K11" s="272" t="s">
        <v>60</v>
      </c>
      <c r="L11" s="271" t="s">
        <v>140</v>
      </c>
      <c r="N11" s="272" t="s">
        <v>137</v>
      </c>
      <c r="O11" s="271" t="s">
        <v>140</v>
      </c>
    </row>
    <row r="12" spans="1:15" x14ac:dyDescent="0.2">
      <c r="A12" s="274" t="s">
        <v>141</v>
      </c>
      <c r="B12" s="274" t="s">
        <v>142</v>
      </c>
      <c r="C12" s="275" t="s">
        <v>143</v>
      </c>
      <c r="D12" s="275"/>
      <c r="E12" s="275" t="s">
        <v>144</v>
      </c>
      <c r="F12" s="276" t="s">
        <v>145</v>
      </c>
      <c r="H12" s="275" t="s">
        <v>144</v>
      </c>
      <c r="I12" s="276" t="s">
        <v>146</v>
      </c>
      <c r="K12" s="275" t="s">
        <v>144</v>
      </c>
      <c r="L12" s="276" t="s">
        <v>147</v>
      </c>
      <c r="N12" s="275" t="s">
        <v>144</v>
      </c>
      <c r="O12" s="276" t="s">
        <v>148</v>
      </c>
    </row>
    <row r="14" spans="1:15" ht="14.1" customHeight="1" x14ac:dyDescent="0.2">
      <c r="A14" s="277" t="s">
        <v>193</v>
      </c>
      <c r="B14" s="278" t="s">
        <v>149</v>
      </c>
      <c r="C14" s="265">
        <f>(MFR_E_10_Attachment_2__FPL201!B14+MFR_E_10_Attachment_2__FPL201!B15)*1000</f>
        <v>2793382848</v>
      </c>
      <c r="E14" s="279">
        <f>'CP Analysis - From Load Researc'!B5</f>
        <v>347945.94366858318</v>
      </c>
      <c r="F14" s="280">
        <f>+C14/8760/E14</f>
        <v>0.9164622446401508</v>
      </c>
      <c r="H14" s="279">
        <f>'CP Analysis - From Load Researc'!C5</f>
        <v>373208.36623581196</v>
      </c>
      <c r="I14" s="280">
        <f>+$C14/8760/H14</f>
        <v>0.85442704236287426</v>
      </c>
      <c r="J14" s="281"/>
      <c r="K14" s="279">
        <f>'CP Analysis - From Load Researc'!D5</f>
        <v>449258.08948981512</v>
      </c>
      <c r="L14" s="280">
        <f>+$C14/8760/K14</f>
        <v>0.70979093756568712</v>
      </c>
      <c r="M14" s="281"/>
      <c r="N14" s="279">
        <f>'CP Analysis - From Load Researc'!E5</f>
        <v>492879.66666666669</v>
      </c>
      <c r="O14" s="280">
        <f t="shared" ref="O14:O27" si="0">+C14/8760/N14</f>
        <v>0.64697195302155264</v>
      </c>
    </row>
    <row r="15" spans="1:15" ht="14.1" customHeight="1" x14ac:dyDescent="0.2">
      <c r="A15" s="277" t="s">
        <v>19</v>
      </c>
      <c r="B15" s="278">
        <v>55</v>
      </c>
      <c r="C15" s="265">
        <f>(MFR_E_10_Attachment_2__FPL201!B16)*1000</f>
        <v>1508609875</v>
      </c>
      <c r="E15" s="279">
        <f>'CP Analysis - From Load Researc'!B6</f>
        <v>179197.42167694357</v>
      </c>
      <c r="F15" s="280">
        <f t="shared" ref="F15:F27" si="1">+C15/8760/E15</f>
        <v>0.9610391575037337</v>
      </c>
      <c r="H15" s="279">
        <f>'CP Analysis - From Load Researc'!C6</f>
        <v>202081.46223975054</v>
      </c>
      <c r="I15" s="280">
        <f t="shared" ref="I15:I27" si="2">+$C15/8760/H15</f>
        <v>0.85220948644430072</v>
      </c>
      <c r="J15" s="281"/>
      <c r="K15" s="279">
        <f>'CP Analysis - From Load Researc'!D6</f>
        <v>233674.6335320143</v>
      </c>
      <c r="L15" s="280">
        <f t="shared" ref="L15:L27" si="3">+C15/8760/K15</f>
        <v>0.73698944790110033</v>
      </c>
      <c r="M15" s="281"/>
      <c r="N15" s="279">
        <f>'CP Analysis - From Load Researc'!E6</f>
        <v>210531.33333333334</v>
      </c>
      <c r="O15" s="280">
        <f t="shared" si="0"/>
        <v>0.81800526519528916</v>
      </c>
    </row>
    <row r="16" spans="1:15" ht="14.1" customHeight="1" x14ac:dyDescent="0.2">
      <c r="A16" s="277" t="s">
        <v>24</v>
      </c>
      <c r="B16" s="278" t="s">
        <v>150</v>
      </c>
      <c r="C16" s="265">
        <f>(MFR_E_10_Attachment_2__FPL201!B22)*1000</f>
        <v>5981722510</v>
      </c>
      <c r="E16" s="279">
        <f>'CP Analysis - From Load Researc'!B12</f>
        <v>988701.4373954176</v>
      </c>
      <c r="F16" s="280">
        <f t="shared" si="1"/>
        <v>0.69064836922557582</v>
      </c>
      <c r="H16" s="279">
        <f>'CP Analysis - From Load Researc'!C12</f>
        <v>1138959.7691828783</v>
      </c>
      <c r="I16" s="280">
        <f t="shared" si="2"/>
        <v>0.59953393777729314</v>
      </c>
      <c r="J16" s="281"/>
      <c r="K16" s="279">
        <f>'CP Analysis - From Load Researc'!D12</f>
        <v>2013398.9279461752</v>
      </c>
      <c r="L16" s="280">
        <f t="shared" si="3"/>
        <v>0.33915039186232376</v>
      </c>
      <c r="M16" s="281"/>
      <c r="N16" s="279">
        <f>'CP Analysis - From Load Researc'!E12</f>
        <v>2068944.6666666667</v>
      </c>
      <c r="O16" s="280">
        <f t="shared" si="0"/>
        <v>0.33004509322536796</v>
      </c>
    </row>
    <row r="17" spans="1:15" ht="14.1" customHeight="1" x14ac:dyDescent="0.2">
      <c r="A17" s="282" t="s">
        <v>151</v>
      </c>
      <c r="B17" s="283" t="s">
        <v>152</v>
      </c>
      <c r="C17" s="265">
        <f>(MFR_E_10_Attachment_2__FPL201!B18)*1000</f>
        <v>25881286249</v>
      </c>
      <c r="E17" s="279">
        <f>'CP Analysis - From Load Researc'!B8</f>
        <v>3854029.7945355414</v>
      </c>
      <c r="F17" s="280">
        <f t="shared" si="1"/>
        <v>0.76659623540275634</v>
      </c>
      <c r="H17" s="279">
        <f>'CP Analysis - From Load Researc'!C8</f>
        <v>4275142.505962925</v>
      </c>
      <c r="I17" s="280">
        <f t="shared" si="2"/>
        <v>0.6910845024464376</v>
      </c>
      <c r="J17" s="281"/>
      <c r="K17" s="279">
        <f>'CP Analysis - From Load Researc'!D8</f>
        <v>5881181.6062718211</v>
      </c>
      <c r="L17" s="280">
        <f t="shared" si="3"/>
        <v>0.50236243826755445</v>
      </c>
      <c r="M17" s="281"/>
      <c r="N17" s="279">
        <f>'CP Analysis - From Load Researc'!E8</f>
        <v>5928182.333333333</v>
      </c>
      <c r="O17" s="280">
        <f t="shared" si="0"/>
        <v>0.49837953110995825</v>
      </c>
    </row>
    <row r="18" spans="1:15" ht="14.1" customHeight="1" x14ac:dyDescent="0.2">
      <c r="A18" s="282" t="s">
        <v>153</v>
      </c>
      <c r="B18" s="283" t="s">
        <v>154</v>
      </c>
      <c r="C18" s="265">
        <f>(MFR_E_10_Attachment_2__FPL201!B19)*1000</f>
        <v>10529674162</v>
      </c>
      <c r="E18" s="279">
        <f>'CP Analysis - From Load Researc'!B9</f>
        <v>1556942.6185767679</v>
      </c>
      <c r="F18" s="280">
        <f>+C18/8760/E18</f>
        <v>0.77203718625199858</v>
      </c>
      <c r="H18" s="279">
        <f>'CP Analysis - From Load Researc'!C9</f>
        <v>1786777.6768445729</v>
      </c>
      <c r="I18" s="280">
        <f t="shared" si="2"/>
        <v>0.67272924548988922</v>
      </c>
      <c r="J18" s="281"/>
      <c r="K18" s="279">
        <f>'CP Analysis - From Load Researc'!D9</f>
        <v>2114794.4008058771</v>
      </c>
      <c r="L18" s="280">
        <f t="shared" si="3"/>
        <v>0.56838508648584374</v>
      </c>
      <c r="M18" s="281"/>
      <c r="N18" s="279">
        <f>'CP Analysis - From Load Researc'!E9</f>
        <v>2217209.6666666665</v>
      </c>
      <c r="O18" s="280">
        <f t="shared" si="0"/>
        <v>0.54213077656698527</v>
      </c>
    </row>
    <row r="19" spans="1:15" ht="14.1" customHeight="1" x14ac:dyDescent="0.2">
      <c r="A19" s="282" t="s">
        <v>155</v>
      </c>
      <c r="B19" s="283" t="s">
        <v>156</v>
      </c>
      <c r="C19" s="265">
        <f>(MFR_E_10_Attachment_2__FPL201!B20)*1000</f>
        <v>2520476755</v>
      </c>
      <c r="E19" s="279">
        <f>'CP Analysis - From Load Researc'!B10</f>
        <v>312391.3799935063</v>
      </c>
      <c r="F19" s="280">
        <f t="shared" si="1"/>
        <v>0.92104224184883499</v>
      </c>
      <c r="H19" s="279">
        <f>'CP Analysis - From Load Researc'!C10</f>
        <v>351855.15189245</v>
      </c>
      <c r="I19" s="280">
        <f t="shared" si="2"/>
        <v>0.81773893437666123</v>
      </c>
      <c r="J19" s="281"/>
      <c r="K19" s="279">
        <f>'CP Analysis - From Load Researc'!D10</f>
        <v>437167.85136880982</v>
      </c>
      <c r="L19" s="280">
        <f t="shared" si="3"/>
        <v>0.65815831622242293</v>
      </c>
      <c r="M19" s="281"/>
      <c r="N19" s="279">
        <f>'CP Analysis - From Load Researc'!E10</f>
        <v>405971</v>
      </c>
      <c r="O19" s="280">
        <f t="shared" si="0"/>
        <v>0.70873450803991012</v>
      </c>
    </row>
    <row r="20" spans="1:15" ht="14.1" customHeight="1" x14ac:dyDescent="0.2">
      <c r="A20" s="277" t="s">
        <v>157</v>
      </c>
      <c r="B20" s="278" t="s">
        <v>158</v>
      </c>
      <c r="C20" s="265">
        <f>(MFR_E_10_Attachment_2__FPL201!B21)*1000</f>
        <v>173015536</v>
      </c>
      <c r="E20" s="279">
        <f>'CP Analysis - From Load Researc'!B11</f>
        <v>21568.80140757118</v>
      </c>
      <c r="F20" s="280">
        <f t="shared" si="1"/>
        <v>0.91570373291755391</v>
      </c>
      <c r="H20" s="279">
        <f>'CP Analysis - From Load Researc'!C11</f>
        <v>29049.576850102079</v>
      </c>
      <c r="I20" s="280">
        <f t="shared" si="2"/>
        <v>0.67989396421796477</v>
      </c>
      <c r="J20" s="281"/>
      <c r="K20" s="279">
        <f>'CP Analysis - From Load Researc'!D11</f>
        <v>35746.34248005828</v>
      </c>
      <c r="L20" s="280">
        <f t="shared" si="3"/>
        <v>0.55252175728156117</v>
      </c>
      <c r="M20" s="281"/>
      <c r="N20" s="279">
        <f>'CP Analysis - From Load Researc'!E11</f>
        <v>33960</v>
      </c>
      <c r="O20" s="280">
        <f t="shared" si="0"/>
        <v>0.58158515793493293</v>
      </c>
    </row>
    <row r="21" spans="1:15" ht="14.1" customHeight="1" x14ac:dyDescent="0.2">
      <c r="A21" s="277" t="s">
        <v>25</v>
      </c>
      <c r="B21" s="278">
        <v>80</v>
      </c>
      <c r="C21" s="265">
        <f>(MFR_E_10_Attachment_2__FPL201!B23)*1000</f>
        <v>91208296</v>
      </c>
      <c r="E21" s="279">
        <f>'CP Analysis - From Load Researc'!B13</f>
        <v>20894.512243814999</v>
      </c>
      <c r="F21" s="280">
        <f t="shared" si="1"/>
        <v>0.49830815931848782</v>
      </c>
      <c r="H21" s="279">
        <f>'CP Analysis - From Load Researc'!C13</f>
        <v>23985.648697802604</v>
      </c>
      <c r="I21" s="280">
        <f t="shared" si="2"/>
        <v>0.43408898659584405</v>
      </c>
      <c r="J21" s="281"/>
      <c r="K21" s="279">
        <f>'CP Analysis - From Load Researc'!D13</f>
        <v>28570.30309049234</v>
      </c>
      <c r="L21" s="280">
        <f t="shared" si="3"/>
        <v>0.36443106337006081</v>
      </c>
      <c r="M21" s="281"/>
      <c r="N21" s="279">
        <f>'CP Analysis - From Load Researc'!E13</f>
        <v>12055.333333333334</v>
      </c>
      <c r="O21" s="280">
        <f t="shared" si="0"/>
        <v>0.86367632052809751</v>
      </c>
    </row>
    <row r="22" spans="1:15" ht="14.1" customHeight="1" x14ac:dyDescent="0.2">
      <c r="A22" s="277" t="s">
        <v>159</v>
      </c>
      <c r="B22" s="278" t="s">
        <v>160</v>
      </c>
      <c r="C22" s="265">
        <f>(MFR_E_10_Attachment_2__FPL201!B24+MFR_E_10_Attachment_2__FPL201!B27)*1000</f>
        <v>658930685</v>
      </c>
      <c r="E22" s="279">
        <f>'CP Analysis - From Load Researc'!B14</f>
        <v>24490.593518038182</v>
      </c>
      <c r="F22" s="280">
        <f t="shared" si="1"/>
        <v>3.0713995467544617</v>
      </c>
      <c r="H22" s="279">
        <f>'CP Analysis - From Load Researc'!C14</f>
        <v>153682.37976917459</v>
      </c>
      <c r="I22" s="280">
        <f t="shared" si="2"/>
        <v>0.48945362470329107</v>
      </c>
      <c r="J22" s="281"/>
      <c r="K22" s="279">
        <f>'CP Analysis - From Load Researc'!D14</f>
        <v>153682.37976917459</v>
      </c>
      <c r="L22" s="280">
        <f t="shared" si="3"/>
        <v>0.48945362470329107</v>
      </c>
      <c r="M22" s="281"/>
      <c r="N22" s="279">
        <f>'CP Analysis - From Load Researc'!E14</f>
        <v>158371</v>
      </c>
      <c r="O22" s="280">
        <f t="shared" si="0"/>
        <v>0.47496320558088428</v>
      </c>
    </row>
    <row r="23" spans="1:15" ht="14.1" customHeight="1" x14ac:dyDescent="0.2">
      <c r="A23" s="277" t="s">
        <v>27</v>
      </c>
      <c r="B23" s="278">
        <v>19</v>
      </c>
      <c r="C23" s="265">
        <f>(MFR_E_10_Attachment_2__FPL201!B25)*1000</f>
        <v>10793313</v>
      </c>
      <c r="E23" s="279">
        <f>'CP Analysis - From Load Researc'!B15</f>
        <v>815.91435103653828</v>
      </c>
      <c r="F23" s="280">
        <f t="shared" si="1"/>
        <v>1.5101013416409526</v>
      </c>
      <c r="H23" s="279">
        <f>'CP Analysis - From Load Researc'!C15</f>
        <v>8578.0262043470157</v>
      </c>
      <c r="I23" s="280">
        <f t="shared" si="2"/>
        <v>0.14363599816703704</v>
      </c>
      <c r="J23" s="281"/>
      <c r="K23" s="279">
        <f>'CP Analysis - From Load Researc'!D15</f>
        <v>12933.1126208973</v>
      </c>
      <c r="L23" s="280">
        <f t="shared" si="3"/>
        <v>9.5268122398743896E-2</v>
      </c>
      <c r="M23" s="281"/>
      <c r="N23" s="279">
        <f>'CP Analysis - From Load Researc'!E15</f>
        <v>15493.666666666666</v>
      </c>
      <c r="O23" s="280">
        <f t="shared" si="0"/>
        <v>7.9523677814443555E-2</v>
      </c>
    </row>
    <row r="24" spans="1:15" ht="14.1" customHeight="1" x14ac:dyDescent="0.2">
      <c r="A24" s="277" t="s">
        <v>28</v>
      </c>
      <c r="B24" s="278" t="s">
        <v>161</v>
      </c>
      <c r="C24" s="265">
        <f>(MFR_E_10_Attachment_2__FPL201!B26)*1000</f>
        <v>57133325763</v>
      </c>
      <c r="E24" s="279">
        <f>'CP Analysis - From Load Researc'!B16</f>
        <v>10443289.805182116</v>
      </c>
      <c r="F24" s="280">
        <f t="shared" si="1"/>
        <v>0.62452247066734179</v>
      </c>
      <c r="H24" s="279">
        <f>'CP Analysis - From Load Researc'!C16</f>
        <v>11023973.048745127</v>
      </c>
      <c r="I24" s="280">
        <f t="shared" si="2"/>
        <v>0.59162600653943109</v>
      </c>
      <c r="J24" s="281"/>
      <c r="K24" s="279">
        <f>'CP Analysis - From Load Researc'!D16</f>
        <v>27505799.319059569</v>
      </c>
      <c r="L24" s="280">
        <f t="shared" si="3"/>
        <v>0.23711614686681967</v>
      </c>
      <c r="M24" s="281"/>
      <c r="N24" s="279">
        <f>'CP Analysis - From Load Researc'!E16</f>
        <v>25695643.333333332</v>
      </c>
      <c r="O24" s="280">
        <f t="shared" si="0"/>
        <v>0.25382003736667413</v>
      </c>
    </row>
    <row r="25" spans="1:15" ht="14.1" customHeight="1" x14ac:dyDescent="0.2">
      <c r="A25" s="277" t="s">
        <v>162</v>
      </c>
      <c r="B25" s="278" t="s">
        <v>163</v>
      </c>
      <c r="C25" s="265">
        <f>(MFR_E_10_Attachment_2__FPL201!B17+MFR_E_10_Attachment_2__FPL201!B28)*1000</f>
        <v>103004444</v>
      </c>
      <c r="E25" s="279">
        <f>'CP Analysis - From Load Researc'!B7</f>
        <v>11781.307210236357</v>
      </c>
      <c r="F25" s="280">
        <f t="shared" si="1"/>
        <v>0.9980639638443044</v>
      </c>
      <c r="H25" s="279">
        <f>'CP Analysis - From Load Researc'!C7</f>
        <v>11920.809928564906</v>
      </c>
      <c r="I25" s="280">
        <f t="shared" si="2"/>
        <v>0.9863841671814606</v>
      </c>
      <c r="J25" s="281"/>
      <c r="K25" s="279">
        <f>'CP Analysis - From Load Researc'!D7</f>
        <v>12363.282645920508</v>
      </c>
      <c r="L25" s="280">
        <f t="shared" si="3"/>
        <v>0.95108220933506793</v>
      </c>
      <c r="M25" s="281"/>
      <c r="N25" s="279">
        <f>'CP Analysis - From Load Researc'!E7</f>
        <v>11003.666666666668</v>
      </c>
      <c r="O25" s="280">
        <f t="shared" si="0"/>
        <v>1.0685981800172046</v>
      </c>
    </row>
    <row r="26" spans="1:15" ht="14.1" customHeight="1" x14ac:dyDescent="0.2">
      <c r="A26" s="277" t="s">
        <v>164</v>
      </c>
      <c r="B26" s="278" t="s">
        <v>165</v>
      </c>
      <c r="C26" s="265">
        <f>(MFR_E_10_Attachment_2__FPL201!B29)*1000</f>
        <v>11856926</v>
      </c>
      <c r="E26" s="279">
        <f>'CP Analysis - From Load Researc'!B17</f>
        <v>1664.7526750432392</v>
      </c>
      <c r="F26" s="280">
        <f t="shared" si="1"/>
        <v>0.81305192392116021</v>
      </c>
      <c r="H26" s="279">
        <f>'CP Analysis - From Load Researc'!C17</f>
        <v>3701.3646121562419</v>
      </c>
      <c r="I26" s="280">
        <f t="shared" si="2"/>
        <v>0.36568414817914957</v>
      </c>
      <c r="J26" s="281"/>
      <c r="K26" s="279">
        <f>'CP Analysis - From Load Researc'!D17</f>
        <v>4550.257545735104</v>
      </c>
      <c r="L26" s="280">
        <f t="shared" si="3"/>
        <v>0.29746236376563995</v>
      </c>
      <c r="M26" s="281"/>
      <c r="N26" s="279">
        <f>'CP Analysis - From Load Researc'!E17</f>
        <v>5449</v>
      </c>
      <c r="O26" s="280">
        <f t="shared" si="0"/>
        <v>0.24839977340737818</v>
      </c>
    </row>
    <row r="27" spans="1:15" ht="14.1" customHeight="1" x14ac:dyDescent="0.2">
      <c r="A27" s="277" t="s">
        <v>166</v>
      </c>
      <c r="B27" s="278">
        <v>85</v>
      </c>
      <c r="C27" s="265">
        <f>(MFR_E_10_Attachment_2__FPL201!B30)*1000</f>
        <v>89667754</v>
      </c>
      <c r="E27" s="279">
        <f>'CP Analysis - From Load Researc'!B18</f>
        <v>6030.5041178798392</v>
      </c>
      <c r="F27" s="280">
        <f t="shared" si="1"/>
        <v>1.6973779931299779</v>
      </c>
      <c r="H27" s="279">
        <f>'CP Analysis - From Load Researc'!C18</f>
        <v>38099.974607377138</v>
      </c>
      <c r="I27" s="280">
        <f t="shared" si="2"/>
        <v>0.2686627768824546</v>
      </c>
      <c r="J27" s="281"/>
      <c r="K27" s="279">
        <f>'CP Analysis - From Load Researc'!D18</f>
        <v>90102.460205345778</v>
      </c>
      <c r="L27" s="280">
        <f t="shared" si="3"/>
        <v>0.11360450040809923</v>
      </c>
      <c r="M27" s="281"/>
      <c r="N27" s="279">
        <f>'CP Analysis - From Load Researc'!E18</f>
        <v>68233.333333333328</v>
      </c>
      <c r="O27" s="280">
        <f t="shared" si="0"/>
        <v>0.15001531476065877</v>
      </c>
    </row>
    <row r="29" spans="1:15" ht="13.5" thickBot="1" x14ac:dyDescent="0.25">
      <c r="A29" s="284" t="s">
        <v>167</v>
      </c>
      <c r="C29" s="285">
        <f>SUM(C14:C28)</f>
        <v>107486955116</v>
      </c>
      <c r="D29" s="286"/>
      <c r="E29" s="285">
        <f>SUM(E14:E28)</f>
        <v>17769744.786552496</v>
      </c>
      <c r="H29" s="285">
        <f>SUM(H14:H28)</f>
        <v>19421015.761773042</v>
      </c>
      <c r="K29" s="285">
        <f>SUM(K14:K28)</f>
        <v>38973222.966831699</v>
      </c>
      <c r="N29" s="285">
        <f>SUM(N14:N28)</f>
        <v>37323928</v>
      </c>
    </row>
    <row r="30" spans="1:15" ht="13.5" thickTop="1" x14ac:dyDescent="0.2"/>
    <row r="32" spans="1:15" x14ac:dyDescent="0.2">
      <c r="A32" s="267" t="s">
        <v>168</v>
      </c>
      <c r="K32" s="287"/>
    </row>
    <row r="33" spans="1:1" x14ac:dyDescent="0.2">
      <c r="A33" s="288" t="s">
        <v>177</v>
      </c>
    </row>
    <row r="34" spans="1:1" x14ac:dyDescent="0.2">
      <c r="A34" s="288" t="s">
        <v>178</v>
      </c>
    </row>
    <row r="35" spans="1:1" x14ac:dyDescent="0.2">
      <c r="A35" s="267" t="s">
        <v>170</v>
      </c>
    </row>
    <row r="36" spans="1:1" x14ac:dyDescent="0.2">
      <c r="A36" s="267" t="s">
        <v>171</v>
      </c>
    </row>
    <row r="37" spans="1:1" x14ac:dyDescent="0.2">
      <c r="A37" s="267" t="s">
        <v>172</v>
      </c>
    </row>
    <row r="38" spans="1:1" x14ac:dyDescent="0.2">
      <c r="A38" s="267" t="s">
        <v>173</v>
      </c>
    </row>
    <row r="39" spans="1:1" x14ac:dyDescent="0.2">
      <c r="A39" s="267" t="s">
        <v>174</v>
      </c>
    </row>
  </sheetData>
  <printOptions horizontalCentered="1"/>
  <pageMargins left="0.25" right="0.25" top="1" bottom="1" header="0.5" footer="0.5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120" zoomScaleNormal="120" workbookViewId="0"/>
  </sheetViews>
  <sheetFormatPr defaultColWidth="9.140625" defaultRowHeight="15" x14ac:dyDescent="0.25"/>
  <cols>
    <col min="1" max="1" width="17.5703125" style="148" customWidth="1"/>
    <col min="2" max="2" width="18.42578125" style="148" customWidth="1"/>
    <col min="3" max="3" width="13.42578125" style="148" bestFit="1" customWidth="1"/>
    <col min="4" max="5" width="11.85546875" style="148" customWidth="1"/>
    <col min="6" max="16384" width="9.140625" style="148"/>
  </cols>
  <sheetData>
    <row r="1" spans="1:5" s="322" customFormat="1" x14ac:dyDescent="0.25">
      <c r="A1" s="324" t="s">
        <v>222</v>
      </c>
    </row>
    <row r="2" spans="1:5" s="322" customFormat="1" x14ac:dyDescent="0.25">
      <c r="A2" s="324" t="s">
        <v>206</v>
      </c>
    </row>
    <row r="3" spans="1:5" s="322" customFormat="1" ht="15.75" thickBot="1" x14ac:dyDescent="0.3"/>
    <row r="4" spans="1:5" ht="27" thickBot="1" x14ac:dyDescent="0.3">
      <c r="A4" s="143" t="s">
        <v>64</v>
      </c>
      <c r="B4" s="150" t="s">
        <v>66</v>
      </c>
      <c r="C4" s="150" t="s">
        <v>116</v>
      </c>
      <c r="D4" s="150" t="s">
        <v>60</v>
      </c>
      <c r="E4" s="151" t="s">
        <v>133</v>
      </c>
    </row>
    <row r="5" spans="1:5" x14ac:dyDescent="0.25">
      <c r="A5" s="149" t="s">
        <v>203</v>
      </c>
      <c r="B5" s="247">
        <v>347945.94366858318</v>
      </c>
      <c r="C5" s="247">
        <v>373208.36623581196</v>
      </c>
      <c r="D5" s="247">
        <v>449258.08948981512</v>
      </c>
      <c r="E5" s="321">
        <v>492879.66666666669</v>
      </c>
    </row>
    <row r="6" spans="1:5" x14ac:dyDescent="0.25">
      <c r="A6" s="140" t="s">
        <v>19</v>
      </c>
      <c r="B6" s="247">
        <v>179197.42167694357</v>
      </c>
      <c r="C6" s="247">
        <v>202081.46223975054</v>
      </c>
      <c r="D6" s="247">
        <v>233674.6335320143</v>
      </c>
      <c r="E6" s="321">
        <v>210531.33333333334</v>
      </c>
    </row>
    <row r="7" spans="1:5" x14ac:dyDescent="0.25">
      <c r="A7" s="142" t="s">
        <v>56</v>
      </c>
      <c r="B7" s="247">
        <v>11781.307210236357</v>
      </c>
      <c r="C7" s="247">
        <v>11920.809928564906</v>
      </c>
      <c r="D7" s="247">
        <v>12363.282645920508</v>
      </c>
      <c r="E7" s="321">
        <v>11003.666666666668</v>
      </c>
    </row>
    <row r="8" spans="1:5" x14ac:dyDescent="0.25">
      <c r="A8" s="142" t="s">
        <v>20</v>
      </c>
      <c r="B8" s="247">
        <v>3854029.7945355414</v>
      </c>
      <c r="C8" s="247">
        <v>4275142.505962925</v>
      </c>
      <c r="D8" s="247">
        <v>5881181.6062718211</v>
      </c>
      <c r="E8" s="321">
        <v>5928182.333333333</v>
      </c>
    </row>
    <row r="9" spans="1:5" x14ac:dyDescent="0.25">
      <c r="A9" s="140" t="s">
        <v>21</v>
      </c>
      <c r="B9" s="247">
        <v>1556942.6185767679</v>
      </c>
      <c r="C9" s="247">
        <v>1786777.6768445729</v>
      </c>
      <c r="D9" s="247">
        <v>2114794.4008058771</v>
      </c>
      <c r="E9" s="321">
        <v>2217209.6666666665</v>
      </c>
    </row>
    <row r="10" spans="1:5" x14ac:dyDescent="0.25">
      <c r="A10" s="142" t="s">
        <v>22</v>
      </c>
      <c r="B10" s="247">
        <v>312391.3799935063</v>
      </c>
      <c r="C10" s="247">
        <v>351855.15189245</v>
      </c>
      <c r="D10" s="247">
        <v>437167.85136880982</v>
      </c>
      <c r="E10" s="321">
        <v>405971</v>
      </c>
    </row>
    <row r="11" spans="1:5" x14ac:dyDescent="0.25">
      <c r="A11" s="140" t="s">
        <v>23</v>
      </c>
      <c r="B11" s="247">
        <v>21568.80140757118</v>
      </c>
      <c r="C11" s="247">
        <v>29049.576850102079</v>
      </c>
      <c r="D11" s="247">
        <v>35746.34248005828</v>
      </c>
      <c r="E11" s="321">
        <v>33960</v>
      </c>
    </row>
    <row r="12" spans="1:5" x14ac:dyDescent="0.25">
      <c r="A12" s="140" t="s">
        <v>24</v>
      </c>
      <c r="B12" s="247">
        <v>988701.4373954176</v>
      </c>
      <c r="C12" s="247">
        <v>1138959.7691828783</v>
      </c>
      <c r="D12" s="247">
        <v>2013398.9279461752</v>
      </c>
      <c r="E12" s="321">
        <v>2068944.6666666667</v>
      </c>
    </row>
    <row r="13" spans="1:5" x14ac:dyDescent="0.25">
      <c r="A13" s="142" t="s">
        <v>62</v>
      </c>
      <c r="B13" s="247">
        <v>20894.512243814999</v>
      </c>
      <c r="C13" s="247">
        <v>23985.648697802604</v>
      </c>
      <c r="D13" s="247">
        <v>28570.30309049234</v>
      </c>
      <c r="E13" s="321">
        <v>12055.333333333334</v>
      </c>
    </row>
    <row r="14" spans="1:5" x14ac:dyDescent="0.25">
      <c r="A14" s="142" t="s">
        <v>57</v>
      </c>
      <c r="B14" s="247">
        <v>24490.593518038182</v>
      </c>
      <c r="C14" s="247">
        <v>153682.37976917459</v>
      </c>
      <c r="D14" s="247">
        <v>153682.37976917459</v>
      </c>
      <c r="E14" s="321">
        <v>158371</v>
      </c>
    </row>
    <row r="15" spans="1:5" x14ac:dyDescent="0.25">
      <c r="A15" s="142" t="s">
        <v>27</v>
      </c>
      <c r="B15" s="247">
        <v>815.91435103653828</v>
      </c>
      <c r="C15" s="247">
        <v>8578.0262043470157</v>
      </c>
      <c r="D15" s="247">
        <v>12933.1126208973</v>
      </c>
      <c r="E15" s="321">
        <v>15493.666666666666</v>
      </c>
    </row>
    <row r="16" spans="1:5" x14ac:dyDescent="0.25">
      <c r="A16" s="140" t="s">
        <v>28</v>
      </c>
      <c r="B16" s="247">
        <v>10443289.805182116</v>
      </c>
      <c r="C16" s="247">
        <v>11023973.048745127</v>
      </c>
      <c r="D16" s="247">
        <v>27505799.319059569</v>
      </c>
      <c r="E16" s="321">
        <v>25695643.333333332</v>
      </c>
    </row>
    <row r="17" spans="1:5" x14ac:dyDescent="0.25">
      <c r="A17" s="44" t="s">
        <v>94</v>
      </c>
      <c r="B17" s="247">
        <v>1664.7526750432392</v>
      </c>
      <c r="C17" s="247">
        <v>3701.3646121562419</v>
      </c>
      <c r="D17" s="247">
        <v>4550.257545735104</v>
      </c>
      <c r="E17" s="321">
        <v>5449</v>
      </c>
    </row>
    <row r="18" spans="1:5" x14ac:dyDescent="0.25">
      <c r="A18" s="44" t="s">
        <v>88</v>
      </c>
      <c r="B18" s="247">
        <v>6030.5041178798392</v>
      </c>
      <c r="C18" s="247">
        <v>38099.974607377138</v>
      </c>
      <c r="D18" s="247">
        <v>90102.460205345778</v>
      </c>
      <c r="E18" s="321">
        <v>68233.333333333328</v>
      </c>
    </row>
    <row r="20" spans="1:5" x14ac:dyDescent="0.25">
      <c r="B20" s="247">
        <f>SUM(B5:B18)</f>
        <v>17769744.786552496</v>
      </c>
      <c r="C20" s="247">
        <f>SUM(C5:C18)</f>
        <v>19421015.761773039</v>
      </c>
      <c r="D20" s="247">
        <f>SUM(D5:D18)</f>
        <v>38973222.966831699</v>
      </c>
      <c r="E20" s="247">
        <f>SUM(E5:E18)</f>
        <v>37323928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S45"/>
  <sheetViews>
    <sheetView zoomScale="75" zoomScaleNormal="75" zoomScaleSheetLayoutView="75" workbookViewId="0">
      <selection activeCell="A2" sqref="A2"/>
    </sheetView>
  </sheetViews>
  <sheetFormatPr defaultColWidth="9.140625" defaultRowHeight="12.75" x14ac:dyDescent="0.2"/>
  <cols>
    <col min="1" max="1" width="22.7109375" style="175" customWidth="1"/>
    <col min="2" max="2" width="17.140625" style="175" customWidth="1"/>
    <col min="3" max="3" width="5.42578125" style="175" customWidth="1"/>
    <col min="4" max="7" width="11.7109375" style="175" customWidth="1"/>
    <col min="8" max="8" width="12.7109375" style="175" customWidth="1"/>
    <col min="9" max="9" width="12.28515625" style="175" customWidth="1"/>
    <col min="10" max="12" width="11.7109375" style="175" customWidth="1"/>
    <col min="13" max="13" width="12.28515625" style="175" customWidth="1"/>
    <col min="14" max="15" width="11.7109375" style="175" customWidth="1"/>
    <col min="16" max="16" width="10.7109375" style="175" customWidth="1"/>
    <col min="17" max="19" width="8.7109375" style="175" customWidth="1"/>
    <col min="20" max="16384" width="9.140625" style="175"/>
  </cols>
  <sheetData>
    <row r="1" spans="1:19" ht="15" x14ac:dyDescent="0.25">
      <c r="A1" s="324" t="s">
        <v>210</v>
      </c>
    </row>
    <row r="2" spans="1:19" ht="15" x14ac:dyDescent="0.25">
      <c r="A2" s="324" t="s">
        <v>206</v>
      </c>
    </row>
    <row r="3" spans="1:19" s="154" customFormat="1" ht="20.25" x14ac:dyDescent="0.3">
      <c r="A3" s="152" t="s">
        <v>67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153"/>
    </row>
    <row r="4" spans="1:19" s="154" customFormat="1" ht="12" thickBot="1" x14ac:dyDescent="0.25"/>
    <row r="5" spans="1:19" s="162" customFormat="1" thickBot="1" x14ac:dyDescent="0.25">
      <c r="A5" s="155"/>
      <c r="B5" s="156"/>
      <c r="C5" s="156"/>
      <c r="D5" s="157">
        <v>40909</v>
      </c>
      <c r="E5" s="157">
        <v>40940</v>
      </c>
      <c r="F5" s="157">
        <v>40969</v>
      </c>
      <c r="G5" s="157">
        <v>41000</v>
      </c>
      <c r="H5" s="157">
        <v>41030</v>
      </c>
      <c r="I5" s="157">
        <v>41061</v>
      </c>
      <c r="J5" s="157">
        <v>41091</v>
      </c>
      <c r="K5" s="157">
        <v>41122</v>
      </c>
      <c r="L5" s="157">
        <v>41153</v>
      </c>
      <c r="M5" s="157">
        <v>41183</v>
      </c>
      <c r="N5" s="157">
        <v>41214</v>
      </c>
      <c r="O5" s="157">
        <v>41244</v>
      </c>
      <c r="P5" s="158"/>
      <c r="Q5" s="159"/>
      <c r="R5" s="160"/>
      <c r="S5" s="161"/>
    </row>
    <row r="6" spans="1:19" s="169" customFormat="1" ht="36" x14ac:dyDescent="0.2">
      <c r="A6" s="163" t="s">
        <v>68</v>
      </c>
      <c r="B6" s="164"/>
      <c r="C6" s="164"/>
      <c r="D6" s="165">
        <v>40912</v>
      </c>
      <c r="E6" s="165">
        <v>40963</v>
      </c>
      <c r="F6" s="165">
        <v>40990</v>
      </c>
      <c r="G6" s="165">
        <v>41003</v>
      </c>
      <c r="H6" s="165">
        <v>41059</v>
      </c>
      <c r="I6" s="165">
        <v>41064</v>
      </c>
      <c r="J6" s="165">
        <v>41116</v>
      </c>
      <c r="K6" s="165">
        <v>41130</v>
      </c>
      <c r="L6" s="165">
        <v>41153</v>
      </c>
      <c r="M6" s="165">
        <v>41187</v>
      </c>
      <c r="N6" s="165">
        <v>41225</v>
      </c>
      <c r="O6" s="165">
        <v>41253</v>
      </c>
      <c r="P6" s="166"/>
      <c r="Q6" s="167" t="s">
        <v>69</v>
      </c>
      <c r="R6" s="166" t="s">
        <v>69</v>
      </c>
      <c r="S6" s="168" t="s">
        <v>69</v>
      </c>
    </row>
    <row r="7" spans="1:19" s="169" customFormat="1" ht="12" x14ac:dyDescent="0.2">
      <c r="A7" s="163" t="s">
        <v>70</v>
      </c>
      <c r="B7" s="164"/>
      <c r="C7" s="164"/>
      <c r="D7" s="170" t="str">
        <f t="shared" ref="D7:O7" si="0">IF(WEEKDAY(D6,2)=1,"Monday",IF(WEEKDAY(D6,2)=2,"Tuesday",IF(WEEKDAY(D6,2)=3,"Wednesday",IF(WEEKDAY(D6,2)=4,"Thursday",IF(WEEKDAY(D6,2)=5,"Friday",IF(WEEKDAY(D6,2)=6,"Saturday","Sunday"))))))</f>
        <v>Wednesday</v>
      </c>
      <c r="E7" s="170" t="str">
        <f t="shared" si="0"/>
        <v>Friday</v>
      </c>
      <c r="F7" s="170" t="str">
        <f t="shared" si="0"/>
        <v>Thursday</v>
      </c>
      <c r="G7" s="170" t="str">
        <f t="shared" si="0"/>
        <v>Wednesday</v>
      </c>
      <c r="H7" s="170" t="str">
        <f t="shared" si="0"/>
        <v>Wednesday</v>
      </c>
      <c r="I7" s="170" t="str">
        <f t="shared" si="0"/>
        <v>Monday</v>
      </c>
      <c r="J7" s="170" t="str">
        <f t="shared" si="0"/>
        <v>Thursday</v>
      </c>
      <c r="K7" s="170" t="str">
        <f t="shared" si="0"/>
        <v>Thursday</v>
      </c>
      <c r="L7" s="170" t="str">
        <f t="shared" si="0"/>
        <v>Saturday</v>
      </c>
      <c r="M7" s="170" t="str">
        <f t="shared" si="0"/>
        <v>Friday</v>
      </c>
      <c r="N7" s="170" t="str">
        <f t="shared" si="0"/>
        <v>Monday</v>
      </c>
      <c r="O7" s="170" t="str">
        <f t="shared" si="0"/>
        <v>Monday</v>
      </c>
      <c r="P7" s="166" t="s">
        <v>66</v>
      </c>
      <c r="Q7" s="167" t="s">
        <v>71</v>
      </c>
      <c r="R7" s="166" t="s">
        <v>72</v>
      </c>
      <c r="S7" s="171" t="s">
        <v>73</v>
      </c>
    </row>
    <row r="8" spans="1:19" s="169" customFormat="1" thickBot="1" x14ac:dyDescent="0.25">
      <c r="A8" s="163" t="s">
        <v>74</v>
      </c>
      <c r="B8" s="164"/>
      <c r="C8" s="164"/>
      <c r="D8" s="172">
        <v>0.33333333333333331</v>
      </c>
      <c r="E8" s="172">
        <v>0.66666666666666663</v>
      </c>
      <c r="F8" s="172">
        <v>0.70833333333333337</v>
      </c>
      <c r="G8" s="172">
        <v>0.75</v>
      </c>
      <c r="H8" s="172">
        <v>0.70833333333333337</v>
      </c>
      <c r="I8" s="172">
        <v>0.70833333333333337</v>
      </c>
      <c r="J8" s="172">
        <v>0.70833333333333337</v>
      </c>
      <c r="K8" s="172">
        <v>0.70833333333333337</v>
      </c>
      <c r="L8" s="172">
        <v>0.70833333333333337</v>
      </c>
      <c r="M8" s="172">
        <v>0.66666666666666663</v>
      </c>
      <c r="N8" s="172">
        <v>0.79166666666666663</v>
      </c>
      <c r="O8" s="172">
        <v>0.79166666666666663</v>
      </c>
      <c r="P8" s="166" t="s">
        <v>75</v>
      </c>
      <c r="Q8" s="167" t="s">
        <v>76</v>
      </c>
      <c r="R8" s="166" t="s">
        <v>76</v>
      </c>
      <c r="S8" s="171" t="s">
        <v>76</v>
      </c>
    </row>
    <row r="9" spans="1:19" s="174" customFormat="1" thickTop="1" x14ac:dyDescent="0.2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</row>
    <row r="10" spans="1:19" s="174" customFormat="1" x14ac:dyDescent="0.2">
      <c r="A10" s="175" t="s">
        <v>28</v>
      </c>
      <c r="B10" s="175" t="s">
        <v>77</v>
      </c>
      <c r="C10" s="175" t="s">
        <v>78</v>
      </c>
      <c r="D10" s="176">
        <v>11904320</v>
      </c>
      <c r="E10" s="177">
        <v>7112688</v>
      </c>
      <c r="F10" s="177">
        <v>7428799</v>
      </c>
      <c r="G10" s="177">
        <v>9958459</v>
      </c>
      <c r="H10" s="177">
        <v>9088596</v>
      </c>
      <c r="I10" s="177">
        <v>10962459</v>
      </c>
      <c r="J10" s="177">
        <v>11154200</v>
      </c>
      <c r="K10" s="178">
        <v>11793380</v>
      </c>
      <c r="L10" s="177">
        <v>11922085</v>
      </c>
      <c r="M10" s="177">
        <v>10299292</v>
      </c>
      <c r="N10" s="177">
        <v>7983718</v>
      </c>
      <c r="O10" s="177">
        <v>7329404</v>
      </c>
      <c r="P10" s="179">
        <f t="shared" ref="P10:P26" si="1">SUM(D10:O10)/12</f>
        <v>9744783.333333334</v>
      </c>
      <c r="Q10" s="180">
        <f t="shared" ref="Q10:Q26" si="2">+P10/$P$44</f>
        <v>0.52461586085302447</v>
      </c>
      <c r="R10" s="180">
        <f t="shared" ref="R10:R26" si="3">+K10/$K$44</f>
        <v>0.54550996808363017</v>
      </c>
      <c r="S10" s="180">
        <f t="shared" ref="S10:S26" si="4">+D10/$D$44</f>
        <v>0.64167313497197065</v>
      </c>
    </row>
    <row r="11" spans="1:19" s="174" customFormat="1" x14ac:dyDescent="0.2">
      <c r="A11" s="175" t="s">
        <v>20</v>
      </c>
      <c r="B11" s="175" t="s">
        <v>79</v>
      </c>
      <c r="C11" s="175" t="s">
        <v>78</v>
      </c>
      <c r="D11" s="176">
        <v>2329607</v>
      </c>
      <c r="E11" s="177">
        <v>3646554</v>
      </c>
      <c r="F11" s="177">
        <v>3430463</v>
      </c>
      <c r="G11" s="177">
        <v>3719380</v>
      </c>
      <c r="H11" s="177">
        <v>3725307</v>
      </c>
      <c r="I11" s="177">
        <v>4083111</v>
      </c>
      <c r="J11" s="177">
        <v>4028548</v>
      </c>
      <c r="K11" s="178">
        <v>4027015</v>
      </c>
      <c r="L11" s="177">
        <v>3718796</v>
      </c>
      <c r="M11" s="177">
        <v>4157666</v>
      </c>
      <c r="N11" s="177">
        <v>3447774</v>
      </c>
      <c r="O11" s="177">
        <v>3306108</v>
      </c>
      <c r="P11" s="179">
        <f t="shared" si="1"/>
        <v>3635027.4166666665</v>
      </c>
      <c r="Q11" s="180">
        <f t="shared" si="2"/>
        <v>0.195693733989529</v>
      </c>
      <c r="R11" s="180">
        <f t="shared" si="3"/>
        <v>0.18627202923354458</v>
      </c>
      <c r="S11" s="180">
        <f t="shared" si="4"/>
        <v>0.12557174428633031</v>
      </c>
    </row>
    <row r="12" spans="1:19" s="174" customFormat="1" x14ac:dyDescent="0.2">
      <c r="A12" s="175" t="s">
        <v>21</v>
      </c>
      <c r="B12" s="175" t="s">
        <v>80</v>
      </c>
      <c r="C12" s="175" t="s">
        <v>78</v>
      </c>
      <c r="D12" s="176">
        <v>1182438</v>
      </c>
      <c r="E12" s="177">
        <v>1655413</v>
      </c>
      <c r="F12" s="177">
        <v>1495588</v>
      </c>
      <c r="G12" s="177">
        <v>1617606</v>
      </c>
      <c r="H12" s="177">
        <v>1646599</v>
      </c>
      <c r="I12" s="177">
        <v>1794378</v>
      </c>
      <c r="J12" s="177">
        <v>1742336</v>
      </c>
      <c r="K12" s="178">
        <v>1673753</v>
      </c>
      <c r="L12" s="177">
        <v>1333428</v>
      </c>
      <c r="M12" s="177">
        <v>1924923</v>
      </c>
      <c r="N12" s="177">
        <v>1384398</v>
      </c>
      <c r="O12" s="177">
        <v>1496608</v>
      </c>
      <c r="P12" s="179">
        <f t="shared" si="1"/>
        <v>1578955.6666666667</v>
      </c>
      <c r="Q12" s="180">
        <f t="shared" si="2"/>
        <v>8.5003961399904002E-2</v>
      </c>
      <c r="R12" s="180">
        <f t="shared" si="3"/>
        <v>7.7420463481197091E-2</v>
      </c>
      <c r="S12" s="180">
        <f t="shared" si="4"/>
        <v>6.3736416558861572E-2</v>
      </c>
    </row>
    <row r="13" spans="1:19" s="174" customFormat="1" x14ac:dyDescent="0.2">
      <c r="A13" s="175" t="s">
        <v>24</v>
      </c>
      <c r="B13" s="175" t="s">
        <v>81</v>
      </c>
      <c r="C13" s="175" t="s">
        <v>78</v>
      </c>
      <c r="D13" s="176">
        <v>529322</v>
      </c>
      <c r="E13" s="177">
        <v>920338</v>
      </c>
      <c r="F13" s="177">
        <v>825885</v>
      </c>
      <c r="G13" s="177">
        <v>892169</v>
      </c>
      <c r="H13" s="177">
        <v>994179</v>
      </c>
      <c r="I13" s="177">
        <v>1102751</v>
      </c>
      <c r="J13" s="177">
        <v>1084009</v>
      </c>
      <c r="K13" s="178">
        <v>1139761</v>
      </c>
      <c r="L13" s="177">
        <v>840906</v>
      </c>
      <c r="M13" s="177">
        <v>1052737</v>
      </c>
      <c r="N13" s="177">
        <v>785247</v>
      </c>
      <c r="O13" s="177">
        <v>778060</v>
      </c>
      <c r="P13" s="179">
        <f t="shared" si="1"/>
        <v>912113.66666666663</v>
      </c>
      <c r="Q13" s="180">
        <f t="shared" si="2"/>
        <v>4.9104149375731827E-2</v>
      </c>
      <c r="R13" s="180">
        <f t="shared" si="3"/>
        <v>5.2720338591054162E-2</v>
      </c>
      <c r="S13" s="180">
        <f t="shared" si="4"/>
        <v>2.8531802501078053E-2</v>
      </c>
    </row>
    <row r="14" spans="1:19" s="174" customFormat="1" x14ac:dyDescent="0.2">
      <c r="A14" s="175" t="s">
        <v>17</v>
      </c>
      <c r="B14" s="175" t="s">
        <v>82</v>
      </c>
      <c r="C14" s="175" t="s">
        <v>78</v>
      </c>
      <c r="D14" s="176">
        <v>320760</v>
      </c>
      <c r="E14" s="177">
        <v>351450</v>
      </c>
      <c r="F14" s="177">
        <v>337471</v>
      </c>
      <c r="G14" s="177">
        <v>372802</v>
      </c>
      <c r="H14" s="177">
        <v>354874</v>
      </c>
      <c r="I14" s="177">
        <v>375001</v>
      </c>
      <c r="J14" s="177">
        <v>366211</v>
      </c>
      <c r="K14" s="178">
        <v>370238</v>
      </c>
      <c r="L14" s="177">
        <v>352792</v>
      </c>
      <c r="M14" s="177">
        <v>359733</v>
      </c>
      <c r="N14" s="177">
        <v>346795</v>
      </c>
      <c r="O14" s="177">
        <v>349867</v>
      </c>
      <c r="P14" s="179">
        <f t="shared" si="1"/>
        <v>354832.83333333331</v>
      </c>
      <c r="Q14" s="180">
        <f t="shared" si="2"/>
        <v>1.9102624034885444E-2</v>
      </c>
      <c r="R14" s="180">
        <f t="shared" si="3"/>
        <v>1.712558397705722E-2</v>
      </c>
      <c r="S14" s="180">
        <f t="shared" si="4"/>
        <v>1.7289780077619665E-2</v>
      </c>
    </row>
    <row r="15" spans="1:19" s="174" customFormat="1" x14ac:dyDescent="0.2">
      <c r="A15" s="181" t="s">
        <v>22</v>
      </c>
      <c r="B15" s="175" t="s">
        <v>83</v>
      </c>
      <c r="C15" s="175" t="s">
        <v>78</v>
      </c>
      <c r="D15" s="176">
        <v>235472</v>
      </c>
      <c r="E15" s="177">
        <v>314440</v>
      </c>
      <c r="F15" s="177">
        <v>313040</v>
      </c>
      <c r="G15" s="177">
        <v>299070</v>
      </c>
      <c r="H15" s="177">
        <v>296969</v>
      </c>
      <c r="I15" s="177">
        <v>325058</v>
      </c>
      <c r="J15" s="177">
        <v>318639</v>
      </c>
      <c r="K15" s="178">
        <v>323417</v>
      </c>
      <c r="L15" s="177">
        <v>311232</v>
      </c>
      <c r="M15" s="177">
        <v>327507</v>
      </c>
      <c r="N15" s="177">
        <v>294871</v>
      </c>
      <c r="O15" s="177">
        <v>297622</v>
      </c>
      <c r="P15" s="179">
        <f t="shared" si="1"/>
        <v>304778.08333333331</v>
      </c>
      <c r="Q15" s="180">
        <f t="shared" si="2"/>
        <v>1.6407898573806309E-2</v>
      </c>
      <c r="R15" s="180">
        <f t="shared" si="3"/>
        <v>1.4959850131828484E-2</v>
      </c>
      <c r="S15" s="180">
        <f t="shared" si="4"/>
        <v>1.2692539887882708E-2</v>
      </c>
    </row>
    <row r="16" spans="1:19" s="174" customFormat="1" x14ac:dyDescent="0.2">
      <c r="A16" s="175" t="s">
        <v>19</v>
      </c>
      <c r="B16" s="175" t="s">
        <v>84</v>
      </c>
      <c r="C16" s="175" t="s">
        <v>78</v>
      </c>
      <c r="D16" s="176">
        <v>139015</v>
      </c>
      <c r="E16" s="177">
        <v>160413</v>
      </c>
      <c r="F16" s="177">
        <v>170626</v>
      </c>
      <c r="G16" s="177">
        <v>125695</v>
      </c>
      <c r="H16" s="177">
        <v>182432</v>
      </c>
      <c r="I16" s="177">
        <v>158879</v>
      </c>
      <c r="J16" s="177">
        <v>173334</v>
      </c>
      <c r="K16" s="178">
        <v>150983</v>
      </c>
      <c r="L16" s="177">
        <v>148018</v>
      </c>
      <c r="M16" s="177">
        <v>185242</v>
      </c>
      <c r="N16" s="177">
        <v>153101</v>
      </c>
      <c r="O16" s="177">
        <v>159232</v>
      </c>
      <c r="P16" s="179">
        <f t="shared" si="1"/>
        <v>158914.16666666666</v>
      </c>
      <c r="Q16" s="180">
        <f t="shared" si="2"/>
        <v>8.5552330406772521E-3</v>
      </c>
      <c r="R16" s="180">
        <f t="shared" si="3"/>
        <v>6.9838105370276142E-3</v>
      </c>
      <c r="S16" s="180">
        <f t="shared" si="4"/>
        <v>7.4932621819749894E-3</v>
      </c>
    </row>
    <row r="17" spans="1:19" s="174" customFormat="1" x14ac:dyDescent="0.2">
      <c r="A17" s="181" t="s">
        <v>23</v>
      </c>
      <c r="B17" s="175" t="s">
        <v>85</v>
      </c>
      <c r="C17" s="175" t="s">
        <v>78</v>
      </c>
      <c r="D17" s="176">
        <v>22856</v>
      </c>
      <c r="E17" s="177">
        <v>23740</v>
      </c>
      <c r="F17" s="177">
        <v>23348</v>
      </c>
      <c r="G17" s="177">
        <v>25489</v>
      </c>
      <c r="H17" s="177">
        <v>20919</v>
      </c>
      <c r="I17" s="177">
        <v>19512</v>
      </c>
      <c r="J17" s="177">
        <v>19924</v>
      </c>
      <c r="K17" s="178">
        <v>19872</v>
      </c>
      <c r="L17" s="177">
        <v>18294</v>
      </c>
      <c r="M17" s="177">
        <v>17679</v>
      </c>
      <c r="N17" s="177">
        <v>17738</v>
      </c>
      <c r="O17" s="177">
        <v>23596</v>
      </c>
      <c r="P17" s="179">
        <f t="shared" si="1"/>
        <v>21080.583333333332</v>
      </c>
      <c r="Q17" s="180">
        <f t="shared" si="2"/>
        <v>1.1348849937864792E-3</v>
      </c>
      <c r="R17" s="180">
        <f t="shared" si="3"/>
        <v>9.1919145196355054E-4</v>
      </c>
      <c r="S17" s="180">
        <f t="shared" si="4"/>
        <v>1.2319965502371711E-3</v>
      </c>
    </row>
    <row r="18" spans="1:19" s="174" customFormat="1" x14ac:dyDescent="0.2">
      <c r="A18" s="181" t="s">
        <v>18</v>
      </c>
      <c r="B18" s="175" t="s">
        <v>86</v>
      </c>
      <c r="C18" s="175" t="s">
        <v>78</v>
      </c>
      <c r="D18" s="176">
        <v>21883</v>
      </c>
      <c r="E18" s="177">
        <v>23575</v>
      </c>
      <c r="F18" s="177">
        <v>22290</v>
      </c>
      <c r="G18" s="177">
        <v>24142</v>
      </c>
      <c r="H18" s="177">
        <v>23781</v>
      </c>
      <c r="I18" s="177">
        <v>25658</v>
      </c>
      <c r="J18" s="177">
        <v>24842</v>
      </c>
      <c r="K18" s="178">
        <v>25435</v>
      </c>
      <c r="L18" s="177">
        <v>23910</v>
      </c>
      <c r="M18" s="177">
        <v>24936</v>
      </c>
      <c r="N18" s="177">
        <v>23037</v>
      </c>
      <c r="O18" s="177">
        <v>22223</v>
      </c>
      <c r="P18" s="179">
        <f t="shared" si="1"/>
        <v>23809.333333333332</v>
      </c>
      <c r="Q18" s="180">
        <f t="shared" si="2"/>
        <v>1.2817887761831486E-3</v>
      </c>
      <c r="R18" s="180">
        <f t="shared" si="3"/>
        <v>1.1765114020074934E-3</v>
      </c>
      <c r="S18" s="180">
        <f t="shared" si="4"/>
        <v>1.1795493747304873E-3</v>
      </c>
    </row>
    <row r="19" spans="1:19" s="174" customFormat="1" x14ac:dyDescent="0.2">
      <c r="A19" s="175" t="s">
        <v>29</v>
      </c>
      <c r="B19" s="175" t="s">
        <v>87</v>
      </c>
      <c r="C19" s="175" t="s">
        <v>78</v>
      </c>
      <c r="D19" s="176">
        <v>11860</v>
      </c>
      <c r="E19" s="177">
        <v>0</v>
      </c>
      <c r="F19" s="177">
        <v>0</v>
      </c>
      <c r="G19" s="177">
        <v>0</v>
      </c>
      <c r="H19" s="177">
        <v>0</v>
      </c>
      <c r="I19" s="177">
        <v>0</v>
      </c>
      <c r="J19" s="177">
        <v>0</v>
      </c>
      <c r="K19" s="178">
        <v>0</v>
      </c>
      <c r="L19" s="177">
        <v>0</v>
      </c>
      <c r="M19" s="177">
        <v>0</v>
      </c>
      <c r="N19" s="177">
        <v>121343</v>
      </c>
      <c r="O19" s="177">
        <v>102654</v>
      </c>
      <c r="P19" s="179">
        <f t="shared" si="1"/>
        <v>19654.75</v>
      </c>
      <c r="Q19" s="180">
        <f t="shared" si="2"/>
        <v>1.0581244588404718E-3</v>
      </c>
      <c r="R19" s="180">
        <f t="shared" si="3"/>
        <v>0</v>
      </c>
      <c r="S19" s="180">
        <f t="shared" si="4"/>
        <v>6.3928417421302286E-4</v>
      </c>
    </row>
    <row r="20" spans="1:19" s="174" customFormat="1" x14ac:dyDescent="0.2">
      <c r="A20" s="175" t="s">
        <v>88</v>
      </c>
      <c r="B20" s="175" t="s">
        <v>89</v>
      </c>
      <c r="C20" s="175" t="s">
        <v>78</v>
      </c>
      <c r="D20" s="176">
        <v>17850</v>
      </c>
      <c r="E20" s="177">
        <v>6455</v>
      </c>
      <c r="F20" s="177">
        <v>7392</v>
      </c>
      <c r="G20" s="177">
        <v>319</v>
      </c>
      <c r="H20" s="177">
        <v>7121</v>
      </c>
      <c r="I20" s="177">
        <v>2950</v>
      </c>
      <c r="J20" s="177">
        <v>8156</v>
      </c>
      <c r="K20" s="178">
        <v>3713</v>
      </c>
      <c r="L20" s="177">
        <v>18381</v>
      </c>
      <c r="M20" s="177">
        <v>3168</v>
      </c>
      <c r="N20" s="177">
        <v>4683</v>
      </c>
      <c r="O20" s="177">
        <v>4274</v>
      </c>
      <c r="P20" s="179">
        <f t="shared" si="1"/>
        <v>7038.5</v>
      </c>
      <c r="Q20" s="180">
        <f t="shared" si="2"/>
        <v>3.7892158402160603E-4</v>
      </c>
      <c r="R20" s="180">
        <f t="shared" si="3"/>
        <v>1.7174707433276285E-4</v>
      </c>
      <c r="S20" s="180">
        <f t="shared" si="4"/>
        <v>9.6216041397153944E-4</v>
      </c>
    </row>
    <row r="21" spans="1:19" s="174" customFormat="1" x14ac:dyDescent="0.2">
      <c r="A21" s="175" t="s">
        <v>62</v>
      </c>
      <c r="B21" s="175" t="s">
        <v>62</v>
      </c>
      <c r="C21" s="175" t="s">
        <v>78</v>
      </c>
      <c r="D21" s="176">
        <v>12232</v>
      </c>
      <c r="E21" s="177">
        <v>11609</v>
      </c>
      <c r="F21" s="177">
        <v>12758</v>
      </c>
      <c r="G21" s="177">
        <v>13643</v>
      </c>
      <c r="H21" s="177">
        <v>12865</v>
      </c>
      <c r="I21" s="177">
        <v>13203</v>
      </c>
      <c r="J21" s="177">
        <v>12177</v>
      </c>
      <c r="K21" s="178">
        <v>12181</v>
      </c>
      <c r="L21" s="177">
        <v>7599</v>
      </c>
      <c r="M21" s="177">
        <v>11527</v>
      </c>
      <c r="N21" s="177">
        <v>12963</v>
      </c>
      <c r="O21" s="177">
        <v>13111</v>
      </c>
      <c r="P21" s="179">
        <f t="shared" si="1"/>
        <v>12155.666666666666</v>
      </c>
      <c r="Q21" s="180">
        <f t="shared" si="2"/>
        <v>6.5440711347190014E-4</v>
      </c>
      <c r="R21" s="180">
        <f t="shared" si="3"/>
        <v>5.6343956704750454E-4</v>
      </c>
      <c r="S21" s="180">
        <f t="shared" si="4"/>
        <v>6.5933592065545491E-4</v>
      </c>
    </row>
    <row r="22" spans="1:19" s="174" customFormat="1" x14ac:dyDescent="0.2">
      <c r="A22" s="181" t="s">
        <v>63</v>
      </c>
      <c r="B22" s="175" t="s">
        <v>90</v>
      </c>
      <c r="C22" s="175" t="s">
        <v>78</v>
      </c>
      <c r="D22" s="176">
        <v>3558</v>
      </c>
      <c r="E22" s="177">
        <v>3450</v>
      </c>
      <c r="F22" s="177">
        <v>3271</v>
      </c>
      <c r="G22" s="177">
        <v>3409</v>
      </c>
      <c r="H22" s="177">
        <v>3210</v>
      </c>
      <c r="I22" s="177">
        <v>3398</v>
      </c>
      <c r="J22" s="177">
        <v>3149</v>
      </c>
      <c r="K22" s="178">
        <v>3083</v>
      </c>
      <c r="L22" s="177">
        <v>3094</v>
      </c>
      <c r="M22" s="177">
        <v>2935</v>
      </c>
      <c r="N22" s="177">
        <v>2994</v>
      </c>
      <c r="O22" s="177">
        <v>2911</v>
      </c>
      <c r="P22" s="179">
        <f t="shared" si="1"/>
        <v>3205.1666666666665</v>
      </c>
      <c r="Q22" s="180">
        <f t="shared" si="2"/>
        <v>1.725519400989677E-4</v>
      </c>
      <c r="R22" s="180">
        <f t="shared" si="3"/>
        <v>1.4260604098246914E-4</v>
      </c>
      <c r="S22" s="180">
        <f t="shared" si="4"/>
        <v>1.9178525226390685E-4</v>
      </c>
    </row>
    <row r="23" spans="1:19" s="174" customFormat="1" x14ac:dyDescent="0.2">
      <c r="A23" s="181" t="s">
        <v>26</v>
      </c>
      <c r="B23" s="175" t="s">
        <v>91</v>
      </c>
      <c r="C23" s="175" t="s">
        <v>78</v>
      </c>
      <c r="D23" s="176">
        <v>2378</v>
      </c>
      <c r="E23" s="177">
        <v>0</v>
      </c>
      <c r="F23" s="177">
        <v>0</v>
      </c>
      <c r="G23" s="177">
        <v>0</v>
      </c>
      <c r="H23" s="177">
        <v>0</v>
      </c>
      <c r="I23" s="177">
        <v>0</v>
      </c>
      <c r="J23" s="177">
        <v>0</v>
      </c>
      <c r="K23" s="178">
        <v>0</v>
      </c>
      <c r="L23" s="177">
        <v>0</v>
      </c>
      <c r="M23" s="177">
        <v>0</v>
      </c>
      <c r="N23" s="177">
        <v>21198</v>
      </c>
      <c r="O23" s="177">
        <v>20160</v>
      </c>
      <c r="P23" s="179">
        <f t="shared" si="1"/>
        <v>3644.6666666666665</v>
      </c>
      <c r="Q23" s="180">
        <f t="shared" si="2"/>
        <v>1.962126684043589E-4</v>
      </c>
      <c r="R23" s="180">
        <f t="shared" si="3"/>
        <v>0</v>
      </c>
      <c r="S23" s="180">
        <f t="shared" si="4"/>
        <v>1.2818025010780508E-4</v>
      </c>
    </row>
    <row r="24" spans="1:19" s="174" customFormat="1" x14ac:dyDescent="0.2">
      <c r="A24" s="181" t="s">
        <v>30</v>
      </c>
      <c r="B24" s="175" t="s">
        <v>92</v>
      </c>
      <c r="C24" s="175" t="s">
        <v>78</v>
      </c>
      <c r="D24" s="176">
        <v>3522</v>
      </c>
      <c r="E24" s="177">
        <v>3768</v>
      </c>
      <c r="F24" s="177">
        <v>3537</v>
      </c>
      <c r="G24" s="177">
        <v>3659</v>
      </c>
      <c r="H24" s="177">
        <v>3501</v>
      </c>
      <c r="I24" s="177">
        <v>3622</v>
      </c>
      <c r="J24" s="177">
        <v>3518</v>
      </c>
      <c r="K24" s="178">
        <v>3518</v>
      </c>
      <c r="L24" s="177">
        <v>3637</v>
      </c>
      <c r="M24" s="177">
        <v>3518</v>
      </c>
      <c r="N24" s="177">
        <v>3634</v>
      </c>
      <c r="O24" s="177">
        <v>3524</v>
      </c>
      <c r="P24" s="179">
        <f t="shared" si="1"/>
        <v>3579.8333333333335</v>
      </c>
      <c r="Q24" s="180">
        <f t="shared" si="2"/>
        <v>1.9272232964410212E-4</v>
      </c>
      <c r="R24" s="180">
        <f t="shared" si="3"/>
        <v>1.6272723067671955E-4</v>
      </c>
      <c r="S24" s="180">
        <f t="shared" si="4"/>
        <v>1.8984476067270375E-4</v>
      </c>
    </row>
    <row r="25" spans="1:19" s="174" customFormat="1" x14ac:dyDescent="0.2">
      <c r="A25" s="175" t="s">
        <v>27</v>
      </c>
      <c r="B25" s="175" t="s">
        <v>93</v>
      </c>
      <c r="C25" s="175" t="s">
        <v>78</v>
      </c>
      <c r="D25" s="176">
        <v>602</v>
      </c>
      <c r="E25" s="177">
        <v>666</v>
      </c>
      <c r="F25" s="177">
        <v>1036</v>
      </c>
      <c r="G25" s="177">
        <v>1213</v>
      </c>
      <c r="H25" s="177">
        <v>896</v>
      </c>
      <c r="I25" s="177">
        <v>903</v>
      </c>
      <c r="J25" s="177">
        <v>814</v>
      </c>
      <c r="K25" s="178">
        <v>880</v>
      </c>
      <c r="L25" s="177">
        <v>856</v>
      </c>
      <c r="M25" s="177">
        <v>943</v>
      </c>
      <c r="N25" s="177">
        <v>7168</v>
      </c>
      <c r="O25" s="177">
        <v>8883</v>
      </c>
      <c r="P25" s="179">
        <f t="shared" si="1"/>
        <v>2071.6666666666665</v>
      </c>
      <c r="Q25" s="180">
        <f t="shared" si="2"/>
        <v>1.1152933365036495E-4</v>
      </c>
      <c r="R25" s="180">
        <f t="shared" si="3"/>
        <v>4.0704935473426155E-5</v>
      </c>
      <c r="S25" s="180">
        <f t="shared" si="4"/>
        <v>3.2449331608451921E-5</v>
      </c>
    </row>
    <row r="26" spans="1:19" s="174" customFormat="1" x14ac:dyDescent="0.2">
      <c r="A26" s="181" t="s">
        <v>94</v>
      </c>
      <c r="B26" s="175" t="s">
        <v>95</v>
      </c>
      <c r="C26" s="175" t="s">
        <v>78</v>
      </c>
      <c r="D26" s="176">
        <v>0</v>
      </c>
      <c r="E26" s="177">
        <v>0</v>
      </c>
      <c r="F26" s="177">
        <v>3058</v>
      </c>
      <c r="G26" s="177">
        <v>1087</v>
      </c>
      <c r="H26" s="177">
        <v>1333</v>
      </c>
      <c r="I26" s="177">
        <v>1424</v>
      </c>
      <c r="J26" s="177">
        <v>2154</v>
      </c>
      <c r="K26" s="178">
        <v>2684</v>
      </c>
      <c r="L26" s="177">
        <v>699</v>
      </c>
      <c r="M26" s="177">
        <v>2680</v>
      </c>
      <c r="N26" s="177">
        <v>1607</v>
      </c>
      <c r="O26" s="177">
        <v>311</v>
      </c>
      <c r="P26" s="179">
        <f t="shared" si="1"/>
        <v>1419.75</v>
      </c>
      <c r="Q26" s="180">
        <f t="shared" si="2"/>
        <v>7.6433035293695407E-5</v>
      </c>
      <c r="R26" s="180">
        <f t="shared" si="3"/>
        <v>1.2415005319394977E-4</v>
      </c>
      <c r="S26" s="180">
        <f t="shared" si="4"/>
        <v>0</v>
      </c>
    </row>
    <row r="27" spans="1:19" s="174" customFormat="1" x14ac:dyDescent="0.2">
      <c r="B27" s="175"/>
      <c r="C27" s="175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</row>
    <row r="28" spans="1:19" s="174" customFormat="1" ht="12" x14ac:dyDescent="0.2">
      <c r="A28" s="174" t="s">
        <v>96</v>
      </c>
      <c r="D28" s="183">
        <f t="shared" ref="D28:P28" si="5">SUM(D10:D27)</f>
        <v>16737675</v>
      </c>
      <c r="E28" s="183">
        <f t="shared" si="5"/>
        <v>14234559</v>
      </c>
      <c r="F28" s="183">
        <f t="shared" si="5"/>
        <v>14078562</v>
      </c>
      <c r="G28" s="183">
        <f t="shared" si="5"/>
        <v>17058142</v>
      </c>
      <c r="H28" s="183">
        <f t="shared" si="5"/>
        <v>16362582</v>
      </c>
      <c r="I28" s="183">
        <f t="shared" si="5"/>
        <v>18872307</v>
      </c>
      <c r="J28" s="183">
        <f t="shared" si="5"/>
        <v>18942011</v>
      </c>
      <c r="K28" s="183">
        <f t="shared" si="5"/>
        <v>19549913</v>
      </c>
      <c r="L28" s="183">
        <f t="shared" si="5"/>
        <v>18703727</v>
      </c>
      <c r="M28" s="183">
        <f t="shared" si="5"/>
        <v>18374486</v>
      </c>
      <c r="N28" s="183">
        <f t="shared" si="5"/>
        <v>14612269</v>
      </c>
      <c r="O28" s="183">
        <f t="shared" si="5"/>
        <v>13918548</v>
      </c>
      <c r="P28" s="183">
        <f t="shared" si="5"/>
        <v>16787065.083333332</v>
      </c>
      <c r="Q28" s="184">
        <f>+P28/$P$44</f>
        <v>0.90374103750095336</v>
      </c>
      <c r="R28" s="184">
        <f>+K28/$K$44</f>
        <v>0.90429312179101717</v>
      </c>
      <c r="S28" s="184">
        <f>+D28/$D$44</f>
        <v>0.90220326649417848</v>
      </c>
    </row>
    <row r="29" spans="1:19" s="174" customFormat="1" ht="12" x14ac:dyDescent="0.2"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85"/>
      <c r="R29" s="185"/>
      <c r="S29" s="185"/>
    </row>
    <row r="30" spans="1:19" s="174" customFormat="1" x14ac:dyDescent="0.2">
      <c r="A30" s="174" t="s">
        <v>97</v>
      </c>
      <c r="B30" s="175" t="s">
        <v>97</v>
      </c>
      <c r="C30" s="175" t="s">
        <v>78</v>
      </c>
      <c r="D30" s="176">
        <v>224965</v>
      </c>
      <c r="E30" s="177">
        <v>178631</v>
      </c>
      <c r="F30" s="177">
        <v>189024</v>
      </c>
      <c r="G30" s="177">
        <v>205486</v>
      </c>
      <c r="H30" s="177">
        <v>215855</v>
      </c>
      <c r="I30" s="177">
        <v>206019</v>
      </c>
      <c r="J30" s="177">
        <v>226667</v>
      </c>
      <c r="K30" s="178">
        <v>223403</v>
      </c>
      <c r="L30" s="177">
        <v>215817</v>
      </c>
      <c r="M30" s="177">
        <v>211904</v>
      </c>
      <c r="N30" s="177">
        <v>147772</v>
      </c>
      <c r="O30" s="177">
        <v>174495</v>
      </c>
      <c r="P30" s="186">
        <f t="shared" ref="P30:P35" si="6">SUM(D30:O30)/12</f>
        <v>201669.83333333334</v>
      </c>
      <c r="Q30" s="180">
        <f t="shared" ref="Q30:Q35" si="7">+P30/$P$44</f>
        <v>1.0857008268244648E-2</v>
      </c>
      <c r="R30" s="180">
        <f>+K30/$K$44</f>
        <v>1.0333641704056616E-2</v>
      </c>
      <c r="S30" s="180">
        <f>+D30/$D$44</f>
        <v>1.2126185855972402E-2</v>
      </c>
    </row>
    <row r="31" spans="1:19" s="174" customFormat="1" x14ac:dyDescent="0.2">
      <c r="A31" s="140" t="s">
        <v>34</v>
      </c>
      <c r="B31" s="175" t="s">
        <v>98</v>
      </c>
      <c r="C31" s="175" t="s">
        <v>78</v>
      </c>
      <c r="D31" s="176">
        <v>97571</v>
      </c>
      <c r="E31" s="177">
        <v>110218</v>
      </c>
      <c r="F31" s="177">
        <v>103301</v>
      </c>
      <c r="G31" s="177">
        <v>117445</v>
      </c>
      <c r="H31" s="177">
        <v>123481</v>
      </c>
      <c r="I31" s="177">
        <v>121995</v>
      </c>
      <c r="J31" s="177">
        <v>145446</v>
      </c>
      <c r="K31" s="178">
        <v>143143</v>
      </c>
      <c r="L31" s="177">
        <v>134477</v>
      </c>
      <c r="M31" s="177">
        <v>125289</v>
      </c>
      <c r="N31" s="177">
        <v>84874</v>
      </c>
      <c r="O31" s="177">
        <v>99138</v>
      </c>
      <c r="P31" s="179">
        <f t="shared" si="6"/>
        <v>117198.16666666667</v>
      </c>
      <c r="Q31" s="180">
        <f t="shared" si="7"/>
        <v>6.3094288495789616E-3</v>
      </c>
      <c r="R31" s="180">
        <f>+K31/$K$44</f>
        <v>6.621166566446182E-3</v>
      </c>
      <c r="S31" s="180">
        <f>+D31/$D$44</f>
        <v>5.2593251401466153E-3</v>
      </c>
    </row>
    <row r="32" spans="1:19" s="174" customFormat="1" x14ac:dyDescent="0.2">
      <c r="A32" s="140" t="s">
        <v>35</v>
      </c>
      <c r="B32" s="175" t="s">
        <v>99</v>
      </c>
      <c r="C32" s="175" t="s">
        <v>78</v>
      </c>
      <c r="D32" s="176">
        <v>45000</v>
      </c>
      <c r="E32" s="177">
        <v>45000</v>
      </c>
      <c r="F32" s="177">
        <v>45000</v>
      </c>
      <c r="G32" s="177">
        <v>45000</v>
      </c>
      <c r="H32" s="177">
        <v>45000</v>
      </c>
      <c r="I32" s="177">
        <v>45000</v>
      </c>
      <c r="J32" s="177">
        <v>45000</v>
      </c>
      <c r="K32" s="178">
        <v>45000</v>
      </c>
      <c r="L32" s="177">
        <v>45000</v>
      </c>
      <c r="M32" s="177">
        <v>45000</v>
      </c>
      <c r="N32" s="177">
        <v>45000</v>
      </c>
      <c r="O32" s="177">
        <v>45000</v>
      </c>
      <c r="P32" s="179">
        <f t="shared" si="6"/>
        <v>45000</v>
      </c>
      <c r="Q32" s="180">
        <f t="shared" si="7"/>
        <v>2.4226001677874931E-3</v>
      </c>
      <c r="R32" s="180">
        <f>+K32/$K$44</f>
        <v>2.0815023821638373E-3</v>
      </c>
      <c r="S32" s="180">
        <f>+D32/$D$44</f>
        <v>2.4256144890038808E-3</v>
      </c>
    </row>
    <row r="33" spans="1:19" s="174" customFormat="1" x14ac:dyDescent="0.2">
      <c r="A33" s="175" t="s">
        <v>40</v>
      </c>
      <c r="B33" s="175" t="s">
        <v>40</v>
      </c>
      <c r="C33" s="175" t="s">
        <v>78</v>
      </c>
      <c r="D33" s="176">
        <v>13129</v>
      </c>
      <c r="E33" s="177">
        <v>9782</v>
      </c>
      <c r="F33" s="177">
        <v>10638</v>
      </c>
      <c r="G33" s="177">
        <v>11027</v>
      </c>
      <c r="H33" s="177">
        <v>13132</v>
      </c>
      <c r="I33" s="177">
        <v>12251</v>
      </c>
      <c r="J33" s="177">
        <v>12666</v>
      </c>
      <c r="K33" s="178">
        <v>13210</v>
      </c>
      <c r="L33" s="177">
        <v>10827</v>
      </c>
      <c r="M33" s="177">
        <v>11498</v>
      </c>
      <c r="N33" s="177">
        <v>7682</v>
      </c>
      <c r="O33" s="177">
        <v>9140</v>
      </c>
      <c r="P33" s="179">
        <f t="shared" si="6"/>
        <v>11248.5</v>
      </c>
      <c r="Q33" s="180">
        <f t="shared" si="7"/>
        <v>6.0556928860794703E-4</v>
      </c>
      <c r="R33" s="180">
        <f t="shared" ref="R33:R34" si="8">+K33/$K$44</f>
        <v>6.110365881863176E-4</v>
      </c>
      <c r="S33" s="180">
        <f t="shared" ref="S33:S34" si="9">+D33/$D$44</f>
        <v>7.0768650280293233E-4</v>
      </c>
    </row>
    <row r="34" spans="1:19" s="174" customFormat="1" x14ac:dyDescent="0.2">
      <c r="A34" s="175" t="s">
        <v>33</v>
      </c>
      <c r="B34" s="175" t="s">
        <v>33</v>
      </c>
      <c r="C34" s="175" t="s">
        <v>78</v>
      </c>
      <c r="D34" s="176">
        <v>0</v>
      </c>
      <c r="E34" s="177">
        <v>0</v>
      </c>
      <c r="F34" s="177">
        <v>0</v>
      </c>
      <c r="G34" s="177">
        <v>0</v>
      </c>
      <c r="H34" s="177">
        <v>8313</v>
      </c>
      <c r="I34" s="177">
        <v>7717</v>
      </c>
      <c r="J34" s="177">
        <v>7540</v>
      </c>
      <c r="K34" s="178">
        <v>6239</v>
      </c>
      <c r="L34" s="177">
        <v>6691</v>
      </c>
      <c r="M34" s="177">
        <v>5957</v>
      </c>
      <c r="N34" s="177">
        <v>4439</v>
      </c>
      <c r="O34" s="177">
        <v>4700</v>
      </c>
      <c r="P34" s="179">
        <f t="shared" si="6"/>
        <v>4299.666666666667</v>
      </c>
      <c r="Q34" s="180">
        <f t="shared" si="7"/>
        <v>2.3147495973548798E-4</v>
      </c>
      <c r="R34" s="180">
        <f t="shared" si="8"/>
        <v>2.8858874138489293E-4</v>
      </c>
      <c r="S34" s="180">
        <f t="shared" si="9"/>
        <v>0</v>
      </c>
    </row>
    <row r="35" spans="1:19" s="174" customFormat="1" x14ac:dyDescent="0.2">
      <c r="A35" s="175" t="s">
        <v>100</v>
      </c>
      <c r="B35" s="175" t="s">
        <v>100</v>
      </c>
      <c r="C35" s="175" t="s">
        <v>78</v>
      </c>
      <c r="D35" s="176">
        <v>978</v>
      </c>
      <c r="E35" s="177">
        <v>920</v>
      </c>
      <c r="F35" s="177">
        <v>350</v>
      </c>
      <c r="G35" s="177">
        <v>570</v>
      </c>
      <c r="H35" s="177">
        <v>896</v>
      </c>
      <c r="I35" s="177">
        <v>898</v>
      </c>
      <c r="J35" s="177">
        <v>601</v>
      </c>
      <c r="K35" s="178">
        <v>363</v>
      </c>
      <c r="L35" s="177">
        <v>682</v>
      </c>
      <c r="M35" s="177">
        <v>301</v>
      </c>
      <c r="N35" s="177">
        <v>573</v>
      </c>
      <c r="O35" s="177">
        <v>660</v>
      </c>
      <c r="P35" s="179">
        <f t="shared" si="6"/>
        <v>649.33333333333337</v>
      </c>
      <c r="Q35" s="180">
        <f t="shared" si="7"/>
        <v>3.4957223161852127E-5</v>
      </c>
      <c r="R35" s="180">
        <f>+K35/$K$44</f>
        <v>1.6790785882788289E-5</v>
      </c>
      <c r="S35" s="180">
        <f>+D35/$D$44</f>
        <v>5.2716688227684344E-5</v>
      </c>
    </row>
    <row r="36" spans="1:19" s="174" customFormat="1" ht="12" x14ac:dyDescent="0.2"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</row>
    <row r="37" spans="1:19" s="174" customFormat="1" ht="12" x14ac:dyDescent="0.2">
      <c r="A37" s="174" t="s">
        <v>101</v>
      </c>
      <c r="D37" s="183">
        <f t="shared" ref="D37:P37" si="10">SUM(D29:D36)</f>
        <v>381643</v>
      </c>
      <c r="E37" s="183">
        <f t="shared" si="10"/>
        <v>344551</v>
      </c>
      <c r="F37" s="183">
        <f t="shared" si="10"/>
        <v>348313</v>
      </c>
      <c r="G37" s="183">
        <f t="shared" si="10"/>
        <v>379528</v>
      </c>
      <c r="H37" s="183">
        <f t="shared" si="10"/>
        <v>406677</v>
      </c>
      <c r="I37" s="183">
        <f t="shared" si="10"/>
        <v>393880</v>
      </c>
      <c r="J37" s="183">
        <f t="shared" si="10"/>
        <v>437920</v>
      </c>
      <c r="K37" s="183">
        <f t="shared" si="10"/>
        <v>431358</v>
      </c>
      <c r="L37" s="183">
        <f t="shared" si="10"/>
        <v>413494</v>
      </c>
      <c r="M37" s="183">
        <f t="shared" si="10"/>
        <v>399949</v>
      </c>
      <c r="N37" s="183">
        <f t="shared" si="10"/>
        <v>290340</v>
      </c>
      <c r="O37" s="183">
        <f t="shared" si="10"/>
        <v>333133</v>
      </c>
      <c r="P37" s="183">
        <f t="shared" si="10"/>
        <v>380065.5</v>
      </c>
      <c r="Q37" s="184">
        <f>+P37/$P$44</f>
        <v>2.0461038757116388E-2</v>
      </c>
      <c r="R37" s="184">
        <f>+K37/$K$44</f>
        <v>1.9952726768120634E-2</v>
      </c>
      <c r="S37" s="184">
        <f>+D37/$D$44</f>
        <v>2.0571528676153514E-2</v>
      </c>
    </row>
    <row r="38" spans="1:19" s="174" customFormat="1" ht="12" x14ac:dyDescent="0.2"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</row>
    <row r="39" spans="1:19" s="174" customFormat="1" ht="12" x14ac:dyDescent="0.2">
      <c r="A39" s="174" t="s">
        <v>102</v>
      </c>
      <c r="D39" s="182">
        <f t="shared" ref="D39:P39" si="11">+D28+D37</f>
        <v>17119318</v>
      </c>
      <c r="E39" s="182">
        <f t="shared" si="11"/>
        <v>14579110</v>
      </c>
      <c r="F39" s="182">
        <f t="shared" si="11"/>
        <v>14426875</v>
      </c>
      <c r="G39" s="182">
        <f t="shared" si="11"/>
        <v>17437670</v>
      </c>
      <c r="H39" s="182">
        <f t="shared" si="11"/>
        <v>16769259</v>
      </c>
      <c r="I39" s="182">
        <f t="shared" si="11"/>
        <v>19266187</v>
      </c>
      <c r="J39" s="182">
        <f t="shared" si="11"/>
        <v>19379931</v>
      </c>
      <c r="K39" s="182">
        <f>+K28+K37</f>
        <v>19981271</v>
      </c>
      <c r="L39" s="182">
        <f t="shared" si="11"/>
        <v>19117221</v>
      </c>
      <c r="M39" s="182">
        <f t="shared" si="11"/>
        <v>18774435</v>
      </c>
      <c r="N39" s="182">
        <f t="shared" si="11"/>
        <v>14902609</v>
      </c>
      <c r="O39" s="182">
        <f t="shared" si="11"/>
        <v>14251681</v>
      </c>
      <c r="P39" s="182">
        <f t="shared" si="11"/>
        <v>17167130.583333332</v>
      </c>
      <c r="Q39" s="180">
        <f>+P39/$P$44</f>
        <v>0.92420207625806972</v>
      </c>
      <c r="R39" s="180">
        <f>+K39/$K$44</f>
        <v>0.92424584855913783</v>
      </c>
      <c r="S39" s="180">
        <f t="shared" ref="S39" si="12">+D39/$D$44</f>
        <v>0.92277479517033201</v>
      </c>
    </row>
    <row r="40" spans="1:19" s="174" customFormat="1" ht="12" x14ac:dyDescent="0.2">
      <c r="A40" s="187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</row>
    <row r="41" spans="1:19" s="192" customFormat="1" ht="22.5" customHeight="1" x14ac:dyDescent="0.2">
      <c r="A41" s="188" t="s">
        <v>103</v>
      </c>
      <c r="B41" s="189"/>
      <c r="C41" s="189"/>
      <c r="D41" s="190">
        <f t="shared" ref="D41:O41" si="13">(+D39*1.07673970931335)-D39</f>
        <v>1313731.486962799</v>
      </c>
      <c r="E41" s="190">
        <f t="shared" si="13"/>
        <v>1118796.663447354</v>
      </c>
      <c r="F41" s="190">
        <f t="shared" si="13"/>
        <v>1107114.1938000359</v>
      </c>
      <c r="G41" s="190">
        <f t="shared" si="13"/>
        <v>1338161.7269021235</v>
      </c>
      <c r="H41" s="190">
        <f t="shared" si="13"/>
        <v>1286868.0610602759</v>
      </c>
      <c r="I41" s="190">
        <f t="shared" si="13"/>
        <v>1478481.5899566412</v>
      </c>
      <c r="J41" s="190">
        <f t="shared" si="13"/>
        <v>1487210.2714527808</v>
      </c>
      <c r="K41" s="190">
        <f t="shared" si="13"/>
        <v>1533356.9282512702</v>
      </c>
      <c r="L41" s="190">
        <f t="shared" si="13"/>
        <v>1467049.9824190699</v>
      </c>
      <c r="M41" s="190">
        <f t="shared" si="13"/>
        <v>1440744.6844223849</v>
      </c>
      <c r="N41" s="190">
        <f t="shared" si="13"/>
        <v>1143621.8826705124</v>
      </c>
      <c r="O41" s="190">
        <f t="shared" si="13"/>
        <v>1093669.857166592</v>
      </c>
      <c r="P41" s="191">
        <f t="shared" ref="P41" si="14">(+P39*1.08537093788614)-P39</f>
        <v>1465574.0387130044</v>
      </c>
      <c r="Q41" s="180">
        <f>+P41/$P$44</f>
        <v>7.88999980464693E-2</v>
      </c>
      <c r="R41" s="180">
        <f>+K41/$K$44</f>
        <v>7.0926357752498739E-2</v>
      </c>
      <c r="S41" s="180">
        <f t="shared" ref="S41:S42" si="15">+D41/$D$44</f>
        <v>7.0813469543057297E-2</v>
      </c>
    </row>
    <row r="42" spans="1:19" s="174" customFormat="1" ht="19.5" customHeight="1" x14ac:dyDescent="0.2">
      <c r="A42" s="174" t="s">
        <v>104</v>
      </c>
      <c r="D42" s="191">
        <f t="shared" ref="D42:P42" si="16">+D44-D39-D41</f>
        <v>118950.51303720102</v>
      </c>
      <c r="E42" s="191">
        <f t="shared" si="16"/>
        <v>-1214906.663447354</v>
      </c>
      <c r="F42" s="191">
        <f t="shared" si="16"/>
        <v>554010.80619996414</v>
      </c>
      <c r="G42" s="191">
        <f t="shared" si="16"/>
        <v>839168.27309787646</v>
      </c>
      <c r="H42" s="191">
        <f t="shared" si="16"/>
        <v>1690872.9389397241</v>
      </c>
      <c r="I42" s="191">
        <f t="shared" si="16"/>
        <v>477331.4100433588</v>
      </c>
      <c r="J42" s="191">
        <f t="shared" si="16"/>
        <v>509858.72854721919</v>
      </c>
      <c r="K42" s="191">
        <f t="shared" si="16"/>
        <v>104372.0717487298</v>
      </c>
      <c r="L42" s="191">
        <f t="shared" si="16"/>
        <v>-549270.98241906986</v>
      </c>
      <c r="M42" s="191">
        <f t="shared" si="16"/>
        <v>-1458179.6844223849</v>
      </c>
      <c r="N42" s="191">
        <f t="shared" si="16"/>
        <v>784769.11732948758</v>
      </c>
      <c r="O42" s="191">
        <f t="shared" si="16"/>
        <v>-770350.85716659203</v>
      </c>
      <c r="P42" s="191">
        <f t="shared" si="16"/>
        <v>-57621.28871300444</v>
      </c>
      <c r="Q42" s="180">
        <f>+P42/$P$44</f>
        <v>-3.1020743045390253E-3</v>
      </c>
      <c r="R42" s="180">
        <f>+K42/$K$44</f>
        <v>4.8277936883634673E-3</v>
      </c>
      <c r="S42" s="180">
        <f t="shared" si="15"/>
        <v>6.4117352866106632E-3</v>
      </c>
    </row>
    <row r="43" spans="1:19" s="174" customFormat="1" ht="12" x14ac:dyDescent="0.2"/>
    <row r="44" spans="1:19" s="174" customFormat="1" thickBot="1" x14ac:dyDescent="0.25">
      <c r="A44" s="174" t="s">
        <v>105</v>
      </c>
      <c r="D44" s="193">
        <v>18552000</v>
      </c>
      <c r="E44" s="194">
        <v>14483000</v>
      </c>
      <c r="F44" s="194">
        <v>16088000</v>
      </c>
      <c r="G44" s="194">
        <v>19615000</v>
      </c>
      <c r="H44" s="194">
        <v>19747000</v>
      </c>
      <c r="I44" s="194">
        <v>21222000</v>
      </c>
      <c r="J44" s="194">
        <v>21377000</v>
      </c>
      <c r="K44" s="195">
        <v>21619000</v>
      </c>
      <c r="L44" s="194">
        <v>20035000</v>
      </c>
      <c r="M44" s="194">
        <v>18757000</v>
      </c>
      <c r="N44" s="194">
        <v>16831000</v>
      </c>
      <c r="O44" s="194">
        <v>14575000</v>
      </c>
      <c r="P44" s="194">
        <f>SUM(D44:O44)/12</f>
        <v>18575083.333333332</v>
      </c>
      <c r="Q44" s="196">
        <f>+P44/$P$44</f>
        <v>1</v>
      </c>
      <c r="R44" s="196">
        <f>+I44/$I$44</f>
        <v>1</v>
      </c>
      <c r="S44" s="196">
        <f>+E44/$E$44</f>
        <v>1</v>
      </c>
    </row>
    <row r="45" spans="1:19" ht="13.5" thickTop="1" x14ac:dyDescent="0.2"/>
  </sheetData>
  <pageMargins left="0.5" right="0.5" top="1" bottom="1" header="0.5" footer="0.5"/>
  <pageSetup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S60"/>
  <sheetViews>
    <sheetView zoomScaleNormal="100" zoomScaleSheetLayoutView="75" workbookViewId="0">
      <selection activeCell="A2" sqref="A2"/>
    </sheetView>
  </sheetViews>
  <sheetFormatPr defaultColWidth="9.140625" defaultRowHeight="12.75" x14ac:dyDescent="0.2"/>
  <cols>
    <col min="1" max="1" width="22.7109375" style="175" customWidth="1"/>
    <col min="2" max="2" width="10" style="175" customWidth="1"/>
    <col min="3" max="3" width="6.85546875" style="175" customWidth="1"/>
    <col min="4" max="7" width="11.7109375" style="175" customWidth="1"/>
    <col min="8" max="8" width="12.7109375" style="175" customWidth="1"/>
    <col min="9" max="9" width="12.28515625" style="175" customWidth="1"/>
    <col min="10" max="10" width="12.28515625" style="175" bestFit="1" customWidth="1"/>
    <col min="11" max="12" width="11.7109375" style="175" customWidth="1"/>
    <col min="13" max="13" width="12.28515625" style="175" customWidth="1"/>
    <col min="14" max="15" width="11.7109375" style="175" customWidth="1"/>
    <col min="16" max="16" width="10.7109375" style="175" customWidth="1"/>
    <col min="17" max="19" width="8.7109375" style="175" customWidth="1"/>
    <col min="20" max="16384" width="9.140625" style="175"/>
  </cols>
  <sheetData>
    <row r="1" spans="1:19" ht="15" x14ac:dyDescent="0.25">
      <c r="A1" s="324" t="s">
        <v>211</v>
      </c>
    </row>
    <row r="2" spans="1:19" ht="15" x14ac:dyDescent="0.25">
      <c r="A2" s="324" t="s">
        <v>206</v>
      </c>
    </row>
    <row r="3" spans="1:19" s="154" customFormat="1" ht="20.25" x14ac:dyDescent="0.3">
      <c r="A3" s="152" t="s">
        <v>106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153"/>
    </row>
    <row r="4" spans="1:19" s="154" customFormat="1" ht="12" thickBot="1" x14ac:dyDescent="0.25"/>
    <row r="5" spans="1:19" s="162" customFormat="1" thickBot="1" x14ac:dyDescent="0.25">
      <c r="A5" s="155"/>
      <c r="B5" s="156"/>
      <c r="C5" s="156"/>
      <c r="D5" s="157">
        <v>41275</v>
      </c>
      <c r="E5" s="157">
        <v>41306</v>
      </c>
      <c r="F5" s="157">
        <v>41334</v>
      </c>
      <c r="G5" s="157">
        <v>41365</v>
      </c>
      <c r="H5" s="157">
        <v>41395</v>
      </c>
      <c r="I5" s="157">
        <v>41426</v>
      </c>
      <c r="J5" s="157">
        <v>41456</v>
      </c>
      <c r="K5" s="157">
        <v>41487</v>
      </c>
      <c r="L5" s="157">
        <v>41518</v>
      </c>
      <c r="M5" s="157">
        <v>41548</v>
      </c>
      <c r="N5" s="157">
        <v>41579</v>
      </c>
      <c r="O5" s="157">
        <v>41609</v>
      </c>
      <c r="P5" s="158"/>
      <c r="Q5" s="159"/>
      <c r="R5" s="160"/>
      <c r="S5" s="161"/>
    </row>
    <row r="6" spans="1:19" s="169" customFormat="1" ht="36" x14ac:dyDescent="0.2">
      <c r="A6" s="163" t="s">
        <v>68</v>
      </c>
      <c r="B6" s="164"/>
      <c r="C6" s="164"/>
      <c r="D6" s="165">
        <v>40912</v>
      </c>
      <c r="E6" s="165">
        <v>40963</v>
      </c>
      <c r="F6" s="165">
        <v>40990</v>
      </c>
      <c r="G6" s="165">
        <v>41003</v>
      </c>
      <c r="H6" s="165">
        <v>41059</v>
      </c>
      <c r="I6" s="165">
        <v>41064</v>
      </c>
      <c r="J6" s="165">
        <v>41116</v>
      </c>
      <c r="K6" s="165">
        <v>41130</v>
      </c>
      <c r="L6" s="165">
        <v>41153</v>
      </c>
      <c r="M6" s="165">
        <v>41187</v>
      </c>
      <c r="N6" s="165">
        <v>41225</v>
      </c>
      <c r="O6" s="165">
        <v>41253</v>
      </c>
      <c r="P6" s="166"/>
      <c r="Q6" s="167" t="s">
        <v>69</v>
      </c>
      <c r="R6" s="166" t="s">
        <v>69</v>
      </c>
      <c r="S6" s="168" t="s">
        <v>69</v>
      </c>
    </row>
    <row r="7" spans="1:19" s="169" customFormat="1" ht="12" x14ac:dyDescent="0.2">
      <c r="A7" s="163" t="s">
        <v>70</v>
      </c>
      <c r="B7" s="164"/>
      <c r="C7" s="164"/>
      <c r="D7" s="170" t="str">
        <f t="shared" ref="D7:O7" si="0">IF(WEEKDAY(D6,2)=1,"Monday",IF(WEEKDAY(D6,2)=2,"Tuesday",IF(WEEKDAY(D6,2)=3,"Wednesday",IF(WEEKDAY(D6,2)=4,"Thursday",IF(WEEKDAY(D6,2)=5,"Friday",IF(WEEKDAY(D6,2)=6,"Saturday","Sunday"))))))</f>
        <v>Wednesday</v>
      </c>
      <c r="E7" s="170" t="str">
        <f t="shared" si="0"/>
        <v>Friday</v>
      </c>
      <c r="F7" s="170" t="str">
        <f t="shared" si="0"/>
        <v>Thursday</v>
      </c>
      <c r="G7" s="170" t="str">
        <f t="shared" si="0"/>
        <v>Wednesday</v>
      </c>
      <c r="H7" s="170" t="str">
        <f t="shared" si="0"/>
        <v>Wednesday</v>
      </c>
      <c r="I7" s="170" t="str">
        <f t="shared" si="0"/>
        <v>Monday</v>
      </c>
      <c r="J7" s="170" t="str">
        <f t="shared" si="0"/>
        <v>Thursday</v>
      </c>
      <c r="K7" s="170" t="str">
        <f t="shared" si="0"/>
        <v>Thursday</v>
      </c>
      <c r="L7" s="170" t="str">
        <f t="shared" si="0"/>
        <v>Saturday</v>
      </c>
      <c r="M7" s="170" t="str">
        <f t="shared" si="0"/>
        <v>Friday</v>
      </c>
      <c r="N7" s="170" t="str">
        <f t="shared" si="0"/>
        <v>Monday</v>
      </c>
      <c r="O7" s="170" t="str">
        <f t="shared" si="0"/>
        <v>Monday</v>
      </c>
      <c r="P7" s="166" t="s">
        <v>66</v>
      </c>
      <c r="Q7" s="167" t="s">
        <v>71</v>
      </c>
      <c r="R7" s="166" t="s">
        <v>72</v>
      </c>
      <c r="S7" s="171" t="s">
        <v>73</v>
      </c>
    </row>
    <row r="8" spans="1:19" s="169" customFormat="1" thickBot="1" x14ac:dyDescent="0.25">
      <c r="A8" s="163" t="s">
        <v>74</v>
      </c>
      <c r="B8" s="164"/>
      <c r="C8" s="164"/>
      <c r="D8" s="172">
        <v>0.33333333333333331</v>
      </c>
      <c r="E8" s="172">
        <v>0.66666666666666663</v>
      </c>
      <c r="F8" s="172">
        <v>0.70833333333333337</v>
      </c>
      <c r="G8" s="172">
        <v>0.75</v>
      </c>
      <c r="H8" s="172">
        <v>0.70833333333333337</v>
      </c>
      <c r="I8" s="172">
        <v>0.70833333333333337</v>
      </c>
      <c r="J8" s="172">
        <v>0.70833333333333337</v>
      </c>
      <c r="K8" s="172">
        <v>0.70833333333333337</v>
      </c>
      <c r="L8" s="172">
        <v>0.70833333333333337</v>
      </c>
      <c r="M8" s="172">
        <v>0.66666666666666663</v>
      </c>
      <c r="N8" s="172">
        <v>0.79166666666666663</v>
      </c>
      <c r="O8" s="172">
        <v>0.79166666666666663</v>
      </c>
      <c r="P8" s="166" t="s">
        <v>75</v>
      </c>
      <c r="Q8" s="167" t="s">
        <v>76</v>
      </c>
      <c r="R8" s="166" t="s">
        <v>76</v>
      </c>
      <c r="S8" s="171" t="s">
        <v>76</v>
      </c>
    </row>
    <row r="9" spans="1:19" s="174" customFormat="1" thickTop="1" x14ac:dyDescent="0.2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</row>
    <row r="10" spans="1:19" s="174" customFormat="1" x14ac:dyDescent="0.2">
      <c r="A10" s="175" t="s">
        <v>28</v>
      </c>
      <c r="B10" s="175" t="s">
        <v>77</v>
      </c>
      <c r="C10" s="175" t="s">
        <v>78</v>
      </c>
      <c r="D10" s="177">
        <v>7502823</v>
      </c>
      <c r="E10" s="177">
        <v>7648044</v>
      </c>
      <c r="F10" s="177">
        <v>8597070</v>
      </c>
      <c r="G10" s="177">
        <v>8461719</v>
      </c>
      <c r="H10" s="177">
        <v>10319502</v>
      </c>
      <c r="I10" s="177">
        <v>10746876</v>
      </c>
      <c r="J10" s="177">
        <v>10588266</v>
      </c>
      <c r="K10" s="178">
        <v>11362260</v>
      </c>
      <c r="L10" s="177">
        <v>12216969</v>
      </c>
      <c r="M10" s="177">
        <v>10166633</v>
      </c>
      <c r="N10" s="176">
        <v>9647121</v>
      </c>
      <c r="O10" s="177">
        <v>8039326</v>
      </c>
      <c r="P10" s="179">
        <f t="shared" ref="P10:P26" si="1">SUM(D10:O10)/12</f>
        <v>9608050.75</v>
      </c>
      <c r="Q10" s="180">
        <f t="shared" ref="Q10:Q26" si="2">+P10/$P$44</f>
        <v>0.52058755881051499</v>
      </c>
      <c r="R10" s="180">
        <f t="shared" ref="R10:R26" si="3">+K10/$K$44</f>
        <v>0.52661568409343718</v>
      </c>
      <c r="S10" s="180">
        <f t="shared" ref="S10:S26" si="4">+D10/$D$44</f>
        <v>0.49572666005946481</v>
      </c>
    </row>
    <row r="11" spans="1:19" s="174" customFormat="1" x14ac:dyDescent="0.2">
      <c r="A11" s="175" t="s">
        <v>20</v>
      </c>
      <c r="B11" s="175" t="s">
        <v>79</v>
      </c>
      <c r="C11" s="175" t="s">
        <v>78</v>
      </c>
      <c r="D11" s="177">
        <v>3400470</v>
      </c>
      <c r="E11" s="177">
        <v>3835690</v>
      </c>
      <c r="F11" s="177">
        <v>2036681</v>
      </c>
      <c r="G11" s="177">
        <v>3585846</v>
      </c>
      <c r="H11" s="177">
        <v>3821051</v>
      </c>
      <c r="I11" s="177">
        <v>3997871</v>
      </c>
      <c r="J11" s="177">
        <v>4076255</v>
      </c>
      <c r="K11" s="178">
        <v>4126683</v>
      </c>
      <c r="L11" s="177">
        <v>4609471</v>
      </c>
      <c r="M11" s="177">
        <v>3784508</v>
      </c>
      <c r="N11" s="176">
        <v>3887127</v>
      </c>
      <c r="O11" s="177">
        <v>3608376</v>
      </c>
      <c r="P11" s="179">
        <f t="shared" si="1"/>
        <v>3730835.75</v>
      </c>
      <c r="Q11" s="180">
        <f t="shared" si="2"/>
        <v>0.2021457552579535</v>
      </c>
      <c r="R11" s="180">
        <f t="shared" si="3"/>
        <v>0.19126265294771969</v>
      </c>
      <c r="S11" s="180">
        <f t="shared" si="4"/>
        <v>0.22467591674925669</v>
      </c>
    </row>
    <row r="12" spans="1:19" s="174" customFormat="1" x14ac:dyDescent="0.2">
      <c r="A12" s="175" t="s">
        <v>21</v>
      </c>
      <c r="B12" s="175" t="s">
        <v>80</v>
      </c>
      <c r="C12" s="175" t="s">
        <v>78</v>
      </c>
      <c r="D12" s="177">
        <v>1424053</v>
      </c>
      <c r="E12" s="177">
        <v>1767164</v>
      </c>
      <c r="F12" s="177">
        <v>1111330</v>
      </c>
      <c r="G12" s="177">
        <v>1521966</v>
      </c>
      <c r="H12" s="177">
        <v>1590541</v>
      </c>
      <c r="I12" s="177">
        <v>1685665</v>
      </c>
      <c r="J12" s="177">
        <v>1579438</v>
      </c>
      <c r="K12" s="178">
        <v>1652843</v>
      </c>
      <c r="L12" s="177">
        <v>1914669</v>
      </c>
      <c r="M12" s="177">
        <v>1634090</v>
      </c>
      <c r="N12" s="176">
        <v>1665404</v>
      </c>
      <c r="O12" s="177">
        <v>1431741</v>
      </c>
      <c r="P12" s="179">
        <f t="shared" si="1"/>
        <v>1581575.3333333333</v>
      </c>
      <c r="Q12" s="180">
        <f t="shared" si="2"/>
        <v>8.5693598345629729E-2</v>
      </c>
      <c r="R12" s="180">
        <f t="shared" si="3"/>
        <v>7.6605626622172782E-2</v>
      </c>
      <c r="S12" s="180">
        <f t="shared" si="4"/>
        <v>9.4090056161215727E-2</v>
      </c>
    </row>
    <row r="13" spans="1:19" s="174" customFormat="1" x14ac:dyDescent="0.2">
      <c r="A13" s="175" t="s">
        <v>24</v>
      </c>
      <c r="B13" s="175" t="s">
        <v>107</v>
      </c>
      <c r="C13" s="175" t="s">
        <v>78</v>
      </c>
      <c r="D13" s="177">
        <v>754646</v>
      </c>
      <c r="E13" s="177">
        <v>1050096</v>
      </c>
      <c r="F13" s="177">
        <v>398652</v>
      </c>
      <c r="G13" s="177">
        <v>978298</v>
      </c>
      <c r="H13" s="177">
        <v>1041044</v>
      </c>
      <c r="I13" s="177">
        <v>1138091</v>
      </c>
      <c r="J13" s="177">
        <v>1153225</v>
      </c>
      <c r="K13" s="178">
        <v>1181251</v>
      </c>
      <c r="L13" s="177">
        <v>1343042</v>
      </c>
      <c r="M13" s="177">
        <v>1049601</v>
      </c>
      <c r="N13" s="176">
        <v>1086417</v>
      </c>
      <c r="O13" s="177">
        <v>1023217</v>
      </c>
      <c r="P13" s="179">
        <f t="shared" si="1"/>
        <v>1016465</v>
      </c>
      <c r="Q13" s="180">
        <f t="shared" si="2"/>
        <v>5.5074545996369774E-2</v>
      </c>
      <c r="R13" s="180">
        <f t="shared" si="3"/>
        <v>5.4748377827215422E-2</v>
      </c>
      <c r="S13" s="180">
        <f t="shared" si="4"/>
        <v>4.9860984473075652E-2</v>
      </c>
    </row>
    <row r="14" spans="1:19" s="174" customFormat="1" x14ac:dyDescent="0.2">
      <c r="A14" s="175" t="s">
        <v>17</v>
      </c>
      <c r="B14" s="175" t="s">
        <v>82</v>
      </c>
      <c r="C14" s="175" t="s">
        <v>78</v>
      </c>
      <c r="D14" s="177">
        <v>352593</v>
      </c>
      <c r="E14" s="177">
        <v>392112</v>
      </c>
      <c r="F14" s="177">
        <v>288381</v>
      </c>
      <c r="G14" s="177">
        <v>349139</v>
      </c>
      <c r="H14" s="177">
        <v>352811</v>
      </c>
      <c r="I14" s="177">
        <v>378979</v>
      </c>
      <c r="J14" s="177">
        <v>352513</v>
      </c>
      <c r="K14" s="178">
        <v>369960</v>
      </c>
      <c r="L14" s="177">
        <v>402957</v>
      </c>
      <c r="M14" s="177">
        <v>356598</v>
      </c>
      <c r="N14" s="176">
        <v>360840</v>
      </c>
      <c r="O14" s="177">
        <v>346680</v>
      </c>
      <c r="P14" s="179">
        <f t="shared" si="1"/>
        <v>358630.25</v>
      </c>
      <c r="Q14" s="180">
        <f t="shared" si="2"/>
        <v>1.9431459223204529E-2</v>
      </c>
      <c r="R14" s="180">
        <f t="shared" si="3"/>
        <v>1.7146829810901001E-2</v>
      </c>
      <c r="S14" s="180">
        <f t="shared" si="4"/>
        <v>2.3296531219028742E-2</v>
      </c>
    </row>
    <row r="15" spans="1:19" s="174" customFormat="1" x14ac:dyDescent="0.2">
      <c r="A15" s="181" t="s">
        <v>22</v>
      </c>
      <c r="B15" s="175" t="s">
        <v>83</v>
      </c>
      <c r="C15" s="175" t="s">
        <v>78</v>
      </c>
      <c r="D15" s="177">
        <v>300247</v>
      </c>
      <c r="E15" s="177">
        <v>348274</v>
      </c>
      <c r="F15" s="177">
        <v>220574</v>
      </c>
      <c r="G15" s="177">
        <v>295288</v>
      </c>
      <c r="H15" s="177">
        <v>305594</v>
      </c>
      <c r="I15" s="177">
        <v>325176</v>
      </c>
      <c r="J15" s="177">
        <v>318165</v>
      </c>
      <c r="K15" s="178">
        <v>326115</v>
      </c>
      <c r="L15" s="177">
        <v>339631</v>
      </c>
      <c r="M15" s="177">
        <v>310951</v>
      </c>
      <c r="N15" s="176">
        <v>339263</v>
      </c>
      <c r="O15" s="177">
        <v>317599</v>
      </c>
      <c r="P15" s="179">
        <f t="shared" si="1"/>
        <v>312239.75</v>
      </c>
      <c r="Q15" s="180">
        <f t="shared" si="2"/>
        <v>1.6917909099939496E-2</v>
      </c>
      <c r="R15" s="180">
        <f t="shared" si="3"/>
        <v>1.5114710789766407E-2</v>
      </c>
      <c r="S15" s="180">
        <f t="shared" si="4"/>
        <v>1.9837925338619094E-2</v>
      </c>
    </row>
    <row r="16" spans="1:19" s="174" customFormat="1" x14ac:dyDescent="0.2">
      <c r="A16" s="175" t="s">
        <v>19</v>
      </c>
      <c r="B16" s="175" t="s">
        <v>84</v>
      </c>
      <c r="C16" s="175" t="s">
        <v>78</v>
      </c>
      <c r="D16" s="177">
        <v>138470</v>
      </c>
      <c r="E16" s="177">
        <v>159868</v>
      </c>
      <c r="F16" s="177">
        <v>159962</v>
      </c>
      <c r="G16" s="177">
        <v>159791</v>
      </c>
      <c r="H16" s="177">
        <v>151128</v>
      </c>
      <c r="I16" s="177">
        <v>154061</v>
      </c>
      <c r="J16" s="177">
        <v>144778</v>
      </c>
      <c r="K16" s="178">
        <v>183374</v>
      </c>
      <c r="L16" s="177">
        <v>157680</v>
      </c>
      <c r="M16" s="177">
        <v>147298</v>
      </c>
      <c r="N16" s="176">
        <v>172686</v>
      </c>
      <c r="O16" s="177">
        <v>162618</v>
      </c>
      <c r="P16" s="179">
        <f t="shared" si="1"/>
        <v>157642.83333333334</v>
      </c>
      <c r="Q16" s="180">
        <f t="shared" si="2"/>
        <v>8.5414721366842156E-3</v>
      </c>
      <c r="R16" s="180">
        <f t="shared" si="3"/>
        <v>8.4989803485354103E-3</v>
      </c>
      <c r="S16" s="180">
        <f t="shared" si="4"/>
        <v>9.1489924017178724E-3</v>
      </c>
    </row>
    <row r="17" spans="1:19" s="174" customFormat="1" x14ac:dyDescent="0.2">
      <c r="A17" s="181" t="s">
        <v>18</v>
      </c>
      <c r="B17" s="175" t="s">
        <v>86</v>
      </c>
      <c r="C17" s="175" t="s">
        <v>78</v>
      </c>
      <c r="D17" s="177">
        <v>22904</v>
      </c>
      <c r="E17" s="177">
        <v>25415</v>
      </c>
      <c r="F17" s="177">
        <v>19855</v>
      </c>
      <c r="G17" s="177">
        <v>24128</v>
      </c>
      <c r="H17" s="177">
        <v>24322</v>
      </c>
      <c r="I17" s="177">
        <v>25542</v>
      </c>
      <c r="J17" s="177">
        <v>24618</v>
      </c>
      <c r="K17" s="178">
        <v>24725</v>
      </c>
      <c r="L17" s="177">
        <v>27282</v>
      </c>
      <c r="M17" s="177">
        <v>24342</v>
      </c>
      <c r="N17" s="176">
        <v>24343</v>
      </c>
      <c r="O17" s="177">
        <v>23790</v>
      </c>
      <c r="P17" s="179">
        <f t="shared" si="1"/>
        <v>24272.166666666668</v>
      </c>
      <c r="Q17" s="180">
        <f t="shared" si="2"/>
        <v>1.3151250259624155E-3</v>
      </c>
      <c r="R17" s="180">
        <f t="shared" si="3"/>
        <v>1.1459492028179459E-3</v>
      </c>
      <c r="S17" s="180">
        <f t="shared" si="4"/>
        <v>1.5133135117277833E-3</v>
      </c>
    </row>
    <row r="18" spans="1:19" s="174" customFormat="1" x14ac:dyDescent="0.2">
      <c r="A18" s="181" t="s">
        <v>23</v>
      </c>
      <c r="B18" s="175" t="s">
        <v>85</v>
      </c>
      <c r="C18" s="175" t="s">
        <v>78</v>
      </c>
      <c r="D18" s="177">
        <v>21218</v>
      </c>
      <c r="E18" s="177">
        <v>22443</v>
      </c>
      <c r="F18" s="177">
        <v>17560</v>
      </c>
      <c r="G18" s="177">
        <v>20825</v>
      </c>
      <c r="H18" s="177">
        <v>20842</v>
      </c>
      <c r="I18" s="177">
        <v>17412</v>
      </c>
      <c r="J18" s="177">
        <v>18672</v>
      </c>
      <c r="K18" s="178">
        <v>19979</v>
      </c>
      <c r="L18" s="177">
        <v>15656</v>
      </c>
      <c r="M18" s="177">
        <v>19224</v>
      </c>
      <c r="N18" s="176">
        <v>15892</v>
      </c>
      <c r="O18" s="177">
        <v>16874</v>
      </c>
      <c r="P18" s="179">
        <f t="shared" si="1"/>
        <v>18883.083333333332</v>
      </c>
      <c r="Q18" s="180">
        <f t="shared" si="2"/>
        <v>1.0231313833677994E-3</v>
      </c>
      <c r="R18" s="180">
        <f t="shared" si="3"/>
        <v>9.2598257322951431E-4</v>
      </c>
      <c r="S18" s="180">
        <f t="shared" si="4"/>
        <v>1.4019160885365047E-3</v>
      </c>
    </row>
    <row r="19" spans="1:19" s="174" customFormat="1" x14ac:dyDescent="0.2">
      <c r="A19" s="175" t="s">
        <v>62</v>
      </c>
      <c r="B19" s="175" t="s">
        <v>62</v>
      </c>
      <c r="C19" s="175" t="s">
        <v>78</v>
      </c>
      <c r="D19" s="177">
        <v>13191</v>
      </c>
      <c r="E19" s="177">
        <v>12593</v>
      </c>
      <c r="F19" s="177">
        <v>13229</v>
      </c>
      <c r="G19" s="177">
        <v>13472</v>
      </c>
      <c r="H19" s="177">
        <v>14346</v>
      </c>
      <c r="I19" s="177">
        <v>15187</v>
      </c>
      <c r="J19" s="177">
        <v>13941</v>
      </c>
      <c r="K19" s="178">
        <v>14588</v>
      </c>
      <c r="L19" s="177">
        <v>13812</v>
      </c>
      <c r="M19" s="177">
        <v>13361</v>
      </c>
      <c r="N19" s="176">
        <v>14598</v>
      </c>
      <c r="O19" s="177">
        <v>11975</v>
      </c>
      <c r="P19" s="179">
        <f t="shared" si="1"/>
        <v>13691.083333333334</v>
      </c>
      <c r="Q19" s="180">
        <f t="shared" si="2"/>
        <v>7.4181619512899929E-4</v>
      </c>
      <c r="R19" s="180">
        <f t="shared" si="3"/>
        <v>6.7612161661104934E-4</v>
      </c>
      <c r="S19" s="180">
        <f t="shared" si="4"/>
        <v>8.7155599603567894E-4</v>
      </c>
    </row>
    <row r="20" spans="1:19" s="174" customFormat="1" x14ac:dyDescent="0.2">
      <c r="A20" s="175" t="s">
        <v>88</v>
      </c>
      <c r="B20" s="175" t="s">
        <v>89</v>
      </c>
      <c r="C20" s="175" t="s">
        <v>78</v>
      </c>
      <c r="D20" s="177">
        <v>7248</v>
      </c>
      <c r="E20" s="177">
        <v>10801</v>
      </c>
      <c r="F20" s="177">
        <v>1220</v>
      </c>
      <c r="G20" s="177">
        <v>10174</v>
      </c>
      <c r="H20" s="177">
        <v>7890</v>
      </c>
      <c r="I20" s="177">
        <v>10984</v>
      </c>
      <c r="J20" s="177">
        <v>3236</v>
      </c>
      <c r="K20" s="178">
        <v>2649</v>
      </c>
      <c r="L20" s="177">
        <v>1979</v>
      </c>
      <c r="M20" s="177">
        <v>14105</v>
      </c>
      <c r="N20" s="176">
        <v>17325</v>
      </c>
      <c r="O20" s="177">
        <v>15573</v>
      </c>
      <c r="P20" s="179">
        <f t="shared" si="1"/>
        <v>8598.6666666666661</v>
      </c>
      <c r="Q20" s="180">
        <f t="shared" si="2"/>
        <v>4.6589667410170034E-4</v>
      </c>
      <c r="R20" s="180">
        <f t="shared" si="3"/>
        <v>1.2277530589543937E-4</v>
      </c>
      <c r="S20" s="180">
        <f t="shared" si="4"/>
        <v>4.7888999008919723E-4</v>
      </c>
    </row>
    <row r="21" spans="1:19" s="174" customFormat="1" x14ac:dyDescent="0.2">
      <c r="A21" s="175" t="s">
        <v>29</v>
      </c>
      <c r="B21" s="175" t="s">
        <v>87</v>
      </c>
      <c r="C21" s="175" t="s">
        <v>78</v>
      </c>
      <c r="D21" s="177">
        <v>101427</v>
      </c>
      <c r="E21" s="177">
        <v>0</v>
      </c>
      <c r="F21" s="177">
        <v>0</v>
      </c>
      <c r="G21" s="177">
        <v>0</v>
      </c>
      <c r="H21" s="177">
        <v>0</v>
      </c>
      <c r="I21" s="177">
        <v>0</v>
      </c>
      <c r="J21" s="177">
        <v>0</v>
      </c>
      <c r="K21" s="178">
        <v>0</v>
      </c>
      <c r="L21" s="177">
        <v>0</v>
      </c>
      <c r="M21" s="177">
        <v>0</v>
      </c>
      <c r="N21" s="176">
        <v>0</v>
      </c>
      <c r="O21" s="177">
        <v>0</v>
      </c>
      <c r="P21" s="179">
        <f t="shared" si="1"/>
        <v>8452.25</v>
      </c>
      <c r="Q21" s="180">
        <f t="shared" si="2"/>
        <v>4.5796346297985311E-4</v>
      </c>
      <c r="R21" s="180">
        <f t="shared" si="3"/>
        <v>0</v>
      </c>
      <c r="S21" s="180">
        <f t="shared" si="4"/>
        <v>6.7014866204162535E-3</v>
      </c>
    </row>
    <row r="22" spans="1:19" s="174" customFormat="1" x14ac:dyDescent="0.2">
      <c r="A22" s="181" t="s">
        <v>63</v>
      </c>
      <c r="B22" s="175" t="s">
        <v>108</v>
      </c>
      <c r="C22" s="175" t="s">
        <v>78</v>
      </c>
      <c r="D22" s="177">
        <v>2970</v>
      </c>
      <c r="E22" s="177">
        <v>3057</v>
      </c>
      <c r="F22" s="177">
        <v>2503</v>
      </c>
      <c r="G22" s="177">
        <v>2820</v>
      </c>
      <c r="H22" s="177">
        <v>2701</v>
      </c>
      <c r="I22" s="177">
        <v>5818</v>
      </c>
      <c r="J22" s="177">
        <v>6519</v>
      </c>
      <c r="K22" s="178">
        <v>6547</v>
      </c>
      <c r="L22" s="177">
        <v>6797</v>
      </c>
      <c r="M22" s="177">
        <v>1211</v>
      </c>
      <c r="N22" s="176">
        <v>1199</v>
      </c>
      <c r="O22" s="177">
        <v>1209</v>
      </c>
      <c r="P22" s="179">
        <f t="shared" si="1"/>
        <v>3612.5833333333335</v>
      </c>
      <c r="Q22" s="180">
        <f t="shared" si="2"/>
        <v>1.9573855170358596E-4</v>
      </c>
      <c r="R22" s="180">
        <f t="shared" si="3"/>
        <v>3.0343900630329997E-4</v>
      </c>
      <c r="S22" s="180">
        <f t="shared" si="4"/>
        <v>1.9623389494549058E-4</v>
      </c>
    </row>
    <row r="23" spans="1:19" s="174" customFormat="1" x14ac:dyDescent="0.2">
      <c r="A23" s="181" t="s">
        <v>30</v>
      </c>
      <c r="B23" s="175" t="s">
        <v>92</v>
      </c>
      <c r="C23" s="175" t="s">
        <v>78</v>
      </c>
      <c r="D23" s="177">
        <v>3527</v>
      </c>
      <c r="E23" s="177">
        <v>3908</v>
      </c>
      <c r="F23" s="177">
        <v>3544</v>
      </c>
      <c r="G23" s="177">
        <v>3655</v>
      </c>
      <c r="H23" s="177">
        <v>3542</v>
      </c>
      <c r="I23" s="177">
        <v>3199</v>
      </c>
      <c r="J23" s="177">
        <v>3506</v>
      </c>
      <c r="K23" s="178">
        <v>3512</v>
      </c>
      <c r="L23" s="177">
        <v>3473</v>
      </c>
      <c r="M23" s="177">
        <v>3507</v>
      </c>
      <c r="N23" s="176">
        <v>3625</v>
      </c>
      <c r="O23" s="177">
        <v>3517</v>
      </c>
      <c r="P23" s="179">
        <f t="shared" si="1"/>
        <v>3542.9166666666665</v>
      </c>
      <c r="Q23" s="180">
        <f t="shared" si="2"/>
        <v>1.919638422568789E-4</v>
      </c>
      <c r="R23" s="180">
        <f t="shared" si="3"/>
        <v>1.6277345198368557E-4</v>
      </c>
      <c r="S23" s="180">
        <f t="shared" si="4"/>
        <v>2.330360092500826E-4</v>
      </c>
    </row>
    <row r="24" spans="1:19" s="174" customFormat="1" x14ac:dyDescent="0.2">
      <c r="A24" s="181" t="s">
        <v>26</v>
      </c>
      <c r="B24" s="175" t="s">
        <v>91</v>
      </c>
      <c r="C24" s="175" t="s">
        <v>78</v>
      </c>
      <c r="D24" s="177">
        <v>20401</v>
      </c>
      <c r="E24" s="177">
        <v>0</v>
      </c>
      <c r="F24" s="177">
        <v>0</v>
      </c>
      <c r="G24" s="177">
        <v>0</v>
      </c>
      <c r="H24" s="177">
        <v>0</v>
      </c>
      <c r="I24" s="177">
        <v>0</v>
      </c>
      <c r="J24" s="177">
        <v>0</v>
      </c>
      <c r="K24" s="178">
        <v>0</v>
      </c>
      <c r="L24" s="177">
        <v>0</v>
      </c>
      <c r="M24" s="177">
        <v>0</v>
      </c>
      <c r="N24" s="176">
        <v>0</v>
      </c>
      <c r="O24" s="177">
        <v>0</v>
      </c>
      <c r="P24" s="179">
        <f t="shared" si="1"/>
        <v>1700.0833333333333</v>
      </c>
      <c r="Q24" s="180">
        <f t="shared" si="2"/>
        <v>9.2114650026639685E-5</v>
      </c>
      <c r="R24" s="180">
        <f t="shared" si="3"/>
        <v>0</v>
      </c>
      <c r="S24" s="180">
        <f t="shared" si="4"/>
        <v>1.3479352494218699E-3</v>
      </c>
    </row>
    <row r="25" spans="1:19" s="174" customFormat="1" x14ac:dyDescent="0.2">
      <c r="A25" s="181" t="s">
        <v>94</v>
      </c>
      <c r="B25" s="175" t="s">
        <v>95</v>
      </c>
      <c r="C25" s="175" t="s">
        <v>78</v>
      </c>
      <c r="D25" s="177">
        <v>256</v>
      </c>
      <c r="E25" s="177">
        <v>0</v>
      </c>
      <c r="F25" s="177">
        <v>452</v>
      </c>
      <c r="G25" s="177">
        <v>1115</v>
      </c>
      <c r="H25" s="177">
        <v>1700</v>
      </c>
      <c r="I25" s="177">
        <v>1440</v>
      </c>
      <c r="J25" s="177">
        <v>2392</v>
      </c>
      <c r="K25" s="178">
        <v>1520</v>
      </c>
      <c r="L25" s="177">
        <v>1501</v>
      </c>
      <c r="M25" s="177">
        <v>2260</v>
      </c>
      <c r="N25" s="176">
        <v>2020</v>
      </c>
      <c r="O25" s="177">
        <v>1220</v>
      </c>
      <c r="P25" s="179">
        <f t="shared" si="1"/>
        <v>1323</v>
      </c>
      <c r="Q25" s="180">
        <f t="shared" si="2"/>
        <v>7.1683357865934597E-5</v>
      </c>
      <c r="R25" s="180">
        <f t="shared" si="3"/>
        <v>7.0448646644419719E-5</v>
      </c>
      <c r="S25" s="180">
        <f t="shared" si="4"/>
        <v>1.6914436736042287E-5</v>
      </c>
    </row>
    <row r="26" spans="1:19" s="174" customFormat="1" x14ac:dyDescent="0.2">
      <c r="A26" s="175" t="s">
        <v>27</v>
      </c>
      <c r="B26" s="175" t="s">
        <v>93</v>
      </c>
      <c r="C26" s="175" t="s">
        <v>78</v>
      </c>
      <c r="D26" s="177">
        <v>6065</v>
      </c>
      <c r="E26" s="177">
        <v>635</v>
      </c>
      <c r="F26" s="177">
        <v>647</v>
      </c>
      <c r="G26" s="177">
        <v>904</v>
      </c>
      <c r="H26" s="177">
        <v>1011</v>
      </c>
      <c r="I26" s="177">
        <v>892</v>
      </c>
      <c r="J26" s="177">
        <v>790</v>
      </c>
      <c r="K26" s="178">
        <v>776</v>
      </c>
      <c r="L26" s="177">
        <v>917</v>
      </c>
      <c r="M26" s="177">
        <v>681</v>
      </c>
      <c r="N26" s="176">
        <v>820</v>
      </c>
      <c r="O26" s="177">
        <v>676</v>
      </c>
      <c r="P26" s="179">
        <f t="shared" si="1"/>
        <v>1234.5</v>
      </c>
      <c r="Q26" s="180">
        <f t="shared" si="2"/>
        <v>6.6888212611864137E-5</v>
      </c>
      <c r="R26" s="180">
        <f t="shared" si="3"/>
        <v>3.596588802373007E-5</v>
      </c>
      <c r="S26" s="180">
        <f t="shared" si="4"/>
        <v>4.0072679220350181E-4</v>
      </c>
    </row>
    <row r="27" spans="1:19" s="174" customFormat="1" x14ac:dyDescent="0.2">
      <c r="B27" s="175"/>
      <c r="C27" s="175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</row>
    <row r="28" spans="1:19" s="174" customFormat="1" ht="12" x14ac:dyDescent="0.2">
      <c r="A28" s="174" t="s">
        <v>96</v>
      </c>
      <c r="D28" s="183">
        <f>SUM(D10:D27)</f>
        <v>14072509</v>
      </c>
      <c r="E28" s="183">
        <f t="shared" ref="E28:P28" si="5">SUM(E10:E27)</f>
        <v>15280100</v>
      </c>
      <c r="F28" s="183">
        <f t="shared" si="5"/>
        <v>12871660</v>
      </c>
      <c r="G28" s="183">
        <f t="shared" si="5"/>
        <v>15429140</v>
      </c>
      <c r="H28" s="183">
        <f t="shared" si="5"/>
        <v>17658025</v>
      </c>
      <c r="I28" s="183">
        <f t="shared" si="5"/>
        <v>18507193</v>
      </c>
      <c r="J28" s="183">
        <f t="shared" si="5"/>
        <v>18286314</v>
      </c>
      <c r="K28" s="183">
        <f t="shared" si="5"/>
        <v>19276782</v>
      </c>
      <c r="L28" s="183">
        <f t="shared" si="5"/>
        <v>21055836</v>
      </c>
      <c r="M28" s="183">
        <f t="shared" si="5"/>
        <v>17528370</v>
      </c>
      <c r="N28" s="183">
        <f t="shared" si="5"/>
        <v>17238680</v>
      </c>
      <c r="O28" s="183">
        <f t="shared" si="5"/>
        <v>15004391</v>
      </c>
      <c r="P28" s="183">
        <f t="shared" si="5"/>
        <v>16850750</v>
      </c>
      <c r="Q28" s="184">
        <f>+P28/$P$44</f>
        <v>0.91301462022630187</v>
      </c>
      <c r="R28" s="184">
        <f>+K28/$K$44</f>
        <v>0.8934363181312569</v>
      </c>
      <c r="S28" s="184">
        <f>+D28/$D$44</f>
        <v>0.92979907499174097</v>
      </c>
    </row>
    <row r="29" spans="1:19" s="174" customFormat="1" ht="12" x14ac:dyDescent="0.2"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85"/>
      <c r="R29" s="185"/>
      <c r="S29" s="185"/>
    </row>
    <row r="30" spans="1:19" s="174" customFormat="1" x14ac:dyDescent="0.2">
      <c r="A30" s="174" t="s">
        <v>97</v>
      </c>
      <c r="B30" s="175" t="s">
        <v>97</v>
      </c>
      <c r="C30" s="175" t="s">
        <v>78</v>
      </c>
      <c r="D30" s="177">
        <v>172867</v>
      </c>
      <c r="E30" s="177">
        <v>180391</v>
      </c>
      <c r="F30" s="177">
        <v>196069</v>
      </c>
      <c r="G30" s="177">
        <v>206991</v>
      </c>
      <c r="H30" s="177">
        <v>224198</v>
      </c>
      <c r="I30" s="177">
        <v>220994</v>
      </c>
      <c r="J30" s="177">
        <v>216226</v>
      </c>
      <c r="K30" s="178">
        <v>236361</v>
      </c>
      <c r="L30" s="177">
        <v>223470</v>
      </c>
      <c r="M30" s="177">
        <v>220995</v>
      </c>
      <c r="N30" s="176">
        <v>200240</v>
      </c>
      <c r="O30" s="177">
        <v>185242</v>
      </c>
      <c r="P30" s="186">
        <f t="shared" ref="P30:P35" si="6">SUM(D30:O30)/12</f>
        <v>207003.66666666666</v>
      </c>
      <c r="Q30" s="180">
        <f t="shared" ref="Q30:Q35" si="7">+P30/$P$44</f>
        <v>1.1215962144540667E-2</v>
      </c>
      <c r="R30" s="180">
        <f>+K30/$K$44</f>
        <v>1.0954810901001113E-2</v>
      </c>
      <c r="S30" s="180">
        <f>+D30/$D$44</f>
        <v>1.1421671622068055E-2</v>
      </c>
    </row>
    <row r="31" spans="1:19" s="174" customFormat="1" x14ac:dyDescent="0.2">
      <c r="A31" s="140" t="s">
        <v>34</v>
      </c>
      <c r="B31" s="175" t="s">
        <v>98</v>
      </c>
      <c r="C31" s="175" t="s">
        <v>78</v>
      </c>
      <c r="D31" s="177">
        <v>101889</v>
      </c>
      <c r="E31" s="177">
        <v>111566</v>
      </c>
      <c r="F31" s="177">
        <v>88285</v>
      </c>
      <c r="G31" s="177">
        <v>119855</v>
      </c>
      <c r="H31" s="177">
        <v>139147</v>
      </c>
      <c r="I31" s="177">
        <v>136713</v>
      </c>
      <c r="J31" s="177">
        <v>145669</v>
      </c>
      <c r="K31" s="178">
        <v>139253</v>
      </c>
      <c r="L31" s="177">
        <v>132932</v>
      </c>
      <c r="M31" s="177">
        <v>129236</v>
      </c>
      <c r="N31" s="176">
        <v>113619</v>
      </c>
      <c r="O31" s="177">
        <v>110488</v>
      </c>
      <c r="P31" s="179">
        <f t="shared" si="6"/>
        <v>122387.66666666667</v>
      </c>
      <c r="Q31" s="180">
        <f t="shared" si="7"/>
        <v>6.631261457326819E-3</v>
      </c>
      <c r="R31" s="180">
        <f>+K31/$K$44</f>
        <v>6.4540693362995921E-3</v>
      </c>
      <c r="S31" s="180">
        <f>+D31/$D$44</f>
        <v>6.7320118929633304E-3</v>
      </c>
    </row>
    <row r="32" spans="1:19" s="174" customFormat="1" x14ac:dyDescent="0.2">
      <c r="A32" s="140" t="s">
        <v>35</v>
      </c>
      <c r="B32" s="175" t="s">
        <v>99</v>
      </c>
      <c r="C32" s="175" t="s">
        <v>78</v>
      </c>
      <c r="D32" s="177">
        <v>45000</v>
      </c>
      <c r="E32" s="177">
        <v>45000</v>
      </c>
      <c r="F32" s="177">
        <v>45000</v>
      </c>
      <c r="G32" s="177">
        <v>45000</v>
      </c>
      <c r="H32" s="177">
        <v>45000</v>
      </c>
      <c r="I32" s="177">
        <v>0</v>
      </c>
      <c r="J32" s="177">
        <v>0</v>
      </c>
      <c r="K32" s="178">
        <v>0</v>
      </c>
      <c r="L32" s="177">
        <v>0</v>
      </c>
      <c r="M32" s="177">
        <v>0</v>
      </c>
      <c r="N32" s="176">
        <v>0</v>
      </c>
      <c r="O32" s="177">
        <v>0</v>
      </c>
      <c r="P32" s="179">
        <f t="shared" si="6"/>
        <v>18750</v>
      </c>
      <c r="Q32" s="180">
        <f t="shared" si="7"/>
        <v>1.0159206046759439E-3</v>
      </c>
      <c r="R32" s="180">
        <f>+K32/$K$44</f>
        <v>0</v>
      </c>
      <c r="S32" s="180">
        <f>+D32/$D$44</f>
        <v>2.973240832507433E-3</v>
      </c>
    </row>
    <row r="33" spans="1:19" s="174" customFormat="1" x14ac:dyDescent="0.2">
      <c r="A33" s="175" t="s">
        <v>40</v>
      </c>
      <c r="B33" s="175" t="s">
        <v>40</v>
      </c>
      <c r="C33" s="175" t="s">
        <v>78</v>
      </c>
      <c r="D33" s="177">
        <v>8708</v>
      </c>
      <c r="E33" s="177">
        <v>9537</v>
      </c>
      <c r="F33" s="177">
        <v>11363</v>
      </c>
      <c r="G33" s="177">
        <v>10198</v>
      </c>
      <c r="H33" s="177">
        <v>11922</v>
      </c>
      <c r="I33" s="177">
        <v>11777</v>
      </c>
      <c r="J33" s="177">
        <v>10634</v>
      </c>
      <c r="K33" s="178">
        <v>13072</v>
      </c>
      <c r="L33" s="177">
        <v>13021</v>
      </c>
      <c r="M33" s="177">
        <v>11353</v>
      </c>
      <c r="N33" s="176">
        <v>10236</v>
      </c>
      <c r="O33" s="177">
        <v>9313</v>
      </c>
      <c r="P33" s="179">
        <f t="shared" si="6"/>
        <v>10927.833333333334</v>
      </c>
      <c r="Q33" s="180">
        <f t="shared" si="7"/>
        <v>5.9209658921588991E-4</v>
      </c>
      <c r="R33" s="180">
        <f t="shared" ref="R33:R34" si="8">+K33/$K$44</f>
        <v>6.0585836114200966E-4</v>
      </c>
      <c r="S33" s="180">
        <f t="shared" ref="S33:S34" si="9">+D33/$D$44</f>
        <v>5.7535513709943841E-4</v>
      </c>
    </row>
    <row r="34" spans="1:19" s="174" customFormat="1" x14ac:dyDescent="0.2">
      <c r="A34" s="175" t="s">
        <v>33</v>
      </c>
      <c r="B34" s="175" t="s">
        <v>33</v>
      </c>
      <c r="C34" s="175" t="s">
        <v>78</v>
      </c>
      <c r="D34" s="177">
        <v>4302</v>
      </c>
      <c r="E34" s="177">
        <v>4307</v>
      </c>
      <c r="F34" s="177">
        <v>6742</v>
      </c>
      <c r="G34" s="177">
        <v>4318</v>
      </c>
      <c r="H34" s="177">
        <v>6673</v>
      </c>
      <c r="I34" s="177">
        <v>7798</v>
      </c>
      <c r="J34" s="177">
        <v>7539</v>
      </c>
      <c r="K34" s="178">
        <v>6256</v>
      </c>
      <c r="L34" s="177">
        <v>7974</v>
      </c>
      <c r="M34" s="177">
        <v>4534</v>
      </c>
      <c r="N34" s="176">
        <v>4625</v>
      </c>
      <c r="O34" s="177">
        <v>4302</v>
      </c>
      <c r="P34" s="179">
        <f t="shared" si="6"/>
        <v>5780.833333333333</v>
      </c>
      <c r="Q34" s="180">
        <f t="shared" si="7"/>
        <v>3.1321961042831212E-4</v>
      </c>
      <c r="R34" s="180">
        <f t="shared" si="8"/>
        <v>2.8995179829440117E-4</v>
      </c>
      <c r="S34" s="180">
        <f t="shared" si="9"/>
        <v>2.8424182358771058E-4</v>
      </c>
    </row>
    <row r="35" spans="1:19" s="174" customFormat="1" x14ac:dyDescent="0.2">
      <c r="A35" s="175" t="s">
        <v>100</v>
      </c>
      <c r="B35" s="175" t="s">
        <v>100</v>
      </c>
      <c r="C35" s="175" t="s">
        <v>78</v>
      </c>
      <c r="D35" s="177">
        <v>625</v>
      </c>
      <c r="E35" s="177">
        <v>538</v>
      </c>
      <c r="F35" s="177">
        <v>550</v>
      </c>
      <c r="G35" s="177">
        <v>801</v>
      </c>
      <c r="H35" s="177">
        <v>506</v>
      </c>
      <c r="I35" s="177">
        <v>718</v>
      </c>
      <c r="J35" s="177">
        <v>714</v>
      </c>
      <c r="K35" s="178">
        <v>818</v>
      </c>
      <c r="L35" s="177">
        <v>543</v>
      </c>
      <c r="M35" s="177">
        <v>325</v>
      </c>
      <c r="N35" s="176">
        <v>133</v>
      </c>
      <c r="O35" s="177">
        <v>0</v>
      </c>
      <c r="P35" s="179">
        <f t="shared" si="6"/>
        <v>522.58333333333337</v>
      </c>
      <c r="Q35" s="180">
        <f t="shared" si="7"/>
        <v>2.8314836052990419E-5</v>
      </c>
      <c r="R35" s="180">
        <f>+K35/$K$44</f>
        <v>3.7912495365220616E-5</v>
      </c>
      <c r="S35" s="180">
        <f>+D35/$D$44</f>
        <v>4.1295011562603234E-5</v>
      </c>
    </row>
    <row r="36" spans="1:19" s="174" customFormat="1" ht="12" x14ac:dyDescent="0.2"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</row>
    <row r="37" spans="1:19" s="174" customFormat="1" ht="12" x14ac:dyDescent="0.2">
      <c r="A37" s="174" t="s">
        <v>101</v>
      </c>
      <c r="D37" s="183">
        <f t="shared" ref="D37:P37" si="10">SUM(D29:D36)</f>
        <v>333391</v>
      </c>
      <c r="E37" s="183">
        <f t="shared" si="10"/>
        <v>351339</v>
      </c>
      <c r="F37" s="183">
        <f t="shared" si="10"/>
        <v>348009</v>
      </c>
      <c r="G37" s="183">
        <f t="shared" si="10"/>
        <v>387163</v>
      </c>
      <c r="H37" s="183">
        <f t="shared" si="10"/>
        <v>427446</v>
      </c>
      <c r="I37" s="183">
        <f t="shared" si="10"/>
        <v>378000</v>
      </c>
      <c r="J37" s="183">
        <f t="shared" si="10"/>
        <v>380782</v>
      </c>
      <c r="K37" s="183">
        <f t="shared" si="10"/>
        <v>395760</v>
      </c>
      <c r="L37" s="183">
        <f t="shared" si="10"/>
        <v>377940</v>
      </c>
      <c r="M37" s="183">
        <f t="shared" si="10"/>
        <v>366443</v>
      </c>
      <c r="N37" s="183">
        <f t="shared" si="10"/>
        <v>328853</v>
      </c>
      <c r="O37" s="183">
        <f t="shared" si="10"/>
        <v>309345</v>
      </c>
      <c r="P37" s="183">
        <f t="shared" si="10"/>
        <v>365372.58333333326</v>
      </c>
      <c r="Q37" s="184">
        <f>+P37/$P$44</f>
        <v>1.9796775242240619E-2</v>
      </c>
      <c r="R37" s="184">
        <f>+K37/$K$44</f>
        <v>1.8342602892102336E-2</v>
      </c>
      <c r="S37" s="184">
        <f>+D37/$D$44</f>
        <v>2.2027816319788569E-2</v>
      </c>
    </row>
    <row r="38" spans="1:19" s="174" customFormat="1" ht="12" x14ac:dyDescent="0.2"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</row>
    <row r="39" spans="1:19" s="174" customFormat="1" ht="12" x14ac:dyDescent="0.2">
      <c r="A39" s="174" t="s">
        <v>102</v>
      </c>
      <c r="D39" s="182">
        <f t="shared" ref="D39:P39" si="11">+D28+D37</f>
        <v>14405900</v>
      </c>
      <c r="E39" s="182">
        <f t="shared" si="11"/>
        <v>15631439</v>
      </c>
      <c r="F39" s="182">
        <f t="shared" si="11"/>
        <v>13219669</v>
      </c>
      <c r="G39" s="182">
        <f t="shared" si="11"/>
        <v>15816303</v>
      </c>
      <c r="H39" s="182">
        <f t="shared" si="11"/>
        <v>18085471</v>
      </c>
      <c r="I39" s="182">
        <f t="shared" si="11"/>
        <v>18885193</v>
      </c>
      <c r="J39" s="182">
        <f t="shared" si="11"/>
        <v>18667096</v>
      </c>
      <c r="K39" s="182">
        <f>+K28+K37</f>
        <v>19672542</v>
      </c>
      <c r="L39" s="182">
        <f t="shared" si="11"/>
        <v>21433776</v>
      </c>
      <c r="M39" s="182">
        <f t="shared" si="11"/>
        <v>17894813</v>
      </c>
      <c r="N39" s="182">
        <f t="shared" si="11"/>
        <v>17567533</v>
      </c>
      <c r="O39" s="182">
        <f t="shared" si="11"/>
        <v>15313736</v>
      </c>
      <c r="P39" s="182">
        <f t="shared" si="11"/>
        <v>17216122.583333332</v>
      </c>
      <c r="Q39" s="180">
        <f>+P39/$P$44</f>
        <v>0.93281139546854241</v>
      </c>
      <c r="R39" s="180">
        <f>+K39/$K$44</f>
        <v>0.91177892102335933</v>
      </c>
      <c r="S39" s="180">
        <f t="shared" ref="S39" si="12">+D39/$D$44</f>
        <v>0.95182689131152953</v>
      </c>
    </row>
    <row r="40" spans="1:19" s="174" customFormat="1" ht="12" x14ac:dyDescent="0.2">
      <c r="A40" s="187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</row>
    <row r="41" spans="1:19" s="192" customFormat="1" ht="22.5" customHeight="1" x14ac:dyDescent="0.2">
      <c r="A41" s="188" t="s">
        <v>103</v>
      </c>
      <c r="B41" s="189"/>
      <c r="C41" s="189"/>
      <c r="D41" s="190">
        <f t="shared" ref="D41:O41" si="13">(+D39*1.07673970931335)-D39</f>
        <v>1105504.5783971883</v>
      </c>
      <c r="E41" s="190">
        <f t="shared" si="13"/>
        <v>1199552.0850093625</v>
      </c>
      <c r="F41" s="190">
        <f t="shared" si="13"/>
        <v>1014473.5562787037</v>
      </c>
      <c r="G41" s="190">
        <f t="shared" si="13"/>
        <v>1213738.4946318641</v>
      </c>
      <c r="H41" s="190">
        <f t="shared" si="13"/>
        <v>1387873.7873350196</v>
      </c>
      <c r="I41" s="190">
        <f t="shared" si="13"/>
        <v>1449244.2211465128</v>
      </c>
      <c r="J41" s="190">
        <f t="shared" si="13"/>
        <v>1432507.5207643993</v>
      </c>
      <c r="K41" s="190">
        <f t="shared" si="13"/>
        <v>1509665.1545346677</v>
      </c>
      <c r="L41" s="190">
        <f t="shared" si="13"/>
        <v>1644821.7397274561</v>
      </c>
      <c r="M41" s="190">
        <f t="shared" si="13"/>
        <v>1373242.7478367575</v>
      </c>
      <c r="N41" s="190">
        <f t="shared" si="13"/>
        <v>1348127.3757726811</v>
      </c>
      <c r="O41" s="190">
        <f t="shared" si="13"/>
        <v>1175171.6491413824</v>
      </c>
      <c r="P41" s="191">
        <f t="shared" ref="P41" si="14">(+P39*1.08537093788614)-P39</f>
        <v>1469756.5317019224</v>
      </c>
      <c r="Q41" s="180">
        <f>+P41/$P$44</f>
        <v>7.9634983702028539E-2</v>
      </c>
      <c r="R41" s="180">
        <f>+K41/$K$44</f>
        <v>6.9969649357372432E-2</v>
      </c>
      <c r="S41" s="180">
        <f t="shared" ref="S41:S42" si="15">+D41/$D$44</f>
        <v>7.3042918955876335E-2</v>
      </c>
    </row>
    <row r="42" spans="1:19" s="174" customFormat="1" ht="19.5" customHeight="1" x14ac:dyDescent="0.2">
      <c r="A42" s="174" t="s">
        <v>104</v>
      </c>
      <c r="D42" s="191">
        <f t="shared" ref="D42:P42" si="16">+D44-D39-D41</f>
        <v>-376404.57839718834</v>
      </c>
      <c r="E42" s="191">
        <f t="shared" si="16"/>
        <v>-1203991.0850093625</v>
      </c>
      <c r="F42" s="191">
        <f t="shared" si="16"/>
        <v>1696857.4437212963</v>
      </c>
      <c r="G42" s="191">
        <f t="shared" si="16"/>
        <v>1388958.5053681359</v>
      </c>
      <c r="H42" s="191">
        <f t="shared" si="16"/>
        <v>105655.21266498044</v>
      </c>
      <c r="I42" s="191">
        <f t="shared" si="16"/>
        <v>812562.77885348722</v>
      </c>
      <c r="J42" s="191">
        <f t="shared" si="16"/>
        <v>161396.47923560068</v>
      </c>
      <c r="K42" s="191">
        <f t="shared" si="16"/>
        <v>393792.84546533227</v>
      </c>
      <c r="L42" s="191">
        <f t="shared" si="16"/>
        <v>-2781597.7397274561</v>
      </c>
      <c r="M42" s="191">
        <f t="shared" si="16"/>
        <v>44944.252163242549</v>
      </c>
      <c r="N42" s="191">
        <f t="shared" si="16"/>
        <v>-887660.37577268109</v>
      </c>
      <c r="O42" s="191">
        <f t="shared" si="16"/>
        <v>-327907.64914138243</v>
      </c>
      <c r="P42" s="191">
        <f t="shared" si="16"/>
        <v>-229712.4483685866</v>
      </c>
      <c r="Q42" s="180">
        <f>+P42/$P$44</f>
        <v>-1.2446379170570988E-2</v>
      </c>
      <c r="R42" s="180">
        <f>+K42/$K$44</f>
        <v>1.8251429619268275E-2</v>
      </c>
      <c r="S42" s="180">
        <f t="shared" si="15"/>
        <v>-2.4869810267405902E-2</v>
      </c>
    </row>
    <row r="43" spans="1:19" s="174" customFormat="1" ht="12" x14ac:dyDescent="0.2"/>
    <row r="44" spans="1:19" s="174" customFormat="1" thickBot="1" x14ac:dyDescent="0.25">
      <c r="A44" s="174" t="s">
        <v>105</v>
      </c>
      <c r="D44" s="194">
        <v>15135000</v>
      </c>
      <c r="E44" s="194">
        <v>15627000</v>
      </c>
      <c r="F44" s="194">
        <v>15931000</v>
      </c>
      <c r="G44" s="194">
        <v>18419000</v>
      </c>
      <c r="H44" s="194">
        <v>19579000</v>
      </c>
      <c r="I44" s="194">
        <v>21147000</v>
      </c>
      <c r="J44" s="194">
        <v>20261000</v>
      </c>
      <c r="K44" s="195">
        <v>21576000</v>
      </c>
      <c r="L44" s="194">
        <v>20297000</v>
      </c>
      <c r="M44" s="194">
        <v>19313000</v>
      </c>
      <c r="N44" s="193">
        <v>18028000</v>
      </c>
      <c r="O44" s="194">
        <v>16161000</v>
      </c>
      <c r="P44" s="194">
        <f>SUM(D44:O44)/12</f>
        <v>18456166.666666668</v>
      </c>
      <c r="Q44" s="196">
        <f>+P44/$P$44</f>
        <v>1</v>
      </c>
      <c r="R44" s="196">
        <f>+I44/$I$44</f>
        <v>1</v>
      </c>
      <c r="S44" s="196">
        <f>+E44/$E$44</f>
        <v>1</v>
      </c>
    </row>
    <row r="45" spans="1:19" ht="13.5" thickTop="1" x14ac:dyDescent="0.2"/>
    <row r="52" spans="2:4" x14ac:dyDescent="0.2">
      <c r="B52" s="140"/>
      <c r="D52" s="139"/>
    </row>
    <row r="53" spans="2:4" x14ac:dyDescent="0.2">
      <c r="B53" s="140"/>
      <c r="D53" s="139"/>
    </row>
    <row r="54" spans="2:4" x14ac:dyDescent="0.2">
      <c r="B54" s="140"/>
      <c r="D54" s="139"/>
    </row>
    <row r="55" spans="2:4" x14ac:dyDescent="0.2">
      <c r="B55" s="140"/>
      <c r="D55" s="139"/>
    </row>
    <row r="56" spans="2:4" x14ac:dyDescent="0.2">
      <c r="B56" s="140"/>
      <c r="D56" s="139"/>
    </row>
    <row r="57" spans="2:4" x14ac:dyDescent="0.2">
      <c r="B57" s="140"/>
      <c r="D57" s="139"/>
    </row>
    <row r="58" spans="2:4" x14ac:dyDescent="0.2">
      <c r="B58" s="140"/>
      <c r="D58" s="139"/>
    </row>
    <row r="59" spans="2:4" x14ac:dyDescent="0.2">
      <c r="B59" s="140"/>
      <c r="D59" s="139"/>
    </row>
    <row r="60" spans="2:4" x14ac:dyDescent="0.2">
      <c r="B60" s="140"/>
      <c r="D60" s="139"/>
    </row>
  </sheetData>
  <pageMargins left="0.5" right="0.5" top="1" bottom="1" header="0.5" footer="0.5"/>
  <pageSetup scale="6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AF62"/>
  <sheetViews>
    <sheetView zoomScale="75" zoomScaleNormal="75" zoomScaleSheetLayoutView="75" workbookViewId="0">
      <selection activeCell="A2" sqref="A2"/>
    </sheetView>
  </sheetViews>
  <sheetFormatPr defaultColWidth="9.140625" defaultRowHeight="12.75" x14ac:dyDescent="0.2"/>
  <cols>
    <col min="1" max="1" width="45.85546875" style="175" bestFit="1" customWidth="1"/>
    <col min="2" max="2" width="16.28515625" style="175" customWidth="1"/>
    <col min="3" max="3" width="13.28515625" style="175" customWidth="1"/>
    <col min="4" max="7" width="12.28515625" style="175" customWidth="1"/>
    <col min="8" max="8" width="12.7109375" style="175" customWidth="1"/>
    <col min="9" max="9" width="12.28515625" style="175" customWidth="1"/>
    <col min="10" max="10" width="12.7109375" style="175" bestFit="1" customWidth="1"/>
    <col min="11" max="11" width="12.7109375" style="175" customWidth="1"/>
    <col min="12" max="12" width="12.7109375" style="175" bestFit="1" customWidth="1"/>
    <col min="13" max="13" width="12.7109375" style="175" customWidth="1"/>
    <col min="14" max="15" width="12.28515625" style="175" customWidth="1"/>
    <col min="16" max="16" width="12.7109375" style="175" customWidth="1"/>
    <col min="17" max="19" width="11.7109375" style="175" customWidth="1"/>
    <col min="20" max="16384" width="9.140625" style="175"/>
  </cols>
  <sheetData>
    <row r="1" spans="1:32" ht="15" x14ac:dyDescent="0.25">
      <c r="A1" s="324" t="s">
        <v>212</v>
      </c>
    </row>
    <row r="2" spans="1:32" ht="15" x14ac:dyDescent="0.25">
      <c r="A2" s="324" t="s">
        <v>206</v>
      </c>
    </row>
    <row r="4" spans="1:32" s="154" customFormat="1" ht="20.25" x14ac:dyDescent="0.3">
      <c r="A4" s="152" t="s">
        <v>109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3"/>
      <c r="Q4" s="153"/>
    </row>
    <row r="5" spans="1:32" s="154" customFormat="1" ht="12" thickBot="1" x14ac:dyDescent="0.25"/>
    <row r="6" spans="1:32" s="162" customFormat="1" ht="13.5" thickBot="1" x14ac:dyDescent="0.25">
      <c r="A6" s="197"/>
      <c r="B6" s="198">
        <v>41640</v>
      </c>
      <c r="C6" s="198">
        <v>41671</v>
      </c>
      <c r="D6" s="198">
        <v>41699</v>
      </c>
      <c r="E6" s="198">
        <v>41730</v>
      </c>
      <c r="F6" s="198">
        <v>41760</v>
      </c>
      <c r="G6" s="198">
        <v>41791</v>
      </c>
      <c r="H6" s="198">
        <v>41821</v>
      </c>
      <c r="I6" s="198">
        <v>41852</v>
      </c>
      <c r="J6" s="198">
        <v>41883</v>
      </c>
      <c r="K6" s="198">
        <v>41913</v>
      </c>
      <c r="L6" s="198">
        <v>41944</v>
      </c>
      <c r="M6" s="198">
        <v>41974</v>
      </c>
      <c r="N6" s="199"/>
      <c r="O6" s="200"/>
      <c r="P6" s="201"/>
      <c r="Q6" s="202"/>
    </row>
    <row r="7" spans="1:32" s="169" customFormat="1" ht="25.5" x14ac:dyDescent="0.2">
      <c r="A7" s="203" t="s">
        <v>68</v>
      </c>
      <c r="B7" s="204">
        <v>41662</v>
      </c>
      <c r="C7" s="204">
        <v>41694</v>
      </c>
      <c r="D7" s="204">
        <v>41721</v>
      </c>
      <c r="E7" s="204">
        <v>41757</v>
      </c>
      <c r="F7" s="204">
        <v>41782</v>
      </c>
      <c r="G7" s="204">
        <v>41815</v>
      </c>
      <c r="H7" s="204">
        <v>41848</v>
      </c>
      <c r="I7" s="204">
        <v>41872</v>
      </c>
      <c r="J7" s="204">
        <v>41884</v>
      </c>
      <c r="K7" s="204">
        <v>41915</v>
      </c>
      <c r="L7" s="204">
        <v>41967</v>
      </c>
      <c r="M7" s="204">
        <v>41997</v>
      </c>
      <c r="N7" s="205"/>
      <c r="O7" s="206" t="s">
        <v>69</v>
      </c>
      <c r="P7" s="205" t="s">
        <v>69</v>
      </c>
      <c r="Q7" s="207" t="s">
        <v>69</v>
      </c>
    </row>
    <row r="8" spans="1:32" s="169" customFormat="1" x14ac:dyDescent="0.2">
      <c r="A8" s="203" t="s">
        <v>70</v>
      </c>
      <c r="B8" s="208" t="str">
        <f>IF(WEEKDAY(B7,2)=1,"Monday",IF(WEEKDAY(B7,2)=2,"Tuesday",IF(WEEKDAY(B7,2)=3,"Wednesday",IF(WEEKDAY(B7,2)=4,"Thursday",IF(WEEKDAY(B7,2)=5,"Friday",IF(WEEKDAY(B7,2)=6,"Saturday","Sunday"))))))</f>
        <v>Thursday</v>
      </c>
      <c r="C8" s="208" t="str">
        <f t="shared" ref="C8:M8" si="0">IF(WEEKDAY(C7,2)=1,"Monday",IF(WEEKDAY(C7,2)=2,"Tuesday",IF(WEEKDAY(C7,2)=3,"Wednesday",IF(WEEKDAY(C7,2)=4,"Thursday",IF(WEEKDAY(C7,2)=5,"Friday",IF(WEEKDAY(C7,2)=6,"Saturday","Sunday"))))))</f>
        <v>Monday</v>
      </c>
      <c r="D8" s="208" t="str">
        <f t="shared" si="0"/>
        <v>Sunday</v>
      </c>
      <c r="E8" s="208" t="str">
        <f t="shared" si="0"/>
        <v>Monday</v>
      </c>
      <c r="F8" s="208" t="str">
        <f t="shared" si="0"/>
        <v>Friday</v>
      </c>
      <c r="G8" s="208" t="str">
        <f t="shared" si="0"/>
        <v>Wednesday</v>
      </c>
      <c r="H8" s="208" t="str">
        <f t="shared" si="0"/>
        <v>Monday</v>
      </c>
      <c r="I8" s="208" t="str">
        <f t="shared" si="0"/>
        <v>Thursday</v>
      </c>
      <c r="J8" s="208" t="str">
        <f t="shared" si="0"/>
        <v>Tuesday</v>
      </c>
      <c r="K8" s="208" t="str">
        <f t="shared" si="0"/>
        <v>Friday</v>
      </c>
      <c r="L8" s="208" t="str">
        <f t="shared" si="0"/>
        <v>Monday</v>
      </c>
      <c r="M8" s="208" t="str">
        <f t="shared" si="0"/>
        <v>Wednesday</v>
      </c>
      <c r="N8" s="205" t="s">
        <v>66</v>
      </c>
      <c r="O8" s="206" t="s">
        <v>71</v>
      </c>
      <c r="P8" s="205" t="s">
        <v>72</v>
      </c>
      <c r="Q8" s="209" t="s">
        <v>73</v>
      </c>
    </row>
    <row r="9" spans="1:32" s="169" customFormat="1" ht="13.5" thickBot="1" x14ac:dyDescent="0.25">
      <c r="A9" s="203" t="s">
        <v>74</v>
      </c>
      <c r="B9" s="210">
        <v>0.33333333333333331</v>
      </c>
      <c r="C9" s="210">
        <v>0.66666666666666663</v>
      </c>
      <c r="D9" s="210">
        <v>0.70833333333333337</v>
      </c>
      <c r="E9" s="210">
        <v>0.70833333333333337</v>
      </c>
      <c r="F9" s="210">
        <v>0.70833333333333337</v>
      </c>
      <c r="G9" s="210">
        <v>0.66666666666666663</v>
      </c>
      <c r="H9" s="210">
        <v>0.70833333333333337</v>
      </c>
      <c r="I9" s="210">
        <v>0.70833333333333337</v>
      </c>
      <c r="J9" s="210">
        <v>0.70833333333333337</v>
      </c>
      <c r="K9" s="210">
        <v>0.66666666666666663</v>
      </c>
      <c r="L9" s="210">
        <v>0.625</v>
      </c>
      <c r="M9" s="210">
        <v>0.625</v>
      </c>
      <c r="N9" s="205" t="s">
        <v>75</v>
      </c>
      <c r="O9" s="206" t="s">
        <v>76</v>
      </c>
      <c r="P9" s="205" t="s">
        <v>76</v>
      </c>
      <c r="Q9" s="209" t="s">
        <v>76</v>
      </c>
    </row>
    <row r="10" spans="1:32" s="174" customFormat="1" ht="13.5" thickTop="1" x14ac:dyDescent="0.2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</row>
    <row r="11" spans="1:32" s="174" customFormat="1" ht="15" x14ac:dyDescent="0.25">
      <c r="A11" s="140" t="s">
        <v>28</v>
      </c>
      <c r="B11" s="177">
        <v>11077038</v>
      </c>
      <c r="C11" s="177">
        <v>8343846</v>
      </c>
      <c r="D11" s="177">
        <v>9137675</v>
      </c>
      <c r="E11" s="177">
        <v>9768230</v>
      </c>
      <c r="F11" s="177">
        <v>10308619</v>
      </c>
      <c r="G11" s="177">
        <v>11349872</v>
      </c>
      <c r="H11" s="178">
        <v>11904960</v>
      </c>
      <c r="I11" s="177">
        <v>11754348</v>
      </c>
      <c r="J11" s="177">
        <v>12728890</v>
      </c>
      <c r="K11" s="177">
        <v>10976136</v>
      </c>
      <c r="L11" s="176">
        <v>9078625</v>
      </c>
      <c r="M11" s="177">
        <v>8994864</v>
      </c>
      <c r="N11" s="212">
        <f t="shared" ref="N11:N27" si="1">SUM(B11:M11)/12</f>
        <v>10451925.25</v>
      </c>
      <c r="O11" s="213">
        <f t="shared" ref="O11:O27" si="2">+N11/$N$46</f>
        <v>0.53483735240312658</v>
      </c>
      <c r="P11" s="213">
        <f t="shared" ref="P11:P27" si="3">+I11/$I$46</f>
        <v>0.51329030567685585</v>
      </c>
      <c r="Q11" s="213">
        <f t="shared" ref="Q11:Q27" si="4">+B11/$B$46</f>
        <v>0.63297360000000003</v>
      </c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</row>
    <row r="12" spans="1:32" s="174" customFormat="1" ht="15" x14ac:dyDescent="0.25">
      <c r="A12" s="140" t="s">
        <v>20</v>
      </c>
      <c r="B12" s="177">
        <v>2794071</v>
      </c>
      <c r="C12" s="177">
        <v>3877250</v>
      </c>
      <c r="D12" s="177">
        <v>2873867</v>
      </c>
      <c r="E12" s="177">
        <v>3602331</v>
      </c>
      <c r="F12" s="177">
        <v>3815983</v>
      </c>
      <c r="G12" s="177">
        <v>4336638</v>
      </c>
      <c r="H12" s="178">
        <v>4134365</v>
      </c>
      <c r="I12" s="177">
        <v>4169735</v>
      </c>
      <c r="J12" s="177">
        <v>4428678</v>
      </c>
      <c r="K12" s="177">
        <v>4188243</v>
      </c>
      <c r="L12" s="176">
        <v>4453263</v>
      </c>
      <c r="M12" s="177">
        <v>3240267</v>
      </c>
      <c r="N12" s="212">
        <f t="shared" si="1"/>
        <v>3826224.25</v>
      </c>
      <c r="O12" s="213">
        <f t="shared" si="2"/>
        <v>0.19579241131394798</v>
      </c>
      <c r="P12" s="213">
        <f t="shared" si="3"/>
        <v>0.18208449781659389</v>
      </c>
      <c r="Q12" s="213">
        <f t="shared" si="4"/>
        <v>0.1596612</v>
      </c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</row>
    <row r="13" spans="1:32" s="174" customFormat="1" ht="15" x14ac:dyDescent="0.25">
      <c r="A13" s="140" t="s">
        <v>21</v>
      </c>
      <c r="B13" s="177">
        <v>1177783</v>
      </c>
      <c r="C13" s="177">
        <v>1541580</v>
      </c>
      <c r="D13" s="177">
        <v>1086605</v>
      </c>
      <c r="E13" s="177">
        <v>1432104</v>
      </c>
      <c r="F13" s="177">
        <v>1478147</v>
      </c>
      <c r="G13" s="177">
        <v>1628458</v>
      </c>
      <c r="H13" s="178">
        <v>1588464</v>
      </c>
      <c r="I13" s="177">
        <v>1649246</v>
      </c>
      <c r="J13" s="177">
        <v>1745649</v>
      </c>
      <c r="K13" s="177">
        <v>1667874</v>
      </c>
      <c r="L13" s="176">
        <v>1781884</v>
      </c>
      <c r="M13" s="177">
        <v>1285620</v>
      </c>
      <c r="N13" s="212">
        <f t="shared" si="1"/>
        <v>1505284.5</v>
      </c>
      <c r="O13" s="213">
        <f t="shared" si="2"/>
        <v>7.7027184689582834E-2</v>
      </c>
      <c r="P13" s="213">
        <f t="shared" si="3"/>
        <v>7.2019475982532749E-2</v>
      </c>
      <c r="Q13" s="213">
        <f t="shared" si="4"/>
        <v>6.730188571428572E-2</v>
      </c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</row>
    <row r="14" spans="1:32" s="174" customFormat="1" ht="15" x14ac:dyDescent="0.25">
      <c r="A14" s="140" t="s">
        <v>24</v>
      </c>
      <c r="B14" s="177">
        <v>640150</v>
      </c>
      <c r="C14" s="177">
        <v>1270152</v>
      </c>
      <c r="D14" s="177">
        <v>663577</v>
      </c>
      <c r="E14" s="177">
        <v>1273390</v>
      </c>
      <c r="F14" s="177">
        <v>1274265</v>
      </c>
      <c r="G14" s="177">
        <v>1595520</v>
      </c>
      <c r="H14" s="178">
        <v>1462737</v>
      </c>
      <c r="I14" s="177">
        <v>1210875</v>
      </c>
      <c r="J14" s="177">
        <v>1286582</v>
      </c>
      <c r="K14" s="177">
        <v>1154527</v>
      </c>
      <c r="L14" s="176">
        <v>1201871</v>
      </c>
      <c r="M14" s="177">
        <v>688842</v>
      </c>
      <c r="N14" s="212">
        <f t="shared" si="1"/>
        <v>1143540.6666666667</v>
      </c>
      <c r="O14" s="213">
        <f t="shared" si="2"/>
        <v>5.8516325738677315E-2</v>
      </c>
      <c r="P14" s="213">
        <f t="shared" si="3"/>
        <v>5.2876637554585153E-2</v>
      </c>
      <c r="Q14" s="213">
        <f t="shared" si="4"/>
        <v>3.6580000000000001E-2</v>
      </c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</row>
    <row r="15" spans="1:32" s="174" customFormat="1" ht="15" x14ac:dyDescent="0.25">
      <c r="A15" s="140" t="s">
        <v>17</v>
      </c>
      <c r="B15" s="177">
        <v>323588</v>
      </c>
      <c r="C15" s="177">
        <v>364544</v>
      </c>
      <c r="D15" s="177">
        <v>290522</v>
      </c>
      <c r="E15" s="177">
        <v>350991</v>
      </c>
      <c r="F15" s="177">
        <v>324593</v>
      </c>
      <c r="G15" s="177">
        <v>362640</v>
      </c>
      <c r="H15" s="178">
        <v>350324</v>
      </c>
      <c r="I15" s="177">
        <v>351877</v>
      </c>
      <c r="J15" s="177">
        <v>369087</v>
      </c>
      <c r="K15" s="177">
        <v>341846</v>
      </c>
      <c r="L15" s="176">
        <v>375563</v>
      </c>
      <c r="M15" s="177">
        <v>314053</v>
      </c>
      <c r="N15" s="212">
        <f t="shared" si="1"/>
        <v>343302.33333333331</v>
      </c>
      <c r="O15" s="213">
        <f t="shared" si="2"/>
        <v>1.7567185627721135E-2</v>
      </c>
      <c r="P15" s="213">
        <f t="shared" si="3"/>
        <v>1.5365807860262008E-2</v>
      </c>
      <c r="Q15" s="213">
        <f t="shared" si="4"/>
        <v>1.8490742857142858E-2</v>
      </c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</row>
    <row r="16" spans="1:32" s="174" customFormat="1" ht="15" x14ac:dyDescent="0.25">
      <c r="A16" s="142" t="s">
        <v>22</v>
      </c>
      <c r="B16" s="177">
        <v>247004</v>
      </c>
      <c r="C16" s="177">
        <v>326775</v>
      </c>
      <c r="D16" s="177">
        <v>265142</v>
      </c>
      <c r="E16" s="177">
        <v>291917</v>
      </c>
      <c r="F16" s="177">
        <v>293308</v>
      </c>
      <c r="G16" s="177">
        <v>325246</v>
      </c>
      <c r="H16" s="178">
        <v>307838</v>
      </c>
      <c r="I16" s="177">
        <v>325433</v>
      </c>
      <c r="J16" s="177">
        <v>341951</v>
      </c>
      <c r="K16" s="177">
        <v>323384</v>
      </c>
      <c r="L16" s="176">
        <v>365158</v>
      </c>
      <c r="M16" s="177">
        <v>289470</v>
      </c>
      <c r="N16" s="212">
        <f t="shared" si="1"/>
        <v>308552.16666666669</v>
      </c>
      <c r="O16" s="213">
        <f t="shared" si="2"/>
        <v>1.5788978580596743E-2</v>
      </c>
      <c r="P16" s="213">
        <f t="shared" si="3"/>
        <v>1.4211048034934498E-2</v>
      </c>
      <c r="Q16" s="213">
        <f t="shared" si="4"/>
        <v>1.4114514285714285E-2</v>
      </c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</row>
    <row r="17" spans="1:32" s="174" customFormat="1" ht="15" x14ac:dyDescent="0.25">
      <c r="A17" s="140" t="s">
        <v>19</v>
      </c>
      <c r="B17" s="177">
        <v>160829</v>
      </c>
      <c r="C17" s="177">
        <v>135945</v>
      </c>
      <c r="D17" s="177">
        <v>150750</v>
      </c>
      <c r="E17" s="177">
        <v>167741</v>
      </c>
      <c r="F17" s="177">
        <v>184273</v>
      </c>
      <c r="G17" s="177">
        <v>170480</v>
      </c>
      <c r="H17" s="178">
        <v>180279</v>
      </c>
      <c r="I17" s="177">
        <v>167317</v>
      </c>
      <c r="J17" s="177">
        <v>168288</v>
      </c>
      <c r="K17" s="177">
        <v>160680</v>
      </c>
      <c r="L17" s="176">
        <v>163485</v>
      </c>
      <c r="M17" s="177">
        <v>154874</v>
      </c>
      <c r="N17" s="212">
        <f t="shared" si="1"/>
        <v>163745.08333333334</v>
      </c>
      <c r="O17" s="213">
        <f t="shared" si="2"/>
        <v>8.3790291974226785E-3</v>
      </c>
      <c r="P17" s="213">
        <f t="shared" si="3"/>
        <v>7.3064192139737994E-3</v>
      </c>
      <c r="Q17" s="213">
        <f t="shared" si="4"/>
        <v>9.1902285714285711E-3</v>
      </c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</row>
    <row r="18" spans="1:32" s="174" customFormat="1" ht="15" x14ac:dyDescent="0.25">
      <c r="A18" s="142" t="s">
        <v>23</v>
      </c>
      <c r="B18" s="177">
        <v>19167</v>
      </c>
      <c r="C18" s="177">
        <v>15436</v>
      </c>
      <c r="D18" s="177">
        <v>23929</v>
      </c>
      <c r="E18" s="177">
        <v>28302</v>
      </c>
      <c r="F18" s="177">
        <v>22695</v>
      </c>
      <c r="G18" s="177">
        <v>20561</v>
      </c>
      <c r="H18" s="178">
        <v>20326</v>
      </c>
      <c r="I18" s="177">
        <v>26019</v>
      </c>
      <c r="J18" s="177">
        <v>19106</v>
      </c>
      <c r="K18" s="177">
        <v>23779</v>
      </c>
      <c r="L18" s="176">
        <v>18663</v>
      </c>
      <c r="M18" s="177">
        <v>14299</v>
      </c>
      <c r="N18" s="212">
        <f t="shared" si="1"/>
        <v>21023.5</v>
      </c>
      <c r="O18" s="213">
        <f t="shared" si="2"/>
        <v>1.0757973109544704E-3</v>
      </c>
      <c r="P18" s="213">
        <f t="shared" si="3"/>
        <v>1.1362008733624455E-3</v>
      </c>
      <c r="Q18" s="213">
        <f t="shared" si="4"/>
        <v>1.0952571428571429E-3</v>
      </c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</row>
    <row r="19" spans="1:32" s="174" customFormat="1" ht="15" x14ac:dyDescent="0.25">
      <c r="A19" s="142" t="s">
        <v>18</v>
      </c>
      <c r="B19" s="177">
        <v>23400</v>
      </c>
      <c r="C19" s="177">
        <v>25496</v>
      </c>
      <c r="D19" s="177">
        <v>20253</v>
      </c>
      <c r="E19" s="177">
        <v>24417</v>
      </c>
      <c r="F19" s="177">
        <v>16151</v>
      </c>
      <c r="G19" s="177">
        <v>17984</v>
      </c>
      <c r="H19" s="178">
        <v>16615</v>
      </c>
      <c r="I19" s="177">
        <v>16941</v>
      </c>
      <c r="J19" s="177">
        <v>17285</v>
      </c>
      <c r="K19" s="177">
        <v>15990</v>
      </c>
      <c r="L19" s="176">
        <v>16716</v>
      </c>
      <c r="M19" s="177">
        <v>13987</v>
      </c>
      <c r="N19" s="212">
        <f t="shared" si="1"/>
        <v>18769.583333333332</v>
      </c>
      <c r="O19" s="213">
        <f t="shared" si="2"/>
        <v>9.6046173461772995E-4</v>
      </c>
      <c r="P19" s="213">
        <f t="shared" si="3"/>
        <v>7.3978165938864623E-4</v>
      </c>
      <c r="Q19" s="213">
        <f t="shared" si="4"/>
        <v>1.3371428571428571E-3</v>
      </c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</row>
    <row r="20" spans="1:32" s="174" customFormat="1" ht="15" x14ac:dyDescent="0.25">
      <c r="A20" s="140" t="s">
        <v>62</v>
      </c>
      <c r="B20" s="177">
        <v>12924</v>
      </c>
      <c r="C20" s="177">
        <v>12611</v>
      </c>
      <c r="D20" s="177">
        <v>9034</v>
      </c>
      <c r="E20" s="177">
        <v>13327</v>
      </c>
      <c r="F20" s="177">
        <v>15147</v>
      </c>
      <c r="G20" s="177">
        <v>13525</v>
      </c>
      <c r="H20" s="178">
        <v>15710</v>
      </c>
      <c r="I20" s="177">
        <v>15115</v>
      </c>
      <c r="J20" s="177">
        <v>15833</v>
      </c>
      <c r="K20" s="177">
        <v>14209</v>
      </c>
      <c r="L20" s="176">
        <v>12357</v>
      </c>
      <c r="M20" s="177">
        <v>11987</v>
      </c>
      <c r="N20" s="212">
        <f t="shared" si="1"/>
        <v>13481.583333333334</v>
      </c>
      <c r="O20" s="213">
        <f t="shared" si="2"/>
        <v>6.8986853270904501E-4</v>
      </c>
      <c r="P20" s="213">
        <f t="shared" si="3"/>
        <v>6.6004366812227075E-4</v>
      </c>
      <c r="Q20" s="213">
        <f t="shared" si="4"/>
        <v>7.3851428571428568E-4</v>
      </c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</row>
    <row r="21" spans="1:32" s="174" customFormat="1" ht="15" x14ac:dyDescent="0.25">
      <c r="A21" s="142" t="s">
        <v>63</v>
      </c>
      <c r="B21" s="177">
        <v>10834</v>
      </c>
      <c r="C21" s="177">
        <v>11332</v>
      </c>
      <c r="D21" s="177">
        <v>9990</v>
      </c>
      <c r="E21" s="177">
        <v>10062</v>
      </c>
      <c r="F21" s="177">
        <v>10660</v>
      </c>
      <c r="G21" s="177">
        <v>10992</v>
      </c>
      <c r="H21" s="178">
        <v>10653</v>
      </c>
      <c r="I21" s="177">
        <v>9201</v>
      </c>
      <c r="J21" s="177">
        <v>9381</v>
      </c>
      <c r="K21" s="177">
        <v>8673</v>
      </c>
      <c r="L21" s="176">
        <v>8945</v>
      </c>
      <c r="M21" s="177">
        <v>8689</v>
      </c>
      <c r="N21" s="212">
        <f t="shared" si="1"/>
        <v>9951</v>
      </c>
      <c r="O21" s="213">
        <f t="shared" si="2"/>
        <v>5.0920441607286775E-4</v>
      </c>
      <c r="P21" s="213">
        <f t="shared" si="3"/>
        <v>4.0179039301310043E-4</v>
      </c>
      <c r="Q21" s="213">
        <f t="shared" si="4"/>
        <v>6.1908571428571425E-4</v>
      </c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</row>
    <row r="22" spans="1:32" s="174" customFormat="1" ht="15" x14ac:dyDescent="0.25">
      <c r="A22" s="140" t="s">
        <v>88</v>
      </c>
      <c r="B22" s="177">
        <v>4428</v>
      </c>
      <c r="C22" s="177">
        <v>4455</v>
      </c>
      <c r="D22" s="177">
        <v>5431</v>
      </c>
      <c r="E22" s="177">
        <v>13901</v>
      </c>
      <c r="F22" s="177">
        <v>3369</v>
      </c>
      <c r="G22" s="177">
        <v>1884</v>
      </c>
      <c r="H22" s="178">
        <v>1350</v>
      </c>
      <c r="I22" s="177">
        <v>8026</v>
      </c>
      <c r="J22" s="177">
        <v>31709</v>
      </c>
      <c r="K22" s="177">
        <v>5136</v>
      </c>
      <c r="L22" s="176">
        <v>12666</v>
      </c>
      <c r="M22" s="177">
        <v>5108</v>
      </c>
      <c r="N22" s="212">
        <f t="shared" si="1"/>
        <v>8121.916666666667</v>
      </c>
      <c r="O22" s="213">
        <f t="shared" si="2"/>
        <v>4.1560806287232365E-4</v>
      </c>
      <c r="P22" s="213">
        <f t="shared" si="3"/>
        <v>3.5048034934497815E-4</v>
      </c>
      <c r="Q22" s="213">
        <f t="shared" si="4"/>
        <v>2.5302857142857143E-4</v>
      </c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</row>
    <row r="23" spans="1:32" s="174" customFormat="1" ht="15" x14ac:dyDescent="0.25">
      <c r="A23" s="142" t="s">
        <v>30</v>
      </c>
      <c r="B23" s="177">
        <v>3473</v>
      </c>
      <c r="C23" s="177">
        <v>3853</v>
      </c>
      <c r="D23" s="177">
        <v>3488</v>
      </c>
      <c r="E23" s="177">
        <v>3597</v>
      </c>
      <c r="F23" s="177">
        <v>3481</v>
      </c>
      <c r="G23" s="177">
        <v>3601</v>
      </c>
      <c r="H23" s="178">
        <v>3484</v>
      </c>
      <c r="I23" s="177">
        <v>3499</v>
      </c>
      <c r="J23" s="177">
        <v>3381</v>
      </c>
      <c r="K23" s="177">
        <v>3483</v>
      </c>
      <c r="L23" s="176">
        <v>3566</v>
      </c>
      <c r="M23" s="177">
        <v>3503</v>
      </c>
      <c r="N23" s="212">
        <f t="shared" si="1"/>
        <v>3534.0833333333335</v>
      </c>
      <c r="O23" s="213">
        <f t="shared" si="2"/>
        <v>1.8084321576754638E-4</v>
      </c>
      <c r="P23" s="213">
        <f t="shared" si="3"/>
        <v>1.5279475982532751E-4</v>
      </c>
      <c r="Q23" s="213">
        <f t="shared" si="4"/>
        <v>1.9845714285714286E-4</v>
      </c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</row>
    <row r="24" spans="1:32" s="174" customFormat="1" ht="15" x14ac:dyDescent="0.25">
      <c r="A24" s="142" t="s">
        <v>94</v>
      </c>
      <c r="B24" s="177">
        <v>1716</v>
      </c>
      <c r="C24" s="177">
        <v>3494</v>
      </c>
      <c r="D24" s="177">
        <v>4628</v>
      </c>
      <c r="E24" s="177">
        <v>2847</v>
      </c>
      <c r="F24" s="177">
        <v>1674</v>
      </c>
      <c r="G24" s="177">
        <v>2158</v>
      </c>
      <c r="H24" s="178">
        <v>2207</v>
      </c>
      <c r="I24" s="177">
        <v>1374</v>
      </c>
      <c r="J24" s="177">
        <v>1472</v>
      </c>
      <c r="K24" s="177">
        <v>1157</v>
      </c>
      <c r="L24" s="176">
        <v>23</v>
      </c>
      <c r="M24" s="177">
        <v>639</v>
      </c>
      <c r="N24" s="212">
        <f t="shared" si="1"/>
        <v>1949.0833333333333</v>
      </c>
      <c r="O24" s="213">
        <f t="shared" si="2"/>
        <v>9.9736894847488557E-5</v>
      </c>
      <c r="P24" s="213">
        <f t="shared" si="3"/>
        <v>6.0000000000000002E-5</v>
      </c>
      <c r="Q24" s="213">
        <f t="shared" si="4"/>
        <v>9.8057142857142863E-5</v>
      </c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</row>
    <row r="25" spans="1:32" s="174" customFormat="1" ht="15" x14ac:dyDescent="0.25">
      <c r="A25" s="140" t="s">
        <v>29</v>
      </c>
      <c r="B25" s="177">
        <v>11539</v>
      </c>
      <c r="C25" s="177">
        <v>0</v>
      </c>
      <c r="D25" s="177">
        <v>0</v>
      </c>
      <c r="E25" s="177">
        <v>0</v>
      </c>
      <c r="F25" s="177">
        <v>0</v>
      </c>
      <c r="G25" s="177">
        <v>0</v>
      </c>
      <c r="H25" s="178">
        <v>0</v>
      </c>
      <c r="I25" s="177">
        <v>0</v>
      </c>
      <c r="J25" s="177">
        <v>0</v>
      </c>
      <c r="K25" s="177">
        <v>0</v>
      </c>
      <c r="L25" s="176">
        <v>0</v>
      </c>
      <c r="M25" s="177">
        <v>0</v>
      </c>
      <c r="N25" s="212">
        <f t="shared" si="1"/>
        <v>961.58333333333337</v>
      </c>
      <c r="O25" s="213">
        <f t="shared" si="2"/>
        <v>4.9205354211174932E-5</v>
      </c>
      <c r="P25" s="213">
        <f t="shared" si="3"/>
        <v>0</v>
      </c>
      <c r="Q25" s="213">
        <f t="shared" si="4"/>
        <v>6.5937142857142852E-4</v>
      </c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</row>
    <row r="26" spans="1:32" s="174" customFormat="1" ht="15" x14ac:dyDescent="0.25">
      <c r="A26" s="140" t="s">
        <v>27</v>
      </c>
      <c r="B26" s="177">
        <v>575</v>
      </c>
      <c r="C26" s="177">
        <v>622</v>
      </c>
      <c r="D26" s="177">
        <v>998</v>
      </c>
      <c r="E26" s="177">
        <v>790</v>
      </c>
      <c r="F26" s="177">
        <v>773</v>
      </c>
      <c r="G26" s="177">
        <v>966</v>
      </c>
      <c r="H26" s="178">
        <v>801</v>
      </c>
      <c r="I26" s="177">
        <v>1181</v>
      </c>
      <c r="J26" s="177">
        <v>1114</v>
      </c>
      <c r="K26" s="177">
        <v>990</v>
      </c>
      <c r="L26" s="176">
        <v>617</v>
      </c>
      <c r="M26" s="177">
        <v>460</v>
      </c>
      <c r="N26" s="212">
        <f t="shared" si="1"/>
        <v>823.91666666666663</v>
      </c>
      <c r="O26" s="213">
        <f t="shared" si="2"/>
        <v>4.2160788377319227E-5</v>
      </c>
      <c r="P26" s="213">
        <f t="shared" si="3"/>
        <v>5.1572052401746726E-5</v>
      </c>
      <c r="Q26" s="213">
        <f t="shared" si="4"/>
        <v>3.2857142857142857E-5</v>
      </c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</row>
    <row r="27" spans="1:32" s="174" customFormat="1" ht="15" x14ac:dyDescent="0.25">
      <c r="A27" s="142" t="s">
        <v>26</v>
      </c>
      <c r="B27" s="177">
        <v>2375</v>
      </c>
      <c r="C27" s="177">
        <v>0</v>
      </c>
      <c r="D27" s="177">
        <v>0</v>
      </c>
      <c r="E27" s="177">
        <v>0</v>
      </c>
      <c r="F27" s="177">
        <v>0</v>
      </c>
      <c r="G27" s="177">
        <v>0</v>
      </c>
      <c r="H27" s="178">
        <v>0</v>
      </c>
      <c r="I27" s="177">
        <v>0</v>
      </c>
      <c r="J27" s="177">
        <v>0</v>
      </c>
      <c r="K27" s="177">
        <v>0</v>
      </c>
      <c r="L27" s="176">
        <v>0</v>
      </c>
      <c r="M27" s="177">
        <v>0</v>
      </c>
      <c r="N27" s="212">
        <f t="shared" si="1"/>
        <v>197.91666666666666</v>
      </c>
      <c r="O27" s="213">
        <f t="shared" si="2"/>
        <v>1.0127629452425727E-5</v>
      </c>
      <c r="P27" s="213">
        <f t="shared" si="3"/>
        <v>0</v>
      </c>
      <c r="Q27" s="213">
        <f t="shared" si="4"/>
        <v>1.3571428571428572E-4</v>
      </c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</row>
    <row r="28" spans="1:32" s="174" customFormat="1" ht="15" x14ac:dyDescent="0.25">
      <c r="A28" s="140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40"/>
      <c r="Q28" s="140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</row>
    <row r="29" spans="1:32" s="174" customFormat="1" ht="15" x14ac:dyDescent="0.25">
      <c r="A29" s="140" t="s">
        <v>96</v>
      </c>
      <c r="B29" s="215">
        <f>SUM(B11:B28)</f>
        <v>16510894</v>
      </c>
      <c r="C29" s="215">
        <f t="shared" ref="C29:N29" si="5">SUM(C11:C28)</f>
        <v>15937391</v>
      </c>
      <c r="D29" s="215">
        <f t="shared" si="5"/>
        <v>14545889</v>
      </c>
      <c r="E29" s="215">
        <f t="shared" si="5"/>
        <v>16983947</v>
      </c>
      <c r="F29" s="215">
        <f t="shared" si="5"/>
        <v>17753138</v>
      </c>
      <c r="G29" s="215">
        <f t="shared" si="5"/>
        <v>19840525</v>
      </c>
      <c r="H29" s="215">
        <f t="shared" si="5"/>
        <v>20000113</v>
      </c>
      <c r="I29" s="215">
        <f t="shared" si="5"/>
        <v>19710187</v>
      </c>
      <c r="J29" s="215">
        <f t="shared" si="5"/>
        <v>21168406</v>
      </c>
      <c r="K29" s="215">
        <f t="shared" si="5"/>
        <v>18886107</v>
      </c>
      <c r="L29" s="215">
        <f t="shared" si="5"/>
        <v>17493402</v>
      </c>
      <c r="M29" s="215">
        <f t="shared" si="5"/>
        <v>15026662</v>
      </c>
      <c r="N29" s="215">
        <f t="shared" si="5"/>
        <v>17821388.416666664</v>
      </c>
      <c r="O29" s="216">
        <f>+N29/$N$46</f>
        <v>0.91194148149095755</v>
      </c>
      <c r="P29" s="216">
        <f>+I29/$I$46</f>
        <v>0.86070685589519647</v>
      </c>
      <c r="Q29" s="216">
        <f>+B29/$B$46</f>
        <v>0.9434796571428572</v>
      </c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</row>
    <row r="30" spans="1:32" s="174" customFormat="1" ht="15" x14ac:dyDescent="0.25">
      <c r="A30" s="140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7"/>
      <c r="P30" s="217"/>
      <c r="Q30" s="217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</row>
    <row r="31" spans="1:32" s="174" customFormat="1" ht="15" x14ac:dyDescent="0.25">
      <c r="A31" s="140" t="s">
        <v>97</v>
      </c>
      <c r="B31" s="177">
        <v>759818</v>
      </c>
      <c r="C31" s="177">
        <v>555405</v>
      </c>
      <c r="D31" s="177">
        <v>585861</v>
      </c>
      <c r="E31" s="177">
        <v>710173</v>
      </c>
      <c r="F31" s="177">
        <v>728052</v>
      </c>
      <c r="G31" s="177">
        <v>780103</v>
      </c>
      <c r="H31" s="178">
        <v>725301</v>
      </c>
      <c r="I31" s="177">
        <v>829055</v>
      </c>
      <c r="J31" s="177">
        <v>701642</v>
      </c>
      <c r="K31" s="177">
        <v>760590</v>
      </c>
      <c r="L31" s="176">
        <v>597790</v>
      </c>
      <c r="M31" s="177">
        <v>556950</v>
      </c>
      <c r="N31" s="218">
        <f t="shared" ref="N31:N37" si="6">SUM(B31:M31)/12</f>
        <v>690895</v>
      </c>
      <c r="O31" s="213">
        <f t="shared" ref="O31:O37" si="7">+N31/$N$46</f>
        <v>3.5353912676380661E-2</v>
      </c>
      <c r="P31" s="213">
        <f t="shared" ref="P31:P37" si="8">+I31/$I$46</f>
        <v>3.6203275109170305E-2</v>
      </c>
      <c r="Q31" s="213">
        <f t="shared" ref="Q31:Q37" si="9">+B31/$B$46</f>
        <v>4.3418171428571427E-2</v>
      </c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</row>
    <row r="32" spans="1:32" s="174" customFormat="1" ht="15" x14ac:dyDescent="0.25">
      <c r="A32" s="140" t="s">
        <v>34</v>
      </c>
      <c r="B32" s="177">
        <v>87751</v>
      </c>
      <c r="C32" s="177">
        <v>111326</v>
      </c>
      <c r="D32" s="177">
        <v>123018</v>
      </c>
      <c r="E32" s="177">
        <v>128551</v>
      </c>
      <c r="F32" s="177">
        <v>122592</v>
      </c>
      <c r="G32" s="177">
        <v>140109</v>
      </c>
      <c r="H32" s="178">
        <v>150640</v>
      </c>
      <c r="I32" s="177">
        <v>146084</v>
      </c>
      <c r="J32" s="177">
        <v>128297</v>
      </c>
      <c r="K32" s="177">
        <v>136857</v>
      </c>
      <c r="L32" s="176">
        <v>115289</v>
      </c>
      <c r="M32" s="177">
        <v>105411</v>
      </c>
      <c r="N32" s="212">
        <f t="shared" si="6"/>
        <v>124660.41666666667</v>
      </c>
      <c r="O32" s="213">
        <f t="shared" si="7"/>
        <v>6.3790206688926132E-3</v>
      </c>
      <c r="P32" s="213">
        <f t="shared" si="8"/>
        <v>6.3792139737991263E-3</v>
      </c>
      <c r="Q32" s="213">
        <f t="shared" si="9"/>
        <v>5.0143428571428573E-3</v>
      </c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</row>
    <row r="33" spans="1:32" s="174" customFormat="1" ht="15" x14ac:dyDescent="0.25">
      <c r="A33" s="140" t="s">
        <v>39</v>
      </c>
      <c r="B33" s="177">
        <v>0</v>
      </c>
      <c r="C33" s="177">
        <v>0</v>
      </c>
      <c r="D33" s="177">
        <v>0</v>
      </c>
      <c r="E33" s="177">
        <v>0</v>
      </c>
      <c r="F33" s="177">
        <v>0</v>
      </c>
      <c r="G33" s="177">
        <v>200000</v>
      </c>
      <c r="H33" s="178">
        <v>200000</v>
      </c>
      <c r="I33" s="177">
        <v>200000</v>
      </c>
      <c r="J33" s="177">
        <v>200000</v>
      </c>
      <c r="K33" s="177">
        <v>200000</v>
      </c>
      <c r="L33" s="176">
        <v>0</v>
      </c>
      <c r="M33" s="177">
        <v>0</v>
      </c>
      <c r="N33" s="212">
        <f t="shared" si="6"/>
        <v>83333.333333333328</v>
      </c>
      <c r="O33" s="213">
        <f t="shared" si="7"/>
        <v>4.2642650326003059E-3</v>
      </c>
      <c r="P33" s="213">
        <f t="shared" si="8"/>
        <v>8.7336244541484712E-3</v>
      </c>
      <c r="Q33" s="213">
        <f t="shared" si="9"/>
        <v>0</v>
      </c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</row>
    <row r="34" spans="1:32" s="174" customFormat="1" ht="15" x14ac:dyDescent="0.25">
      <c r="A34" s="140" t="s">
        <v>41</v>
      </c>
      <c r="B34" s="177">
        <v>23000</v>
      </c>
      <c r="C34" s="177">
        <v>23000</v>
      </c>
      <c r="D34" s="177">
        <v>23000</v>
      </c>
      <c r="E34" s="177">
        <v>23000</v>
      </c>
      <c r="F34" s="177">
        <v>23000</v>
      </c>
      <c r="G34" s="177">
        <v>23000</v>
      </c>
      <c r="H34" s="178">
        <v>23000</v>
      </c>
      <c r="I34" s="177">
        <v>23000</v>
      </c>
      <c r="J34" s="177">
        <v>23000</v>
      </c>
      <c r="K34" s="177">
        <v>23000</v>
      </c>
      <c r="L34" s="176">
        <v>23000</v>
      </c>
      <c r="M34" s="177">
        <v>23000</v>
      </c>
      <c r="N34" s="212">
        <f t="shared" si="6"/>
        <v>23000</v>
      </c>
      <c r="O34" s="213">
        <f t="shared" si="7"/>
        <v>1.1769371489976845E-3</v>
      </c>
      <c r="P34" s="213">
        <f t="shared" si="8"/>
        <v>1.0043668122270743E-3</v>
      </c>
      <c r="Q34" s="213">
        <f t="shared" si="9"/>
        <v>1.3142857142857142E-3</v>
      </c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</row>
    <row r="35" spans="1:32" s="174" customFormat="1" x14ac:dyDescent="0.2">
      <c r="A35" s="140" t="s">
        <v>111</v>
      </c>
      <c r="B35" s="177">
        <v>0</v>
      </c>
      <c r="C35" s="177">
        <v>30000</v>
      </c>
      <c r="D35" s="177">
        <v>20000</v>
      </c>
      <c r="E35" s="177">
        <v>10000</v>
      </c>
      <c r="F35" s="177">
        <v>20000</v>
      </c>
      <c r="G35" s="177">
        <v>35000</v>
      </c>
      <c r="H35" s="178">
        <v>35000</v>
      </c>
      <c r="I35" s="177">
        <v>35000</v>
      </c>
      <c r="J35" s="177">
        <v>25000</v>
      </c>
      <c r="K35" s="177">
        <v>20000</v>
      </c>
      <c r="L35" s="176">
        <v>10000</v>
      </c>
      <c r="M35" s="177">
        <v>20000</v>
      </c>
      <c r="N35" s="212">
        <f t="shared" si="6"/>
        <v>21666.666666666668</v>
      </c>
      <c r="O35" s="213">
        <f t="shared" si="7"/>
        <v>1.1087089084760797E-3</v>
      </c>
      <c r="P35" s="213">
        <f t="shared" si="8"/>
        <v>1.5283842794759825E-3</v>
      </c>
      <c r="Q35" s="213">
        <f t="shared" si="9"/>
        <v>0</v>
      </c>
    </row>
    <row r="36" spans="1:32" s="174" customFormat="1" x14ac:dyDescent="0.2">
      <c r="A36" s="140" t="s">
        <v>40</v>
      </c>
      <c r="B36" s="177">
        <v>12444</v>
      </c>
      <c r="C36" s="177">
        <v>8971</v>
      </c>
      <c r="D36" s="177">
        <v>7541</v>
      </c>
      <c r="E36" s="177">
        <v>12473</v>
      </c>
      <c r="F36" s="177">
        <v>12591</v>
      </c>
      <c r="G36" s="177">
        <v>12731</v>
      </c>
      <c r="H36" s="178">
        <v>12637</v>
      </c>
      <c r="I36" s="177">
        <v>13556</v>
      </c>
      <c r="J36" s="177">
        <v>13084</v>
      </c>
      <c r="K36" s="177">
        <v>11571</v>
      </c>
      <c r="L36" s="176">
        <v>9252</v>
      </c>
      <c r="M36" s="177">
        <v>8931</v>
      </c>
      <c r="N36" s="212">
        <f t="shared" si="6"/>
        <v>11315.166666666666</v>
      </c>
      <c r="O36" s="213">
        <f t="shared" si="7"/>
        <v>5.7901043465653475E-4</v>
      </c>
      <c r="P36" s="213">
        <f t="shared" si="8"/>
        <v>5.9196506550218339E-4</v>
      </c>
      <c r="Q36" s="213">
        <f t="shared" si="9"/>
        <v>7.1108571428571432E-4</v>
      </c>
    </row>
    <row r="37" spans="1:32" s="174" customFormat="1" x14ac:dyDescent="0.2">
      <c r="A37" s="140" t="s">
        <v>33</v>
      </c>
      <c r="B37" s="177">
        <v>7005</v>
      </c>
      <c r="C37" s="177">
        <v>4416</v>
      </c>
      <c r="D37" s="177">
        <v>3073</v>
      </c>
      <c r="E37" s="177">
        <v>6515</v>
      </c>
      <c r="F37" s="177">
        <v>6900</v>
      </c>
      <c r="G37" s="177">
        <v>7066</v>
      </c>
      <c r="H37" s="178">
        <v>8358</v>
      </c>
      <c r="I37" s="177">
        <v>8412</v>
      </c>
      <c r="J37" s="177">
        <v>8215</v>
      </c>
      <c r="K37" s="177">
        <v>5359</v>
      </c>
      <c r="L37" s="176">
        <v>4212</v>
      </c>
      <c r="M37" s="177">
        <v>3874</v>
      </c>
      <c r="N37" s="212">
        <f t="shared" si="6"/>
        <v>6117.083333333333</v>
      </c>
      <c r="O37" s="213">
        <f t="shared" si="7"/>
        <v>3.1301837471802547E-4</v>
      </c>
      <c r="P37" s="213">
        <f t="shared" si="8"/>
        <v>3.6733624454148473E-4</v>
      </c>
      <c r="Q37" s="213">
        <f t="shared" si="9"/>
        <v>4.002857142857143E-4</v>
      </c>
    </row>
    <row r="38" spans="1:32" s="174" customFormat="1" x14ac:dyDescent="0.2">
      <c r="A38" s="140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</row>
    <row r="39" spans="1:32" s="174" customFormat="1" x14ac:dyDescent="0.2">
      <c r="A39" s="140" t="s">
        <v>101</v>
      </c>
      <c r="B39" s="215">
        <f t="shared" ref="B39:N39" si="10">SUM(B30:B38)</f>
        <v>890018</v>
      </c>
      <c r="C39" s="215">
        <f t="shared" si="10"/>
        <v>733118</v>
      </c>
      <c r="D39" s="215">
        <f t="shared" si="10"/>
        <v>762493</v>
      </c>
      <c r="E39" s="215">
        <f t="shared" si="10"/>
        <v>890712</v>
      </c>
      <c r="F39" s="215">
        <f t="shared" si="10"/>
        <v>913135</v>
      </c>
      <c r="G39" s="215">
        <f t="shared" si="10"/>
        <v>1198009</v>
      </c>
      <c r="H39" s="215">
        <f t="shared" si="10"/>
        <v>1154936</v>
      </c>
      <c r="I39" s="215">
        <f t="shared" si="10"/>
        <v>1255107</v>
      </c>
      <c r="J39" s="215">
        <f t="shared" si="10"/>
        <v>1099238</v>
      </c>
      <c r="K39" s="215">
        <f t="shared" si="10"/>
        <v>1157377</v>
      </c>
      <c r="L39" s="215">
        <f t="shared" si="10"/>
        <v>759543</v>
      </c>
      <c r="M39" s="215">
        <f t="shared" si="10"/>
        <v>718166</v>
      </c>
      <c r="N39" s="215">
        <f t="shared" si="10"/>
        <v>960987.66666666663</v>
      </c>
      <c r="O39" s="216">
        <f>+N39/$N$46</f>
        <v>4.9174873244721903E-2</v>
      </c>
      <c r="P39" s="216">
        <f>+I39/$I$46</f>
        <v>5.4808165938864631E-2</v>
      </c>
      <c r="Q39" s="216">
        <f>+B39/$B$46</f>
        <v>5.0858171428571429E-2</v>
      </c>
    </row>
    <row r="40" spans="1:32" s="174" customFormat="1" x14ac:dyDescent="0.2">
      <c r="A40" s="140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</row>
    <row r="41" spans="1:32" s="174" customFormat="1" x14ac:dyDescent="0.2">
      <c r="A41" s="140" t="s">
        <v>102</v>
      </c>
      <c r="B41" s="177">
        <f t="shared" ref="B41:N41" si="11">+B29+B39</f>
        <v>17400912</v>
      </c>
      <c r="C41" s="177">
        <f t="shared" si="11"/>
        <v>16670509</v>
      </c>
      <c r="D41" s="177">
        <f t="shared" si="11"/>
        <v>15308382</v>
      </c>
      <c r="E41" s="177">
        <f t="shared" si="11"/>
        <v>17874659</v>
      </c>
      <c r="F41" s="177">
        <f t="shared" si="11"/>
        <v>18666273</v>
      </c>
      <c r="G41" s="177">
        <f t="shared" si="11"/>
        <v>21038534</v>
      </c>
      <c r="H41" s="177">
        <f t="shared" si="11"/>
        <v>21155049</v>
      </c>
      <c r="I41" s="177">
        <f t="shared" si="11"/>
        <v>20965294</v>
      </c>
      <c r="J41" s="177">
        <f t="shared" si="11"/>
        <v>22267644</v>
      </c>
      <c r="K41" s="177">
        <f t="shared" si="11"/>
        <v>20043484</v>
      </c>
      <c r="L41" s="177">
        <f t="shared" si="11"/>
        <v>18252945</v>
      </c>
      <c r="M41" s="177">
        <f t="shared" si="11"/>
        <v>15744828</v>
      </c>
      <c r="N41" s="177">
        <f t="shared" si="11"/>
        <v>18782376.083333332</v>
      </c>
      <c r="O41" s="219">
        <f>+N41/$N$46</f>
        <v>0.96111635473567947</v>
      </c>
      <c r="P41" s="219">
        <f>+I41/$I$46</f>
        <v>0.91551502183406108</v>
      </c>
      <c r="Q41" s="219">
        <f t="shared" ref="Q41" si="12">+B41/$B$46</f>
        <v>0.99433782857142861</v>
      </c>
    </row>
    <row r="42" spans="1:32" s="174" customFormat="1" x14ac:dyDescent="0.2">
      <c r="A42" s="220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219"/>
      <c r="P42" s="219"/>
      <c r="Q42" s="219"/>
    </row>
    <row r="43" spans="1:32" s="192" customFormat="1" ht="22.5" customHeight="1" x14ac:dyDescent="0.2">
      <c r="A43" s="221" t="s">
        <v>113</v>
      </c>
      <c r="B43" s="177">
        <f>(+B41*1.07369760846624)-B41</f>
        <v>1282405.5995314978</v>
      </c>
      <c r="C43" s="177">
        <f>(+C41*1.07369760846624)-C41</f>
        <v>1228576.6452149302</v>
      </c>
      <c r="D43" s="177">
        <f>(+D41*1.07369760846624)-D41</f>
        <v>1128191.1428876352</v>
      </c>
      <c r="E43" s="177">
        <f t="shared" ref="E43:L43" si="13">(+E41*1.07369760846624)-E41</f>
        <v>1317319.6204495542</v>
      </c>
      <c r="F43" s="177">
        <f t="shared" si="13"/>
        <v>1375659.6790779456</v>
      </c>
      <c r="G43" s="177">
        <f t="shared" si="13"/>
        <v>1550489.641435679</v>
      </c>
      <c r="H43" s="177">
        <f t="shared" si="13"/>
        <v>1559076.5182861201</v>
      </c>
      <c r="I43" s="177">
        <f t="shared" si="13"/>
        <v>1545092.0285916105</v>
      </c>
      <c r="J43" s="177">
        <f t="shared" si="13"/>
        <v>1641072.1089776158</v>
      </c>
      <c r="K43" s="177">
        <f t="shared" si="13"/>
        <v>1477156.8361313455</v>
      </c>
      <c r="L43" s="177">
        <f t="shared" si="13"/>
        <v>1345198.3939658105</v>
      </c>
      <c r="M43" s="177">
        <f>(+M41*1.07369760846624)-M41</f>
        <v>1160356.1693122908</v>
      </c>
      <c r="N43" s="177">
        <f>(+N41*1.07370030834758)-N41</f>
        <v>1384266.9088418782</v>
      </c>
      <c r="O43" s="219">
        <f>+N43/$N$46</f>
        <v>7.0834571701921645E-2</v>
      </c>
      <c r="P43" s="219">
        <f>+I43/$I$46</f>
        <v>6.7471267624087797E-2</v>
      </c>
      <c r="Q43" s="219">
        <f t="shared" ref="Q43:Q44" si="14">+B43/$B$46</f>
        <v>7.3280319973228453E-2</v>
      </c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</row>
    <row r="44" spans="1:32" s="174" customFormat="1" ht="19.5" customHeight="1" x14ac:dyDescent="0.2">
      <c r="A44" s="140" t="s">
        <v>104</v>
      </c>
      <c r="B44" s="177">
        <f>+B46-B41-B43</f>
        <v>-1183317.5995314978</v>
      </c>
      <c r="C44" s="177">
        <f t="shared" ref="C44:N44" si="15">+C46-C41-C43</f>
        <v>-1602085.6452149302</v>
      </c>
      <c r="D44" s="177">
        <f t="shared" si="15"/>
        <v>-253573.14288763516</v>
      </c>
      <c r="E44" s="177">
        <f t="shared" si="15"/>
        <v>742021.37955044582</v>
      </c>
      <c r="F44" s="177">
        <f t="shared" si="15"/>
        <v>253067.32092205435</v>
      </c>
      <c r="G44" s="177">
        <f t="shared" si="15"/>
        <v>-803023.64143567905</v>
      </c>
      <c r="H44" s="177">
        <f t="shared" si="15"/>
        <v>220874.48171387985</v>
      </c>
      <c r="I44" s="177">
        <f t="shared" si="15"/>
        <v>389613.97140838951</v>
      </c>
      <c r="J44" s="177">
        <f t="shared" si="15"/>
        <v>-2235716.1089776158</v>
      </c>
      <c r="K44" s="177">
        <f t="shared" si="15"/>
        <v>-441640.83613134548</v>
      </c>
      <c r="L44" s="177">
        <f t="shared" si="15"/>
        <v>-1768143.3939658105</v>
      </c>
      <c r="M44" s="177">
        <f t="shared" si="15"/>
        <v>-810184.16931229085</v>
      </c>
      <c r="N44" s="177">
        <f t="shared" si="15"/>
        <v>-624392.99217521027</v>
      </c>
      <c r="O44" s="219">
        <f>+N44/$N$46</f>
        <v>-3.1950926437601106E-2</v>
      </c>
      <c r="P44" s="219">
        <f>+I44/$I$46</f>
        <v>1.7013710541851069E-2</v>
      </c>
      <c r="Q44" s="219">
        <f t="shared" si="14"/>
        <v>-6.7618148544657017E-2</v>
      </c>
    </row>
    <row r="45" spans="1:32" s="174" customFormat="1" x14ac:dyDescent="0.2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</row>
    <row r="46" spans="1:32" s="174" customFormat="1" ht="13.5" thickBot="1" x14ac:dyDescent="0.25">
      <c r="A46" s="140" t="s">
        <v>105</v>
      </c>
      <c r="B46" s="222">
        <v>17500000</v>
      </c>
      <c r="C46" s="222">
        <v>16297000</v>
      </c>
      <c r="D46" s="222">
        <v>16183000</v>
      </c>
      <c r="E46" s="222">
        <v>19934000</v>
      </c>
      <c r="F46" s="222">
        <v>20295000</v>
      </c>
      <c r="G46" s="222">
        <v>21786000</v>
      </c>
      <c r="H46" s="223">
        <v>22935000</v>
      </c>
      <c r="I46" s="222">
        <v>22900000</v>
      </c>
      <c r="J46" s="222">
        <v>21673000</v>
      </c>
      <c r="K46" s="222">
        <v>21079000</v>
      </c>
      <c r="L46" s="224">
        <v>17830000</v>
      </c>
      <c r="M46" s="222">
        <v>16095000</v>
      </c>
      <c r="N46" s="222">
        <f>SUM(B46:M46)/12</f>
        <v>19542250</v>
      </c>
      <c r="O46" s="225">
        <f>+N46/$N$46</f>
        <v>1</v>
      </c>
      <c r="P46" s="225">
        <f>+G46/$G$46</f>
        <v>1</v>
      </c>
      <c r="Q46" s="225">
        <f>+C46/$C$46</f>
        <v>1</v>
      </c>
    </row>
    <row r="47" spans="1:32" ht="13.5" thickTop="1" x14ac:dyDescent="0.2"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</row>
    <row r="48" spans="1:32" x14ac:dyDescent="0.2"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</row>
    <row r="49" spans="2:32" x14ac:dyDescent="0.2"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</row>
    <row r="50" spans="2:32" x14ac:dyDescent="0.2"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</row>
    <row r="51" spans="2:32" x14ac:dyDescent="0.2"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</row>
    <row r="52" spans="2:32" x14ac:dyDescent="0.2"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</row>
    <row r="53" spans="2:32" x14ac:dyDescent="0.2"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</row>
    <row r="54" spans="2:32" x14ac:dyDescent="0.2">
      <c r="B54" s="139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</row>
    <row r="55" spans="2:32" x14ac:dyDescent="0.2">
      <c r="B55" s="139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</row>
    <row r="56" spans="2:32" x14ac:dyDescent="0.2">
      <c r="B56" s="139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</row>
    <row r="57" spans="2:32" x14ac:dyDescent="0.2">
      <c r="B57" s="139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</row>
    <row r="58" spans="2:32" x14ac:dyDescent="0.2">
      <c r="B58" s="139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</row>
    <row r="59" spans="2:32" x14ac:dyDescent="0.2">
      <c r="B59" s="139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</row>
    <row r="60" spans="2:32" x14ac:dyDescent="0.2">
      <c r="B60" s="139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</row>
    <row r="61" spans="2:32" x14ac:dyDescent="0.2">
      <c r="B61" s="139"/>
    </row>
    <row r="62" spans="2:32" x14ac:dyDescent="0.2">
      <c r="B62" s="139"/>
    </row>
  </sheetData>
  <pageMargins left="0.5" right="0.5" top="1" bottom="1" header="0.5" footer="0.5"/>
  <pageSetup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S37"/>
  <sheetViews>
    <sheetView zoomScale="75" zoomScaleNormal="75" zoomScaleSheetLayoutView="75" workbookViewId="0">
      <selection activeCell="A2" sqref="A2"/>
    </sheetView>
  </sheetViews>
  <sheetFormatPr defaultColWidth="9.140625" defaultRowHeight="12.75" x14ac:dyDescent="0.2"/>
  <cols>
    <col min="1" max="1" width="14" style="175" customWidth="1"/>
    <col min="2" max="2" width="9.140625" style="175" customWidth="1"/>
    <col min="3" max="3" width="9.7109375" style="175" customWidth="1"/>
    <col min="4" max="15" width="10.7109375" style="175" customWidth="1"/>
    <col min="16" max="16" width="10.7109375" style="175" bestFit="1" customWidth="1"/>
    <col min="17" max="17" width="11.28515625" style="175" bestFit="1" customWidth="1"/>
    <col min="18" max="16384" width="9.140625" style="175"/>
  </cols>
  <sheetData>
    <row r="1" spans="1:19" ht="15" x14ac:dyDescent="0.25">
      <c r="A1" s="324" t="s">
        <v>213</v>
      </c>
    </row>
    <row r="2" spans="1:19" ht="15" x14ac:dyDescent="0.25">
      <c r="A2" s="324" t="s">
        <v>206</v>
      </c>
    </row>
    <row r="4" spans="1:19" s="154" customFormat="1" ht="20.25" x14ac:dyDescent="0.3">
      <c r="A4" s="226" t="s">
        <v>114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3"/>
    </row>
    <row r="5" spans="1:19" s="154" customFormat="1" ht="12" thickBot="1" x14ac:dyDescent="0.25"/>
    <row r="6" spans="1:19" s="154" customFormat="1" ht="12" thickBot="1" x14ac:dyDescent="0.25">
      <c r="D6" s="227">
        <v>40909</v>
      </c>
      <c r="E6" s="227">
        <v>40940</v>
      </c>
      <c r="F6" s="227">
        <v>40969</v>
      </c>
      <c r="G6" s="227">
        <v>41000</v>
      </c>
      <c r="H6" s="227">
        <v>41030</v>
      </c>
      <c r="I6" s="227">
        <v>41061</v>
      </c>
      <c r="J6" s="227">
        <v>41091</v>
      </c>
      <c r="K6" s="227">
        <v>41122</v>
      </c>
      <c r="L6" s="227">
        <v>41153</v>
      </c>
      <c r="M6" s="227">
        <v>41183</v>
      </c>
      <c r="N6" s="227">
        <v>41214</v>
      </c>
      <c r="O6" s="227">
        <v>41244</v>
      </c>
      <c r="P6" s="228" t="s">
        <v>115</v>
      </c>
      <c r="Q6" s="229" t="s">
        <v>116</v>
      </c>
    </row>
    <row r="7" spans="1:19" s="154" customFormat="1" ht="11.25" x14ac:dyDescent="0.2"/>
    <row r="8" spans="1:19" x14ac:dyDescent="0.2">
      <c r="A8" s="154" t="s">
        <v>28</v>
      </c>
      <c r="B8" s="230"/>
      <c r="C8" s="154"/>
      <c r="D8" s="231">
        <v>11904320</v>
      </c>
      <c r="E8" s="231">
        <v>9568420</v>
      </c>
      <c r="F8" s="231">
        <v>8116901</v>
      </c>
      <c r="G8" s="231">
        <v>9975203</v>
      </c>
      <c r="H8" s="231">
        <v>9298234</v>
      </c>
      <c r="I8" s="231">
        <v>11363172</v>
      </c>
      <c r="J8" s="231">
        <v>11558790</v>
      </c>
      <c r="K8" s="231">
        <v>12090717</v>
      </c>
      <c r="L8" s="231">
        <v>12298113</v>
      </c>
      <c r="M8" s="231">
        <v>11077417</v>
      </c>
      <c r="N8" s="231">
        <v>8366554</v>
      </c>
      <c r="O8" s="231">
        <v>7438988</v>
      </c>
      <c r="P8" s="232">
        <v>12298113</v>
      </c>
      <c r="Q8" s="232">
        <v>10254735.75</v>
      </c>
      <c r="S8" s="231"/>
    </row>
    <row r="9" spans="1:19" x14ac:dyDescent="0.2">
      <c r="A9" s="154" t="s">
        <v>20</v>
      </c>
      <c r="B9" s="230"/>
      <c r="C9" s="154"/>
      <c r="D9" s="231">
        <v>3911017</v>
      </c>
      <c r="E9" s="231">
        <v>3709107</v>
      </c>
      <c r="F9" s="231">
        <v>3602955</v>
      </c>
      <c r="G9" s="231">
        <v>4068519</v>
      </c>
      <c r="H9" s="231">
        <v>3959026</v>
      </c>
      <c r="I9" s="231">
        <v>4397750</v>
      </c>
      <c r="J9" s="231">
        <v>4287978</v>
      </c>
      <c r="K9" s="231">
        <v>4360564</v>
      </c>
      <c r="L9" s="231">
        <v>4503487</v>
      </c>
      <c r="M9" s="231">
        <v>4390200</v>
      </c>
      <c r="N9" s="231">
        <v>3790525</v>
      </c>
      <c r="O9" s="231">
        <v>3814544</v>
      </c>
      <c r="P9" s="232">
        <v>4503487</v>
      </c>
      <c r="Q9" s="232">
        <v>4066306</v>
      </c>
    </row>
    <row r="10" spans="1:19" x14ac:dyDescent="0.2">
      <c r="A10" s="154" t="s">
        <v>21</v>
      </c>
      <c r="B10" s="230"/>
      <c r="C10" s="154"/>
      <c r="D10" s="231">
        <v>1725139</v>
      </c>
      <c r="E10" s="231">
        <v>1724427</v>
      </c>
      <c r="F10" s="231">
        <v>1687140</v>
      </c>
      <c r="G10" s="231">
        <v>1793507</v>
      </c>
      <c r="H10" s="231">
        <v>1801109</v>
      </c>
      <c r="I10" s="231">
        <v>1929788</v>
      </c>
      <c r="J10" s="231">
        <v>1818688</v>
      </c>
      <c r="K10" s="231">
        <v>1885681</v>
      </c>
      <c r="L10" s="231">
        <v>2013462</v>
      </c>
      <c r="M10" s="231">
        <v>2072336</v>
      </c>
      <c r="N10" s="231">
        <v>1785896</v>
      </c>
      <c r="O10" s="231">
        <v>1836752</v>
      </c>
      <c r="P10" s="232">
        <v>2072336</v>
      </c>
      <c r="Q10" s="232">
        <v>1839493.75</v>
      </c>
    </row>
    <row r="11" spans="1:19" x14ac:dyDescent="0.2">
      <c r="A11" s="154" t="s">
        <v>24</v>
      </c>
      <c r="B11" s="230"/>
      <c r="C11" s="154"/>
      <c r="D11" s="231">
        <v>937949</v>
      </c>
      <c r="E11" s="231">
        <v>928858</v>
      </c>
      <c r="F11" s="231">
        <v>887784</v>
      </c>
      <c r="G11" s="231">
        <v>1071615</v>
      </c>
      <c r="H11" s="231">
        <v>1043117</v>
      </c>
      <c r="I11" s="231">
        <v>1184837</v>
      </c>
      <c r="J11" s="231">
        <v>1146447</v>
      </c>
      <c r="K11" s="231">
        <v>1199798</v>
      </c>
      <c r="L11" s="231">
        <v>1195183</v>
      </c>
      <c r="M11" s="231">
        <v>1145880</v>
      </c>
      <c r="N11" s="231">
        <v>942631</v>
      </c>
      <c r="O11" s="231">
        <v>934253</v>
      </c>
      <c r="P11" s="232">
        <v>1199798</v>
      </c>
      <c r="Q11" s="232">
        <v>1051529.3333333333</v>
      </c>
    </row>
    <row r="12" spans="1:19" x14ac:dyDescent="0.2">
      <c r="A12" s="154" t="s">
        <v>17</v>
      </c>
      <c r="B12" s="230"/>
      <c r="C12" s="154"/>
      <c r="D12" s="231">
        <v>379965</v>
      </c>
      <c r="E12" s="231">
        <v>374619</v>
      </c>
      <c r="F12" s="231">
        <v>366419</v>
      </c>
      <c r="G12" s="231">
        <v>389240</v>
      </c>
      <c r="H12" s="231">
        <v>362668</v>
      </c>
      <c r="I12" s="231">
        <v>402873</v>
      </c>
      <c r="J12" s="231">
        <v>386058</v>
      </c>
      <c r="K12" s="231">
        <v>392671</v>
      </c>
      <c r="L12" s="231">
        <v>403040</v>
      </c>
      <c r="M12" s="231">
        <v>386650</v>
      </c>
      <c r="N12" s="231">
        <v>377780</v>
      </c>
      <c r="O12" s="231">
        <v>370360</v>
      </c>
      <c r="P12" s="232">
        <v>403040</v>
      </c>
      <c r="Q12" s="232">
        <v>382695.25</v>
      </c>
    </row>
    <row r="13" spans="1:19" x14ac:dyDescent="0.2">
      <c r="A13" s="154" t="s">
        <v>22</v>
      </c>
      <c r="B13" s="230"/>
      <c r="C13" s="154"/>
      <c r="D13" s="231">
        <v>334054</v>
      </c>
      <c r="E13" s="231">
        <v>323543</v>
      </c>
      <c r="F13" s="231">
        <v>325434</v>
      </c>
      <c r="G13" s="231">
        <v>334283</v>
      </c>
      <c r="H13" s="231">
        <v>325162</v>
      </c>
      <c r="I13" s="231">
        <v>358606</v>
      </c>
      <c r="J13" s="231">
        <v>351506</v>
      </c>
      <c r="K13" s="231">
        <v>355272</v>
      </c>
      <c r="L13" s="231">
        <v>365498</v>
      </c>
      <c r="M13" s="231">
        <v>361965</v>
      </c>
      <c r="N13" s="231">
        <v>348293</v>
      </c>
      <c r="O13" s="231">
        <v>332568</v>
      </c>
      <c r="P13" s="232">
        <v>365498</v>
      </c>
      <c r="Q13" s="232">
        <v>343015.33333333331</v>
      </c>
    </row>
    <row r="14" spans="1:19" x14ac:dyDescent="0.2">
      <c r="A14" s="154" t="s">
        <v>19</v>
      </c>
      <c r="B14" s="230"/>
      <c r="C14" s="154"/>
      <c r="D14" s="231">
        <v>185688</v>
      </c>
      <c r="E14" s="231">
        <v>160854</v>
      </c>
      <c r="F14" s="231">
        <v>180774</v>
      </c>
      <c r="G14" s="231">
        <v>168732</v>
      </c>
      <c r="H14" s="231">
        <v>184685</v>
      </c>
      <c r="I14" s="231">
        <v>176538</v>
      </c>
      <c r="J14" s="231">
        <v>185096</v>
      </c>
      <c r="K14" s="231">
        <v>183989</v>
      </c>
      <c r="L14" s="231">
        <v>186359</v>
      </c>
      <c r="M14" s="231">
        <v>196118</v>
      </c>
      <c r="N14" s="231">
        <v>176353</v>
      </c>
      <c r="O14" s="231">
        <v>175226</v>
      </c>
      <c r="P14" s="232">
        <v>196118</v>
      </c>
      <c r="Q14" s="232">
        <v>180034.33333333334</v>
      </c>
    </row>
    <row r="15" spans="1:19" x14ac:dyDescent="0.2">
      <c r="A15" s="154" t="s">
        <v>29</v>
      </c>
      <c r="B15" s="230"/>
      <c r="C15" s="154"/>
      <c r="D15" s="231">
        <v>101421</v>
      </c>
      <c r="E15" s="231">
        <v>113971</v>
      </c>
      <c r="F15" s="231">
        <v>116110</v>
      </c>
      <c r="G15" s="231">
        <v>126781</v>
      </c>
      <c r="H15" s="231">
        <v>125952</v>
      </c>
      <c r="I15" s="231">
        <v>144305</v>
      </c>
      <c r="J15" s="231">
        <v>125150</v>
      </c>
      <c r="K15" s="231">
        <v>129358</v>
      </c>
      <c r="L15" s="231">
        <v>121260</v>
      </c>
      <c r="M15" s="231">
        <v>96470</v>
      </c>
      <c r="N15" s="231">
        <v>121343</v>
      </c>
      <c r="O15" s="231">
        <v>102654</v>
      </c>
      <c r="P15" s="232">
        <v>144305</v>
      </c>
      <c r="Q15" s="232">
        <v>118731.25</v>
      </c>
    </row>
    <row r="16" spans="1:19" x14ac:dyDescent="0.2">
      <c r="A16" s="154" t="s">
        <v>88</v>
      </c>
      <c r="B16" s="230"/>
      <c r="C16" s="154"/>
      <c r="D16" s="231">
        <v>33869</v>
      </c>
      <c r="E16" s="231">
        <v>24419</v>
      </c>
      <c r="F16" s="231">
        <v>27335</v>
      </c>
      <c r="G16" s="231">
        <v>38857</v>
      </c>
      <c r="H16" s="231">
        <v>32854</v>
      </c>
      <c r="I16" s="231">
        <v>23756</v>
      </c>
      <c r="J16" s="231">
        <v>15599</v>
      </c>
      <c r="K16" s="231">
        <v>36764</v>
      </c>
      <c r="L16" s="231">
        <v>37986</v>
      </c>
      <c r="M16" s="231">
        <v>44487</v>
      </c>
      <c r="N16" s="231">
        <v>32486</v>
      </c>
      <c r="O16" s="231">
        <v>36138</v>
      </c>
      <c r="P16" s="232">
        <v>44487</v>
      </c>
      <c r="Q16" s="232">
        <v>32045.833333333332</v>
      </c>
    </row>
    <row r="17" spans="1:17" x14ac:dyDescent="0.2">
      <c r="A17" s="154" t="s">
        <v>23</v>
      </c>
      <c r="B17" s="230"/>
      <c r="C17" s="154"/>
      <c r="D17" s="231">
        <v>27522</v>
      </c>
      <c r="E17" s="231">
        <v>29770</v>
      </c>
      <c r="F17" s="231">
        <v>26797</v>
      </c>
      <c r="G17" s="231">
        <v>31692</v>
      </c>
      <c r="H17" s="231">
        <v>29061</v>
      </c>
      <c r="I17" s="231">
        <v>24028</v>
      </c>
      <c r="J17" s="231">
        <v>24104</v>
      </c>
      <c r="K17" s="231">
        <v>26885</v>
      </c>
      <c r="L17" s="231">
        <v>29287</v>
      </c>
      <c r="M17" s="231">
        <v>28471</v>
      </c>
      <c r="N17" s="231">
        <v>25482</v>
      </c>
      <c r="O17" s="231">
        <v>28451</v>
      </c>
      <c r="P17" s="232">
        <v>31692</v>
      </c>
      <c r="Q17" s="232">
        <v>27629.166666666668</v>
      </c>
    </row>
    <row r="18" spans="1:17" x14ac:dyDescent="0.2">
      <c r="A18" s="154" t="s">
        <v>18</v>
      </c>
      <c r="B18" s="230"/>
      <c r="C18" s="154"/>
      <c r="D18" s="231">
        <v>25338</v>
      </c>
      <c r="E18" s="231">
        <v>24763</v>
      </c>
      <c r="F18" s="231">
        <v>22727</v>
      </c>
      <c r="G18" s="231">
        <v>26010</v>
      </c>
      <c r="H18" s="231">
        <v>24210</v>
      </c>
      <c r="I18" s="231">
        <v>26406</v>
      </c>
      <c r="J18" s="231">
        <v>25616</v>
      </c>
      <c r="K18" s="231">
        <v>26344</v>
      </c>
      <c r="L18" s="231">
        <v>27088</v>
      </c>
      <c r="M18" s="231">
        <v>26026</v>
      </c>
      <c r="N18" s="231">
        <v>24789</v>
      </c>
      <c r="O18" s="231">
        <v>23955</v>
      </c>
      <c r="P18" s="232">
        <v>27088</v>
      </c>
      <c r="Q18" s="232">
        <v>25272.666666666668</v>
      </c>
    </row>
    <row r="19" spans="1:17" x14ac:dyDescent="0.2">
      <c r="A19" s="154" t="s">
        <v>26</v>
      </c>
      <c r="B19" s="230"/>
      <c r="C19" s="154"/>
      <c r="D19" s="231">
        <v>20334</v>
      </c>
      <c r="E19" s="231">
        <v>22670</v>
      </c>
      <c r="F19" s="231">
        <v>22559</v>
      </c>
      <c r="G19" s="231">
        <v>24862</v>
      </c>
      <c r="H19" s="231">
        <v>25513</v>
      </c>
      <c r="I19" s="231">
        <v>27122</v>
      </c>
      <c r="J19" s="231">
        <v>25641</v>
      </c>
      <c r="K19" s="231">
        <v>24696</v>
      </c>
      <c r="L19" s="231">
        <v>23927</v>
      </c>
      <c r="M19" s="231">
        <v>21698</v>
      </c>
      <c r="N19" s="231">
        <v>21198</v>
      </c>
      <c r="O19" s="231">
        <v>20160</v>
      </c>
      <c r="P19" s="232">
        <v>27122</v>
      </c>
      <c r="Q19" s="232">
        <v>23365</v>
      </c>
    </row>
    <row r="20" spans="1:17" x14ac:dyDescent="0.2">
      <c r="A20" s="154" t="s">
        <v>62</v>
      </c>
      <c r="B20" s="230"/>
      <c r="C20" s="154"/>
      <c r="D20" s="231">
        <v>13595</v>
      </c>
      <c r="E20" s="231">
        <v>13719</v>
      </c>
      <c r="F20" s="231">
        <v>14007</v>
      </c>
      <c r="G20" s="231">
        <v>13809</v>
      </c>
      <c r="H20" s="231">
        <v>13777</v>
      </c>
      <c r="I20" s="231">
        <v>14513</v>
      </c>
      <c r="J20" s="231">
        <v>13948</v>
      </c>
      <c r="K20" s="231">
        <v>13368</v>
      </c>
      <c r="L20" s="231">
        <v>13158</v>
      </c>
      <c r="M20" s="231">
        <v>14494</v>
      </c>
      <c r="N20" s="231">
        <v>14114</v>
      </c>
      <c r="O20" s="231">
        <v>14113</v>
      </c>
      <c r="P20" s="232">
        <v>14513</v>
      </c>
      <c r="Q20" s="232">
        <v>13884.583333333334</v>
      </c>
    </row>
    <row r="21" spans="1:17" x14ac:dyDescent="0.2">
      <c r="A21" s="154" t="s">
        <v>27</v>
      </c>
      <c r="B21" s="230"/>
      <c r="C21" s="154"/>
      <c r="D21" s="231">
        <v>9482</v>
      </c>
      <c r="E21" s="231">
        <v>11364</v>
      </c>
      <c r="F21" s="231">
        <v>12039</v>
      </c>
      <c r="G21" s="231">
        <v>10789</v>
      </c>
      <c r="H21" s="231">
        <v>7933</v>
      </c>
      <c r="I21" s="231">
        <v>6759</v>
      </c>
      <c r="J21" s="231">
        <v>5244</v>
      </c>
      <c r="K21" s="231">
        <v>6382</v>
      </c>
      <c r="L21" s="231">
        <v>9393</v>
      </c>
      <c r="M21" s="231">
        <v>10818</v>
      </c>
      <c r="N21" s="231">
        <v>11047</v>
      </c>
      <c r="O21" s="231">
        <v>10729</v>
      </c>
      <c r="P21" s="232">
        <v>12039</v>
      </c>
      <c r="Q21" s="232">
        <v>9331.5833333333339</v>
      </c>
    </row>
    <row r="22" spans="1:17" x14ac:dyDescent="0.2">
      <c r="A22" s="154" t="s">
        <v>63</v>
      </c>
      <c r="B22" s="230"/>
      <c r="C22" s="154"/>
      <c r="D22" s="231">
        <v>3707</v>
      </c>
      <c r="E22" s="231">
        <v>3450</v>
      </c>
      <c r="F22" s="231">
        <v>3293</v>
      </c>
      <c r="G22" s="231">
        <v>3455</v>
      </c>
      <c r="H22" s="231">
        <v>3228</v>
      </c>
      <c r="I22" s="231">
        <v>3471</v>
      </c>
      <c r="J22" s="231">
        <v>3173</v>
      </c>
      <c r="K22" s="231">
        <v>3157</v>
      </c>
      <c r="L22" s="231">
        <v>3111</v>
      </c>
      <c r="M22" s="231">
        <v>2958</v>
      </c>
      <c r="N22" s="231">
        <v>3045</v>
      </c>
      <c r="O22" s="231">
        <v>2948</v>
      </c>
      <c r="P22" s="232">
        <v>3707</v>
      </c>
      <c r="Q22" s="232">
        <v>3249.6666666666665</v>
      </c>
    </row>
    <row r="23" spans="1:17" x14ac:dyDescent="0.2">
      <c r="A23" s="154" t="s">
        <v>94</v>
      </c>
      <c r="B23" s="230"/>
      <c r="C23" s="154"/>
      <c r="D23" s="231">
        <v>3522</v>
      </c>
      <c r="E23" s="231">
        <v>3768</v>
      </c>
      <c r="F23" s="231">
        <v>3537</v>
      </c>
      <c r="G23" s="231">
        <v>3659</v>
      </c>
      <c r="H23" s="231">
        <v>3501</v>
      </c>
      <c r="I23" s="231">
        <v>3622</v>
      </c>
      <c r="J23" s="231">
        <v>3518</v>
      </c>
      <c r="K23" s="231">
        <v>3518</v>
      </c>
      <c r="L23" s="231">
        <v>3637</v>
      </c>
      <c r="M23" s="231">
        <v>3518</v>
      </c>
      <c r="N23" s="231">
        <v>3634</v>
      </c>
      <c r="O23" s="231">
        <v>3524</v>
      </c>
      <c r="P23" s="232">
        <v>3768</v>
      </c>
      <c r="Q23" s="232">
        <v>3579.8333333333335</v>
      </c>
    </row>
    <row r="24" spans="1:17" x14ac:dyDescent="0.2">
      <c r="A24" s="154" t="s">
        <v>30</v>
      </c>
      <c r="B24" s="230"/>
      <c r="C24" s="154"/>
      <c r="D24" s="231">
        <v>173</v>
      </c>
      <c r="E24" s="231">
        <v>3093</v>
      </c>
      <c r="F24" s="231">
        <v>3259</v>
      </c>
      <c r="G24" s="231">
        <v>1479</v>
      </c>
      <c r="H24" s="231">
        <v>1473</v>
      </c>
      <c r="I24" s="231">
        <v>1473</v>
      </c>
      <c r="J24" s="231">
        <v>2632</v>
      </c>
      <c r="K24" s="231">
        <v>2934</v>
      </c>
      <c r="L24" s="231">
        <v>3077</v>
      </c>
      <c r="M24" s="231">
        <v>4084</v>
      </c>
      <c r="N24" s="231">
        <v>3250</v>
      </c>
      <c r="O24" s="231">
        <v>3691</v>
      </c>
      <c r="P24" s="232">
        <v>4084</v>
      </c>
      <c r="Q24" s="232">
        <v>2551.5</v>
      </c>
    </row>
    <row r="25" spans="1:17" x14ac:dyDescent="0.2">
      <c r="A25" s="233" t="s">
        <v>118</v>
      </c>
      <c r="B25" s="154"/>
      <c r="C25" s="234"/>
      <c r="D25" s="235">
        <f t="shared" ref="D25:O25" si="0">SUM(D24,D22,D23,D21,D20,D19,D18,D17,D16,D15,D13,D14,D12,D10,D11,D9,D8)</f>
        <v>19617095</v>
      </c>
      <c r="E25" s="235">
        <f t="shared" si="0"/>
        <v>17040815</v>
      </c>
      <c r="F25" s="235">
        <f t="shared" si="0"/>
        <v>15419070</v>
      </c>
      <c r="G25" s="235">
        <f t="shared" si="0"/>
        <v>18082492</v>
      </c>
      <c r="H25" s="235">
        <f t="shared" si="0"/>
        <v>17241503</v>
      </c>
      <c r="I25" s="235">
        <f t="shared" si="0"/>
        <v>20089019</v>
      </c>
      <c r="J25" s="235">
        <f t="shared" si="0"/>
        <v>19979188</v>
      </c>
      <c r="K25" s="235">
        <f t="shared" si="0"/>
        <v>20742098</v>
      </c>
      <c r="L25" s="235">
        <f t="shared" si="0"/>
        <v>21237066</v>
      </c>
      <c r="M25" s="235">
        <f t="shared" si="0"/>
        <v>19883590</v>
      </c>
      <c r="N25" s="235">
        <f t="shared" si="0"/>
        <v>16048420</v>
      </c>
      <c r="O25" s="235">
        <f t="shared" si="0"/>
        <v>15149054</v>
      </c>
      <c r="P25" s="236">
        <f>SUM(P8:P24)</f>
        <v>21351195</v>
      </c>
      <c r="Q25" s="236">
        <f>SUM(Q8:Q24)</f>
        <v>18377450.833333328</v>
      </c>
    </row>
    <row r="26" spans="1:17" x14ac:dyDescent="0.2">
      <c r="A26" s="154"/>
      <c r="B26" s="230" t="s">
        <v>97</v>
      </c>
      <c r="C26" s="154" t="s">
        <v>117</v>
      </c>
      <c r="D26" s="231">
        <v>224965</v>
      </c>
      <c r="E26" s="231">
        <v>207234</v>
      </c>
      <c r="F26" s="231">
        <v>189386</v>
      </c>
      <c r="G26" s="231">
        <v>207338</v>
      </c>
      <c r="H26" s="231">
        <v>217637</v>
      </c>
      <c r="I26" s="231">
        <v>217981</v>
      </c>
      <c r="J26" s="231">
        <v>229570</v>
      </c>
      <c r="K26" s="231">
        <v>238022</v>
      </c>
      <c r="L26" s="231">
        <v>216824</v>
      </c>
      <c r="M26" s="231">
        <v>214833</v>
      </c>
      <c r="N26" s="231">
        <v>151505</v>
      </c>
      <c r="O26" s="231">
        <v>174495</v>
      </c>
      <c r="P26" s="232">
        <f t="shared" ref="P26:P31" si="1">MAX(D26:O26)</f>
        <v>238022</v>
      </c>
      <c r="Q26" s="232">
        <f t="shared" ref="Q26:Q31" si="2">SUM(D26:O26)/12</f>
        <v>207482.5</v>
      </c>
    </row>
    <row r="27" spans="1:17" x14ac:dyDescent="0.2">
      <c r="A27" s="154"/>
      <c r="B27" s="230" t="s">
        <v>98</v>
      </c>
      <c r="C27" s="154" t="s">
        <v>117</v>
      </c>
      <c r="D27" s="231">
        <v>102096</v>
      </c>
      <c r="E27" s="231">
        <v>111487</v>
      </c>
      <c r="F27" s="231">
        <v>112607</v>
      </c>
      <c r="G27" s="231">
        <v>126051</v>
      </c>
      <c r="H27" s="231">
        <v>135351</v>
      </c>
      <c r="I27" s="231">
        <v>137906</v>
      </c>
      <c r="J27" s="231">
        <v>148604</v>
      </c>
      <c r="K27" s="231">
        <v>144516</v>
      </c>
      <c r="L27" s="231">
        <v>135020</v>
      </c>
      <c r="M27" s="231">
        <v>125289</v>
      </c>
      <c r="N27" s="231">
        <v>86408</v>
      </c>
      <c r="O27" s="231">
        <v>111909</v>
      </c>
      <c r="P27" s="232">
        <f t="shared" si="1"/>
        <v>148604</v>
      </c>
      <c r="Q27" s="232">
        <f t="shared" si="2"/>
        <v>123103.66666666667</v>
      </c>
    </row>
    <row r="28" spans="1:17" x14ac:dyDescent="0.2">
      <c r="A28" s="154"/>
      <c r="B28" s="230" t="s">
        <v>99</v>
      </c>
      <c r="C28" s="154" t="s">
        <v>117</v>
      </c>
      <c r="D28" s="231">
        <v>45000</v>
      </c>
      <c r="E28" s="231">
        <v>45000</v>
      </c>
      <c r="F28" s="231">
        <v>45000</v>
      </c>
      <c r="G28" s="231">
        <v>45000</v>
      </c>
      <c r="H28" s="231">
        <v>45000</v>
      </c>
      <c r="I28" s="231">
        <v>45000</v>
      </c>
      <c r="J28" s="231">
        <v>45000</v>
      </c>
      <c r="K28" s="231">
        <v>45000</v>
      </c>
      <c r="L28" s="231">
        <v>45000</v>
      </c>
      <c r="M28" s="231">
        <v>45000</v>
      </c>
      <c r="N28" s="231">
        <v>45000</v>
      </c>
      <c r="O28" s="231">
        <v>45000</v>
      </c>
      <c r="P28" s="232">
        <f t="shared" si="1"/>
        <v>45000</v>
      </c>
      <c r="Q28" s="232">
        <f t="shared" si="2"/>
        <v>45000</v>
      </c>
    </row>
    <row r="29" spans="1:17" x14ac:dyDescent="0.2">
      <c r="A29" s="154"/>
      <c r="B29" s="230" t="s">
        <v>40</v>
      </c>
      <c r="C29" s="154" t="s">
        <v>117</v>
      </c>
      <c r="D29" s="231">
        <v>13129</v>
      </c>
      <c r="E29" s="231">
        <v>11883</v>
      </c>
      <c r="F29" s="231">
        <v>10638</v>
      </c>
      <c r="G29" s="231">
        <v>11650</v>
      </c>
      <c r="H29" s="231">
        <v>13132</v>
      </c>
      <c r="I29" s="231">
        <v>13054</v>
      </c>
      <c r="J29" s="231">
        <v>13417</v>
      </c>
      <c r="K29" s="231">
        <v>13650</v>
      </c>
      <c r="L29" s="231">
        <v>12873</v>
      </c>
      <c r="M29" s="231">
        <v>12111</v>
      </c>
      <c r="N29" s="231">
        <v>8158</v>
      </c>
      <c r="O29" s="231">
        <v>10033</v>
      </c>
      <c r="P29" s="232">
        <f t="shared" si="1"/>
        <v>13650</v>
      </c>
      <c r="Q29" s="232">
        <f t="shared" si="2"/>
        <v>11977.333333333334</v>
      </c>
    </row>
    <row r="30" spans="1:17" x14ac:dyDescent="0.2">
      <c r="A30" s="154"/>
      <c r="B30" s="230" t="s">
        <v>33</v>
      </c>
      <c r="C30" s="154" t="s">
        <v>117</v>
      </c>
      <c r="D30" s="231">
        <v>0</v>
      </c>
      <c r="E30" s="231">
        <v>0</v>
      </c>
      <c r="F30" s="231">
        <v>0</v>
      </c>
      <c r="G30" s="231">
        <v>0</v>
      </c>
      <c r="H30" s="231">
        <v>8313</v>
      </c>
      <c r="I30" s="231">
        <v>8105</v>
      </c>
      <c r="J30" s="231">
        <v>8571</v>
      </c>
      <c r="K30" s="231">
        <v>8455</v>
      </c>
      <c r="L30" s="231">
        <v>7681</v>
      </c>
      <c r="M30" s="231">
        <v>6442</v>
      </c>
      <c r="N30" s="231">
        <v>6021</v>
      </c>
      <c r="O30" s="231">
        <v>6464</v>
      </c>
      <c r="P30" s="232">
        <f t="shared" si="1"/>
        <v>8571</v>
      </c>
      <c r="Q30" s="232">
        <f t="shared" si="2"/>
        <v>5004.333333333333</v>
      </c>
    </row>
    <row r="31" spans="1:17" x14ac:dyDescent="0.2">
      <c r="A31" s="154"/>
      <c r="B31" s="230" t="s">
        <v>100</v>
      </c>
      <c r="C31" s="154" t="s">
        <v>117</v>
      </c>
      <c r="D31" s="231">
        <v>1058</v>
      </c>
      <c r="E31" s="231">
        <v>1007</v>
      </c>
      <c r="F31" s="231">
        <v>990</v>
      </c>
      <c r="G31" s="231">
        <v>973</v>
      </c>
      <c r="H31" s="231">
        <v>975</v>
      </c>
      <c r="I31" s="231">
        <v>972</v>
      </c>
      <c r="J31" s="231">
        <v>986</v>
      </c>
      <c r="K31" s="231">
        <v>950</v>
      </c>
      <c r="L31" s="231">
        <v>949</v>
      </c>
      <c r="M31" s="231">
        <v>879</v>
      </c>
      <c r="N31" s="231">
        <v>1010</v>
      </c>
      <c r="O31" s="231">
        <v>1015</v>
      </c>
      <c r="P31" s="232">
        <f t="shared" si="1"/>
        <v>1058</v>
      </c>
      <c r="Q31" s="232">
        <f t="shared" si="2"/>
        <v>980.33333333333337</v>
      </c>
    </row>
    <row r="32" spans="1:17" x14ac:dyDescent="0.2">
      <c r="A32" s="154"/>
      <c r="B32" s="154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154"/>
    </row>
    <row r="33" spans="1:17" x14ac:dyDescent="0.2">
      <c r="A33" s="154" t="s">
        <v>119</v>
      </c>
      <c r="B33" s="154"/>
      <c r="C33" s="234"/>
      <c r="D33" s="236">
        <f t="shared" ref="D33:O33" si="3">SUM(D26,D27,D29,D31,D30,D28)</f>
        <v>386248</v>
      </c>
      <c r="E33" s="236">
        <f t="shared" si="3"/>
        <v>376611</v>
      </c>
      <c r="F33" s="236">
        <f t="shared" si="3"/>
        <v>358621</v>
      </c>
      <c r="G33" s="236">
        <f t="shared" si="3"/>
        <v>391012</v>
      </c>
      <c r="H33" s="236">
        <f t="shared" si="3"/>
        <v>420408</v>
      </c>
      <c r="I33" s="236">
        <f t="shared" si="3"/>
        <v>423018</v>
      </c>
      <c r="J33" s="236">
        <f t="shared" si="3"/>
        <v>446148</v>
      </c>
      <c r="K33" s="236">
        <f t="shared" si="3"/>
        <v>450593</v>
      </c>
      <c r="L33" s="236">
        <f t="shared" si="3"/>
        <v>418347</v>
      </c>
      <c r="M33" s="236">
        <f t="shared" si="3"/>
        <v>404554</v>
      </c>
      <c r="N33" s="236">
        <f t="shared" si="3"/>
        <v>298102</v>
      </c>
      <c r="O33" s="236">
        <f t="shared" si="3"/>
        <v>348916</v>
      </c>
      <c r="P33" s="236">
        <f>SUM(P26:P32)</f>
        <v>454905</v>
      </c>
      <c r="Q33" s="236">
        <f>SUM(Q26:Q32)</f>
        <v>393548.16666666663</v>
      </c>
    </row>
    <row r="34" spans="1:17" x14ac:dyDescent="0.2">
      <c r="A34" s="154"/>
      <c r="B34" s="154"/>
      <c r="C34" s="234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</row>
    <row r="35" spans="1:17" x14ac:dyDescent="0.2">
      <c r="A35" s="154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</row>
    <row r="36" spans="1:17" ht="13.5" thickBot="1" x14ac:dyDescent="0.25">
      <c r="A36" s="154" t="s">
        <v>120</v>
      </c>
      <c r="B36" s="154"/>
      <c r="C36" s="154"/>
      <c r="D36" s="238">
        <f t="shared" ref="D36:Q36" si="4">+D25+D33</f>
        <v>20003343</v>
      </c>
      <c r="E36" s="238">
        <f t="shared" si="4"/>
        <v>17417426</v>
      </c>
      <c r="F36" s="238">
        <f t="shared" si="4"/>
        <v>15777691</v>
      </c>
      <c r="G36" s="238">
        <f t="shared" si="4"/>
        <v>18473504</v>
      </c>
      <c r="H36" s="238">
        <f t="shared" si="4"/>
        <v>17661911</v>
      </c>
      <c r="I36" s="238">
        <f t="shared" si="4"/>
        <v>20512037</v>
      </c>
      <c r="J36" s="238">
        <f t="shared" si="4"/>
        <v>20425336</v>
      </c>
      <c r="K36" s="238">
        <f t="shared" si="4"/>
        <v>21192691</v>
      </c>
      <c r="L36" s="238">
        <f t="shared" si="4"/>
        <v>21655413</v>
      </c>
      <c r="M36" s="238">
        <f t="shared" si="4"/>
        <v>20288144</v>
      </c>
      <c r="N36" s="238">
        <f t="shared" si="4"/>
        <v>16346522</v>
      </c>
      <c r="O36" s="238">
        <f t="shared" si="4"/>
        <v>15497970</v>
      </c>
      <c r="P36" s="238">
        <f t="shared" si="4"/>
        <v>21806100</v>
      </c>
      <c r="Q36" s="238">
        <f t="shared" si="4"/>
        <v>18770998.999999996</v>
      </c>
    </row>
    <row r="37" spans="1:17" ht="13.5" thickTop="1" x14ac:dyDescent="0.2"/>
  </sheetData>
  <pageMargins left="0.5" right="0.5" top="1" bottom="1" header="0.5" footer="0.5"/>
  <pageSetup scale="75" fitToHeight="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0398B5-9653-48AD-B1C5-4F727599344F}">
  <ds:schemaRefs>
    <ds:schemaRef ds:uri="c85253b9-0a55-49a1-98ad-b5b6252d707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8CFFD98-8130-44DF-AF56-124C6127C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DC64F1-33AF-4FA3-AE12-0BAE662D5D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8</vt:i4>
      </vt:variant>
    </vt:vector>
  </HeadingPairs>
  <TitlesOfParts>
    <vt:vector size="26" baseType="lpstr">
      <vt:lpstr>MFR_E_10_Attachment_2__FPL201</vt:lpstr>
      <vt:lpstr>MFR_E_10_Attachment_2__FPL102</vt:lpstr>
      <vt:lpstr>Clause Allocations</vt:lpstr>
      <vt:lpstr>LF Analysis</vt:lpstr>
      <vt:lpstr>CP Analysis - From Load Researc</vt:lpstr>
      <vt:lpstr>2012 12 CP</vt:lpstr>
      <vt:lpstr>2013 12 CP</vt:lpstr>
      <vt:lpstr>2014 12 CP</vt:lpstr>
      <vt:lpstr>2012 12 GCP</vt:lpstr>
      <vt:lpstr>2013 12 GCP</vt:lpstr>
      <vt:lpstr>2014 12 GCP</vt:lpstr>
      <vt:lpstr>2012 12 NCP</vt:lpstr>
      <vt:lpstr>2013 12 NCP</vt:lpstr>
      <vt:lpstr>2014 12 NCP</vt:lpstr>
      <vt:lpstr>2012 12 NCP on Peak</vt:lpstr>
      <vt:lpstr>2013 12 NCP on Peak</vt:lpstr>
      <vt:lpstr>2014 12 NCP on Peak</vt:lpstr>
      <vt:lpstr>Sheet2</vt:lpstr>
      <vt:lpstr>'2012 12 GCP'!Print_Area</vt:lpstr>
      <vt:lpstr>'2013 12 GCP'!Print_Area</vt:lpstr>
      <vt:lpstr>'2014 12 GCP'!Print_Area</vt:lpstr>
      <vt:lpstr>'2012 12 GCP'!Print_Titles</vt:lpstr>
      <vt:lpstr>'2013 12 GCP'!Print_Titles</vt:lpstr>
      <vt:lpstr>'2014 12 GCP'!Print_Titles</vt:lpstr>
      <vt:lpstr>MFR_E_10_Attachment_2__FPL102!Print_Titles</vt:lpstr>
      <vt:lpstr>MFR_E_10_Attachment_2__FPL201!Print_Titles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dxl0lpb</cp:lastModifiedBy>
  <dcterms:created xsi:type="dcterms:W3CDTF">2015-09-09T14:33:04Z</dcterms:created>
  <dcterms:modified xsi:type="dcterms:W3CDTF">2016-04-18T17:02:31Z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