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360" windowWidth="15036" windowHeight="7956" tabRatio="661"/>
  </bookViews>
  <sheets>
    <sheet name="Summary - INPUTS" sheetId="3" r:id="rId1"/>
    <sheet name="2014 Analysis" sheetId="16" r:id="rId2"/>
    <sheet name="2014 Fixtures Per MDW" sheetId="18" r:id="rId3"/>
    <sheet name="373 SurvBal_201412 Summary" sheetId="17" r:id="rId4"/>
    <sheet name="2014 LIGHTS" sheetId="15" r:id="rId5"/>
  </sheets>
  <calcPr calcId="145621"/>
  <fileRecoveryPr repairLoad="1"/>
</workbook>
</file>

<file path=xl/calcChain.xml><?xml version="1.0" encoding="utf-8"?>
<calcChain xmlns="http://schemas.openxmlformats.org/spreadsheetml/2006/main">
  <c r="B18" i="16" l="1"/>
  <c r="B19" i="16"/>
  <c r="B74" i="16"/>
  <c r="C11" i="3"/>
  <c r="C10" i="3"/>
  <c r="C9" i="3"/>
  <c r="C11" i="16"/>
  <c r="C12" i="16"/>
  <c r="E12" i="16" s="1"/>
  <c r="C13" i="16"/>
  <c r="C14" i="16"/>
  <c r="C15" i="16"/>
  <c r="E15" i="16" s="1"/>
  <c r="C16" i="16"/>
  <c r="C17" i="16"/>
  <c r="C18" i="16"/>
  <c r="C19" i="16"/>
  <c r="E19" i="16" s="1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10" i="16"/>
  <c r="B11" i="16"/>
  <c r="B12" i="16"/>
  <c r="B13" i="16"/>
  <c r="B14" i="16"/>
  <c r="B15" i="16"/>
  <c r="B16" i="16"/>
  <c r="B17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10" i="16"/>
  <c r="B13" i="18"/>
  <c r="C11" i="18" s="1"/>
  <c r="C13" i="18" l="1"/>
  <c r="C9" i="18"/>
  <c r="C10" i="18"/>
  <c r="B60" i="16"/>
  <c r="E41" i="16"/>
  <c r="E38" i="16"/>
  <c r="F38" i="16" s="1"/>
  <c r="E37" i="16"/>
  <c r="E36" i="16"/>
  <c r="E34" i="16"/>
  <c r="E33" i="16"/>
  <c r="E31" i="16"/>
  <c r="F31" i="16" s="1"/>
  <c r="E30" i="16"/>
  <c r="F30" i="16" s="1"/>
  <c r="E29" i="16"/>
  <c r="E28" i="16"/>
  <c r="E25" i="16"/>
  <c r="F25" i="16" s="1"/>
  <c r="E24" i="16"/>
  <c r="E23" i="16"/>
  <c r="F23" i="16" s="1"/>
  <c r="E22" i="16"/>
  <c r="F22" i="16" s="1"/>
  <c r="E17" i="16"/>
  <c r="F17" i="16" s="1"/>
  <c r="F15" i="16"/>
  <c r="E14" i="16"/>
  <c r="F14" i="16" s="1"/>
  <c r="E24" i="15"/>
  <c r="D24" i="15"/>
  <c r="C24" i="15"/>
  <c r="B24" i="15"/>
  <c r="E22" i="15"/>
  <c r="D22" i="15"/>
  <c r="B61" i="16" s="1"/>
  <c r="C22" i="15"/>
  <c r="B22" i="15"/>
  <c r="B59" i="16" s="1"/>
  <c r="F21" i="15"/>
  <c r="F20" i="15"/>
  <c r="F19" i="15"/>
  <c r="F18" i="15"/>
  <c r="F17" i="15"/>
  <c r="F16" i="15"/>
  <c r="F15" i="15"/>
  <c r="F14" i="15"/>
  <c r="F13" i="15"/>
  <c r="F12" i="15"/>
  <c r="F11" i="15"/>
  <c r="F10" i="15"/>
  <c r="F22" i="15" l="1"/>
  <c r="F24" i="15"/>
  <c r="B62" i="16"/>
  <c r="B64" i="16" s="1"/>
  <c r="B71" i="16" s="1"/>
  <c r="E32" i="16"/>
  <c r="F32" i="16" s="1"/>
  <c r="E26" i="16"/>
  <c r="F26" i="16" s="1"/>
  <c r="E16" i="16"/>
  <c r="F16" i="16" s="1"/>
  <c r="B49" i="16"/>
  <c r="F24" i="16"/>
  <c r="F34" i="16"/>
  <c r="E40" i="16"/>
  <c r="F40" i="16" s="1"/>
  <c r="F41" i="16"/>
  <c r="F29" i="16"/>
  <c r="F33" i="16"/>
  <c r="E39" i="16"/>
  <c r="F39" i="16" s="1"/>
  <c r="E21" i="16"/>
  <c r="F21" i="16" s="1"/>
  <c r="E20" i="16"/>
  <c r="F20" i="16" s="1"/>
  <c r="F37" i="16"/>
  <c r="F19" i="16"/>
  <c r="E27" i="16"/>
  <c r="F27" i="16" s="1"/>
  <c r="F28" i="16"/>
  <c r="E35" i="16"/>
  <c r="F35" i="16" s="1"/>
  <c r="F36" i="16"/>
  <c r="C49" i="16"/>
  <c r="E13" i="16"/>
  <c r="F13" i="16" s="1"/>
  <c r="F12" i="16"/>
  <c r="E18" i="16"/>
  <c r="F18" i="16" s="1"/>
  <c r="B50" i="16"/>
  <c r="C50" i="16"/>
  <c r="B72" i="16" l="1"/>
  <c r="B70" i="16"/>
  <c r="B82" i="16" s="1"/>
  <c r="B73" i="16"/>
  <c r="C61" i="16"/>
  <c r="C64" i="16"/>
  <c r="C62" i="16"/>
  <c r="C60" i="16"/>
  <c r="C59" i="16"/>
  <c r="C51" i="16"/>
  <c r="I18" i="16" l="1"/>
  <c r="I41" i="16"/>
  <c r="G35" i="16"/>
  <c r="G27" i="16"/>
  <c r="G19" i="16"/>
  <c r="G20" i="16"/>
  <c r="G12" i="16"/>
  <c r="G13" i="16"/>
  <c r="G30" i="16"/>
  <c r="G31" i="16"/>
  <c r="G23" i="16"/>
  <c r="G15" i="16"/>
  <c r="G32" i="16"/>
  <c r="G36" i="16"/>
  <c r="G28" i="16"/>
  <c r="G38" i="16"/>
  <c r="G39" i="16"/>
  <c r="G24" i="16"/>
  <c r="G37" i="16"/>
  <c r="G29" i="16"/>
  <c r="G21" i="16"/>
  <c r="G22" i="16"/>
  <c r="G16" i="16"/>
  <c r="G40" i="16"/>
  <c r="G41" i="16"/>
  <c r="G33" i="16"/>
  <c r="G25" i="16"/>
  <c r="G17" i="16"/>
  <c r="G34" i="16"/>
  <c r="G26" i="16"/>
  <c r="G18" i="16"/>
  <c r="G14" i="16"/>
  <c r="I38" i="16"/>
  <c r="I24" i="16"/>
  <c r="I15" i="16"/>
  <c r="I16" i="16"/>
  <c r="I22" i="16"/>
  <c r="I23" i="16"/>
  <c r="I34" i="16"/>
  <c r="I14" i="16"/>
  <c r="I25" i="16"/>
  <c r="I32" i="16"/>
  <c r="I17" i="16"/>
  <c r="I30" i="16"/>
  <c r="I26" i="16"/>
  <c r="I31" i="16"/>
  <c r="I29" i="16"/>
  <c r="I35" i="16"/>
  <c r="I28" i="16"/>
  <c r="I39" i="16"/>
  <c r="I40" i="16"/>
  <c r="B76" i="16"/>
  <c r="C73" i="16" s="1"/>
  <c r="I33" i="16"/>
  <c r="I12" i="16"/>
  <c r="I37" i="16"/>
  <c r="I36" i="16"/>
  <c r="I20" i="16"/>
  <c r="I27" i="16"/>
  <c r="H36" i="16"/>
  <c r="H28" i="16"/>
  <c r="H20" i="16"/>
  <c r="H12" i="16"/>
  <c r="H29" i="16"/>
  <c r="H21" i="16"/>
  <c r="H13" i="16"/>
  <c r="H31" i="16"/>
  <c r="H15" i="16"/>
  <c r="H40" i="16"/>
  <c r="H33" i="16"/>
  <c r="H37" i="16"/>
  <c r="H14" i="16"/>
  <c r="H39" i="16"/>
  <c r="H25" i="16"/>
  <c r="H38" i="16"/>
  <c r="H30" i="16"/>
  <c r="H22" i="16"/>
  <c r="H23" i="16"/>
  <c r="H24" i="16"/>
  <c r="H16" i="16"/>
  <c r="H17" i="16"/>
  <c r="H41" i="16"/>
  <c r="H34" i="16"/>
  <c r="H26" i="16"/>
  <c r="H18" i="16"/>
  <c r="H35" i="16"/>
  <c r="H27" i="16"/>
  <c r="H19" i="16"/>
  <c r="H32" i="16"/>
  <c r="I19" i="16"/>
  <c r="I21" i="16"/>
  <c r="I13" i="16"/>
  <c r="C76" i="16" l="1"/>
  <c r="C74" i="16"/>
  <c r="C70" i="16"/>
  <c r="C72" i="16"/>
  <c r="C82" i="16"/>
  <c r="C71" i="16"/>
  <c r="I9" i="3"/>
  <c r="D10" i="16" l="1"/>
  <c r="E10" i="16" s="1"/>
  <c r="D11" i="16"/>
  <c r="E11" i="16" s="1"/>
  <c r="F11" i="16" s="1"/>
  <c r="C13" i="3"/>
  <c r="J9" i="3" s="1"/>
  <c r="E10" i="3"/>
  <c r="F10" i="16" l="1"/>
  <c r="D42" i="16" s="1"/>
  <c r="D45" i="16"/>
  <c r="E45" i="16" s="1"/>
  <c r="F45" i="16" s="1"/>
  <c r="I11" i="16"/>
  <c r="H11" i="16"/>
  <c r="G11" i="16"/>
  <c r="D43" i="16" l="1"/>
  <c r="E43" i="16" s="1"/>
  <c r="F43" i="16" s="1"/>
  <c r="I43" i="16" s="1"/>
  <c r="D44" i="16"/>
  <c r="E44" i="16" s="1"/>
  <c r="F44" i="16" s="1"/>
  <c r="I44" i="16" s="1"/>
  <c r="I10" i="16"/>
  <c r="H10" i="16"/>
  <c r="G10" i="16"/>
  <c r="E42" i="16"/>
  <c r="I45" i="16"/>
  <c r="H45" i="16"/>
  <c r="G45" i="16"/>
  <c r="D46" i="16"/>
  <c r="E46" i="16" s="1"/>
  <c r="F46" i="16" s="1"/>
  <c r="D47" i="16"/>
  <c r="E47" i="16" s="1"/>
  <c r="F47" i="16" s="1"/>
  <c r="H44" i="16" l="1"/>
  <c r="H43" i="16"/>
  <c r="G44" i="16"/>
  <c r="G43" i="16"/>
  <c r="F42" i="16"/>
  <c r="E49" i="16"/>
  <c r="E51" i="16" s="1"/>
  <c r="I46" i="16"/>
  <c r="G46" i="16"/>
  <c r="H46" i="16"/>
  <c r="I47" i="16"/>
  <c r="G47" i="16"/>
  <c r="H47" i="16"/>
  <c r="I42" i="16" l="1"/>
  <c r="I49" i="16" s="1"/>
  <c r="I51" i="16" s="1"/>
  <c r="G42" i="16"/>
  <c r="G49" i="16" s="1"/>
  <c r="G51" i="16" s="1"/>
  <c r="B84" i="16" s="1"/>
  <c r="H42" i="16"/>
  <c r="H49" i="16" s="1"/>
  <c r="H51" i="16" s="1"/>
  <c r="B85" i="16" s="1"/>
  <c r="C85" i="16" s="1"/>
  <c r="F49" i="16"/>
  <c r="F51" i="16" s="1"/>
  <c r="C84" i="16" l="1"/>
  <c r="B86" i="16"/>
  <c r="C86" i="16" s="1"/>
  <c r="I53" i="16"/>
  <c r="G11" i="3" s="1"/>
  <c r="E53" i="16"/>
  <c r="G10" i="3" s="1"/>
  <c r="C53" i="16" l="1"/>
  <c r="B83" i="16"/>
  <c r="C83" i="16" s="1"/>
  <c r="B88" i="16" l="1"/>
  <c r="C88" i="16" s="1"/>
  <c r="I10" i="3" l="1"/>
  <c r="I11" i="3"/>
  <c r="J11" i="3" s="1"/>
  <c r="I13" i="3" l="1"/>
  <c r="J10" i="3"/>
  <c r="J13" i="3" s="1"/>
</calcChain>
</file>

<file path=xl/comments1.xml><?xml version="1.0" encoding="utf-8"?>
<comments xmlns="http://schemas.openxmlformats.org/spreadsheetml/2006/main">
  <authors>
    <author>A. Zamora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percentage based on MDW info</t>
        </r>
      </text>
    </comment>
    <comment ref="D42" authorId="0">
      <text>
        <r>
          <rPr>
            <b/>
            <sz val="9"/>
            <color indexed="81"/>
            <rFont val="Tahoma"/>
            <charset val="1"/>
          </rPr>
          <t>A. Zamora:</t>
        </r>
        <r>
          <rPr>
            <sz val="9"/>
            <color indexed="81"/>
            <rFont val="Tahoma"/>
            <charset val="1"/>
          </rPr>
          <t xml:space="preserve">
percentage based on FPL Owned vs. Cust Owned from Units above.</t>
        </r>
      </text>
    </comment>
  </commentList>
</comments>
</file>

<file path=xl/sharedStrings.xml><?xml version="1.0" encoding="utf-8"?>
<sst xmlns="http://schemas.openxmlformats.org/spreadsheetml/2006/main" count="198" uniqueCount="150">
  <si>
    <t>37300 - Street Lights &amp; Signal Sys</t>
  </si>
  <si>
    <t>198.411 :CONTROLER &amp; PROTECTOR, S</t>
  </si>
  <si>
    <t>199.501  :TX, SL, ALL</t>
  </si>
  <si>
    <t>243.200  :BRACKET, SL</t>
  </si>
  <si>
    <t>243.203  : TRANSPONDER (USED FOR ME</t>
  </si>
  <si>
    <t>293.130  :POLE, SL, STEEL</t>
  </si>
  <si>
    <t>293.151  :POST. SL, FBRGL</t>
  </si>
  <si>
    <t>293.180  :LUM, SL, SODIUM VAPOR</t>
  </si>
  <si>
    <t>295.112  :POLE, SL, WD, 25'-55'</t>
  </si>
  <si>
    <t>295.120  :POST, SL, CONC</t>
  </si>
  <si>
    <t>295.122  :LUM, SL, MERC VAPOR</t>
  </si>
  <si>
    <t>295.125  :POLE, SL, CONC, 30'-50'</t>
  </si>
  <si>
    <t>349.601  :COND, AL, BARE</t>
  </si>
  <si>
    <t>349.611  :COND, CU, BARE</t>
  </si>
  <si>
    <t>349.622  :COND, AL, DPX</t>
  </si>
  <si>
    <t>349.634  : CONDUCTOR,COPPER,1K,2/C,</t>
  </si>
  <si>
    <t>349.642  :COND, AL, TPX</t>
  </si>
  <si>
    <t>349.662  :COND, BU, AL, DPX</t>
  </si>
  <si>
    <t>349.663  :COND, BU, AL, TPX</t>
  </si>
  <si>
    <t>349.666  :COND, BU, CU, DPX</t>
  </si>
  <si>
    <t>349.671  :COND, BU, CU, 1/C</t>
  </si>
  <si>
    <t>349.706  : DUCT BURIED 1 CONDUIT</t>
  </si>
  <si>
    <t>419.700  : CABLE FIBER OPTIC 16FIBE</t>
  </si>
  <si>
    <t>419.705  : CABLE FIBER OPTIC 16FIBE</t>
  </si>
  <si>
    <t>977.997  : TO ALL ST LT PU'S</t>
  </si>
  <si>
    <t>980.980  :CUST CONT CASH</t>
  </si>
  <si>
    <t>980.985  :CUST CONT LABOR</t>
  </si>
  <si>
    <t>990.990  : MINOR ITEM SALVAGE</t>
  </si>
  <si>
    <t>990.991  : REVERSIBLE WIRE ER57 - D</t>
  </si>
  <si>
    <t>990.998  : MECA ONLY</t>
  </si>
  <si>
    <t>990.999  : MINOR ITEM/INST COST</t>
  </si>
  <si>
    <t>Non-Unitized</t>
  </si>
  <si>
    <t>Utility Account 373 - All Retirement Units</t>
  </si>
  <si>
    <t>SL-1</t>
  </si>
  <si>
    <t>SL-2</t>
  </si>
  <si>
    <t>Unit</t>
  </si>
  <si>
    <t>Quantity</t>
  </si>
  <si>
    <t>Cost</t>
  </si>
  <si>
    <t>Totals</t>
  </si>
  <si>
    <t>Percentage</t>
  </si>
  <si>
    <t>SL-PL</t>
  </si>
  <si>
    <t>SL-FPL</t>
  </si>
  <si>
    <t>SL-RELAMP</t>
  </si>
  <si>
    <t>SL-ENERGY</t>
  </si>
  <si>
    <t>TOTAL</t>
  </si>
  <si>
    <t>FIXTURES PER INTERFACE</t>
  </si>
  <si>
    <t>OL-1</t>
  </si>
  <si>
    <t>Grand Total</t>
  </si>
  <si>
    <t>36400 - Poles, Towers &amp; Fixtures</t>
  </si>
  <si>
    <t>36500 - Overhead Cond &amp; Devices</t>
  </si>
  <si>
    <t>36600 - UG Conduit</t>
  </si>
  <si>
    <t>36660 - UG Conduit (Duct Sys)</t>
  </si>
  <si>
    <t>36670 - UG Conduit (Direct Buried)</t>
  </si>
  <si>
    <t>36700 - UG Conductors &amp; Devices</t>
  </si>
  <si>
    <t>36760 - UG Cond &amp; Device (Duct Sys)</t>
  </si>
  <si>
    <t>36770 - UG Cond &amp; Device (Direct)</t>
  </si>
  <si>
    <t>36780 - UG Cond &amp; Device - 8Yr</t>
  </si>
  <si>
    <t>36790 - UG Cond &amp; Device - 10Yr</t>
  </si>
  <si>
    <t>36800 - Line Transformers</t>
  </si>
  <si>
    <t>36900 - Services</t>
  </si>
  <si>
    <t>36910 - Services, Overhead</t>
  </si>
  <si>
    <t>36920 - Services,Overhead (Lashed)</t>
  </si>
  <si>
    <t>36960 - Services, UG (In Duct)</t>
  </si>
  <si>
    <t>36970 - Services, UG (Buried)</t>
  </si>
  <si>
    <t>37000 - Meters</t>
  </si>
  <si>
    <t>293.162  : POLE, STANDARD, METAL</t>
  </si>
  <si>
    <t>419.801  : CABLE FIBER OPTIC 8FIBER</t>
  </si>
  <si>
    <t>REVISED FIXTURES BASED ON ANALYSIS</t>
  </si>
  <si>
    <t>Percentage for SL-1 and SL-2</t>
  </si>
  <si>
    <t>SL-1 &amp; SL-2</t>
  </si>
  <si>
    <t>% PER ANALYSIS</t>
  </si>
  <si>
    <t>243.199  :BRACKET, SL, PREMIUM</t>
  </si>
  <si>
    <t>36750 - UG Cond &amp; Device - 20+Yrs</t>
  </si>
  <si>
    <t>37010 - Meters-AMR</t>
  </si>
  <si>
    <t>293.172  :POLE, SL, PREMIUM, ALL</t>
  </si>
  <si>
    <t>293.340  :LUM, SL, PREM, ALL</t>
  </si>
  <si>
    <t>000.000 : FPL Conversion 000</t>
  </si>
  <si>
    <t>000.000 : Non-Unitized</t>
  </si>
  <si>
    <t>37020 - Meters-AMI Replaced</t>
  </si>
  <si>
    <t>Surviving Balance Report - Account 364-373</t>
  </si>
  <si>
    <t>Sum of Activity Quantity</t>
  </si>
  <si>
    <t>Sum of Activity Cost</t>
  </si>
  <si>
    <t>from Distribution - Accounting; surviving balance</t>
  </si>
  <si>
    <t>EQUIVALENT FIXTURES (Exc OL-1) - ALLOCATED (Based on Analysis)</t>
  </si>
  <si>
    <t xml:space="preserve">ALLOCATES MDW INTERFACE DATA BASED ON SURVIVING BALANCE </t>
  </si>
  <si>
    <t>STREETLIGHT INVENTORY REPORT BY DISTRICT</t>
  </si>
  <si>
    <t>2014 - LIGHTS (FIXTURES)</t>
  </si>
  <si>
    <t>CATEGORY E</t>
  </si>
  <si>
    <t>CATEGORY F</t>
  </si>
  <si>
    <t>F (DSL)</t>
  </si>
  <si>
    <t>CATEGORY R</t>
  </si>
  <si>
    <t>MONTHLY</t>
  </si>
  <si>
    <t>MONTH</t>
  </si>
  <si>
    <t>(Energy Only)</t>
  </si>
  <si>
    <t>(FPL Owned)</t>
  </si>
  <si>
    <t>(Premium Lights)</t>
  </si>
  <si>
    <t>(Relamp/Energy)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</si>
  <si>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</si>
  <si>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</si>
  <si>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</si>
  <si>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</si>
  <si>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</si>
  <si>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</si>
  <si>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</si>
  <si>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</si>
  <si>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</si>
  <si>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</si>
  <si>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</si>
  <si>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</si>
  <si>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</si>
  <si>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AVERAGES</t>
  </si>
  <si>
    <t>F - FPL Owned</t>
  </si>
  <si>
    <t>R - Customer Owned Relamp/Energy</t>
  </si>
  <si>
    <t>E - Customer Owned Energy Only</t>
  </si>
  <si>
    <t>As of December 2014</t>
  </si>
  <si>
    <t>Utility Account</t>
  </si>
  <si>
    <t>37100 - Installations On Cust Prem</t>
  </si>
  <si>
    <t>37120 - Residential Load Management</t>
  </si>
  <si>
    <t>37130 - Commercial Load Mgt-NonECCR</t>
  </si>
  <si>
    <t>37150 - Install on Cust Prem Solar</t>
  </si>
  <si>
    <t>37200 - Leased Prop On Cust Premise</t>
  </si>
  <si>
    <t>DSL - Premium Lighting</t>
  </si>
  <si>
    <t>SL-1 - FPL Owned</t>
  </si>
  <si>
    <t>SL-1 - Customer Owned Relamp/Energy</t>
  </si>
  <si>
    <t>SL-1 - Premium Lighting</t>
  </si>
  <si>
    <t>SL-1 - Customer Owned Energy Only</t>
  </si>
  <si>
    <t>419.801  :CABLE FIBER OPTIC 8FIBER</t>
  </si>
  <si>
    <t>977.997  :TO ALL ST LT PU'S</t>
  </si>
  <si>
    <t>990.991  :REVERSIBLE WIRE ER57 - D</t>
  </si>
  <si>
    <t>990.999  :MINOR ITEM/INST COST</t>
  </si>
  <si>
    <r>
      <t xml:space="preserve">FIXTURES  - STREET LIGHT INVENTORY REPORT (CIS 7501) - </t>
    </r>
    <r>
      <rPr>
        <sz val="10"/>
        <color rgb="FFFF0000"/>
        <rFont val="Arial"/>
        <family val="2"/>
      </rPr>
      <t>Lighting Services</t>
    </r>
  </si>
  <si>
    <t>FIXTURES PER MDW</t>
  </si>
  <si>
    <t>2014 FIXTURES PER MDW</t>
  </si>
  <si>
    <t>FIXTURES PER MDW - ALLOCATED USING SL INVENTORY (ABOVE)</t>
  </si>
  <si>
    <t>Allocation Basis</t>
  </si>
  <si>
    <t>Allocated Costs</t>
  </si>
  <si>
    <t>CUSTOMER OWNED</t>
  </si>
  <si>
    <t>FPL OWNED</t>
  </si>
  <si>
    <t>Total Alloc Costs</t>
  </si>
  <si>
    <t>Relamp/Energy</t>
  </si>
  <si>
    <t>Energy Only</t>
  </si>
  <si>
    <t>Alloc Costs</t>
  </si>
  <si>
    <t xml:space="preserve">2014 Surviving Balance </t>
  </si>
  <si>
    <t>2014 REVISED FIXTURES</t>
  </si>
  <si>
    <t>OPC 013326</t>
  </si>
  <si>
    <t>FPL RC-16</t>
  </si>
  <si>
    <t>OPC 013327</t>
  </si>
  <si>
    <t>OPC 013328</t>
  </si>
  <si>
    <t>OPC 013329</t>
  </si>
  <si>
    <t>OPC 013330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</si>
</sst>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m\-yy;@"/>
    <numFmt numFmtId="167" formatCode="&quot;$&quot;#,##0.00"/>
  </numFmts>
  <fonts count="24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8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0"/>
      <color theme="0" tint="-0.49998474074526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57">
    <xf numFmtId="0" fontId="0" fillId="0" borderId="0" xfId="0"/>
    <xf numFmtId="40" fontId="0" fillId="0" borderId="0" xfId="0" applyNumberFormat="1"/>
    <xf numFmtId="0" fontId="5" fillId="0" borderId="0" xfId="0" applyFont="1"/>
    <xf numFmtId="38" fontId="6" fillId="0" borderId="0" xfId="0" applyNumberFormat="1" applyFont="1"/>
    <xf numFmtId="43" fontId="6" fillId="0" borderId="0" xfId="0" applyNumberFormat="1" applyFont="1"/>
    <xf numFmtId="0" fontId="6" fillId="0" borderId="0" xfId="0" applyFont="1"/>
    <xf numFmtId="40" fontId="6" fillId="0" borderId="0" xfId="0" applyNumberFormat="1" applyFont="1"/>
    <xf numFmtId="38" fontId="6" fillId="2" borderId="2" xfId="0" applyNumberFormat="1" applyFont="1" applyFill="1" applyBorder="1" applyAlignment="1">
      <alignment horizontal="center"/>
    </xf>
    <xf numFmtId="43" fontId="6" fillId="2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4" xfId="0" applyFont="1" applyFill="1" applyBorder="1" applyAlignment="1" applyProtection="1">
      <alignment horizontal="center"/>
      <protection locked="0"/>
    </xf>
    <xf numFmtId="38" fontId="5" fillId="2" borderId="5" xfId="0" applyNumberFormat="1" applyFont="1" applyFill="1" applyBorder="1" applyAlignment="1" applyProtection="1">
      <alignment horizontal="center"/>
      <protection locked="0"/>
    </xf>
    <xf numFmtId="43" fontId="5" fillId="2" borderId="6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38" fontId="5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38" fontId="5" fillId="0" borderId="7" xfId="0" applyNumberFormat="1" applyFont="1" applyBorder="1"/>
    <xf numFmtId="40" fontId="5" fillId="0" borderId="7" xfId="0" applyNumberFormat="1" applyFont="1" applyBorder="1"/>
    <xf numFmtId="10" fontId="7" fillId="0" borderId="7" xfId="0" applyNumberFormat="1" applyFont="1" applyBorder="1"/>
    <xf numFmtId="164" fontId="6" fillId="0" borderId="0" xfId="0" applyNumberFormat="1" applyFont="1"/>
    <xf numFmtId="0" fontId="6" fillId="0" borderId="0" xfId="0" applyFont="1" applyAlignment="1">
      <alignment horizontal="left"/>
    </xf>
    <xf numFmtId="37" fontId="6" fillId="0" borderId="0" xfId="0" applyNumberFormat="1" applyFont="1"/>
    <xf numFmtId="10" fontId="6" fillId="0" borderId="0" xfId="0" applyNumberFormat="1" applyFont="1"/>
    <xf numFmtId="38" fontId="6" fillId="0" borderId="7" xfId="0" applyNumberFormat="1" applyFont="1" applyBorder="1"/>
    <xf numFmtId="10" fontId="6" fillId="0" borderId="7" xfId="0" applyNumberFormat="1" applyFont="1" applyBorder="1"/>
    <xf numFmtId="8" fontId="6" fillId="0" borderId="0" xfId="0" applyNumberFormat="1" applyFont="1"/>
    <xf numFmtId="165" fontId="0" fillId="0" borderId="0" xfId="0" applyNumberFormat="1"/>
    <xf numFmtId="38" fontId="6" fillId="0" borderId="0" xfId="0" applyNumberFormat="1" applyFont="1" applyBorder="1"/>
    <xf numFmtId="10" fontId="6" fillId="0" borderId="0" xfId="0" applyNumberFormat="1" applyFont="1" applyBorder="1"/>
    <xf numFmtId="0" fontId="6" fillId="0" borderId="0" xfId="0" applyFont="1" applyFill="1" applyAlignment="1">
      <alignment horizontal="left"/>
    </xf>
    <xf numFmtId="0" fontId="10" fillId="0" borderId="0" xfId="0" applyFont="1"/>
    <xf numFmtId="43" fontId="10" fillId="0" borderId="0" xfId="1" applyFont="1"/>
    <xf numFmtId="0" fontId="11" fillId="0" borderId="0" xfId="0" applyFont="1"/>
    <xf numFmtId="38" fontId="10" fillId="0" borderId="0" xfId="0" applyNumberFormat="1" applyFont="1"/>
    <xf numFmtId="43" fontId="10" fillId="0" borderId="0" xfId="0" applyNumberFormat="1" applyFont="1"/>
    <xf numFmtId="0" fontId="10" fillId="0" borderId="0" xfId="0" applyFont="1" applyAlignment="1">
      <alignment horizontal="left"/>
    </xf>
    <xf numFmtId="37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horizontal="center"/>
    </xf>
    <xf numFmtId="38" fontId="10" fillId="0" borderId="7" xfId="0" applyNumberFormat="1" applyFont="1" applyBorder="1"/>
    <xf numFmtId="10" fontId="10" fillId="0" borderId="7" xfId="0" applyNumberFormat="1" applyFont="1" applyBorder="1"/>
    <xf numFmtId="0" fontId="12" fillId="0" borderId="0" xfId="0" applyFont="1" applyFill="1" applyBorder="1" applyAlignment="1">
      <alignment horizontal="center"/>
    </xf>
    <xf numFmtId="164" fontId="10" fillId="0" borderId="0" xfId="1" applyNumberFormat="1" applyFont="1"/>
    <xf numFmtId="4" fontId="10" fillId="0" borderId="0" xfId="0" applyNumberFormat="1" applyFont="1"/>
    <xf numFmtId="10" fontId="10" fillId="0" borderId="0" xfId="0" applyNumberFormat="1" applyFont="1" applyBorder="1"/>
    <xf numFmtId="10" fontId="10" fillId="0" borderId="0" xfId="0" applyNumberFormat="1" applyFont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37" fontId="8" fillId="0" borderId="0" xfId="0" applyNumberFormat="1" applyFont="1" applyFill="1"/>
    <xf numFmtId="0" fontId="9" fillId="0" borderId="0" xfId="3"/>
    <xf numFmtId="0" fontId="13" fillId="0" borderId="0" xfId="0" applyFont="1"/>
    <xf numFmtId="0" fontId="9" fillId="0" borderId="0" xfId="4" applyProtection="1">
      <protection locked="0"/>
    </xf>
    <xf numFmtId="164" fontId="6" fillId="0" borderId="0" xfId="1" applyNumberFormat="1" applyFont="1"/>
    <xf numFmtId="40" fontId="10" fillId="0" borderId="7" xfId="0" applyNumberFormat="1" applyFont="1" applyBorder="1"/>
    <xf numFmtId="41" fontId="6" fillId="0" borderId="0" xfId="0" applyNumberFormat="1" applyFont="1"/>
    <xf numFmtId="164" fontId="0" fillId="0" borderId="0" xfId="1" applyNumberFormat="1" applyFont="1"/>
    <xf numFmtId="38" fontId="15" fillId="0" borderId="0" xfId="0" applyNumberFormat="1" applyFont="1" applyFill="1" applyProtection="1"/>
    <xf numFmtId="37" fontId="6" fillId="0" borderId="0" xfId="0" applyNumberFormat="1" applyFont="1" applyFill="1"/>
    <xf numFmtId="37" fontId="10" fillId="9" borderId="0" xfId="0" applyNumberFormat="1" applyFont="1" applyFill="1"/>
    <xf numFmtId="0" fontId="17" fillId="2" borderId="1" xfId="0" applyFont="1" applyFill="1" applyBorder="1" applyAlignment="1">
      <alignment horizontal="left"/>
    </xf>
    <xf numFmtId="8" fontId="14" fillId="0" borderId="0" xfId="0" applyNumberFormat="1" applyFont="1"/>
    <xf numFmtId="0" fontId="20" fillId="0" borderId="0" xfId="0" applyFont="1"/>
    <xf numFmtId="0" fontId="1" fillId="0" borderId="0" xfId="13"/>
    <xf numFmtId="166" fontId="13" fillId="0" borderId="0" xfId="13" applyNumberFormat="1" applyFont="1" applyAlignment="1">
      <alignment vertical="center"/>
    </xf>
    <xf numFmtId="0" fontId="1" fillId="0" borderId="0" xfId="13" applyFill="1" applyAlignment="1">
      <alignment horizontal="center" vertical="center"/>
    </xf>
    <xf numFmtId="3" fontId="1" fillId="0" borderId="0" xfId="13" applyNumberFormat="1" applyFill="1" applyAlignment="1">
      <alignment horizontal="right" vertical="center"/>
    </xf>
    <xf numFmtId="3" fontId="1" fillId="0" borderId="0" xfId="13" applyNumberFormat="1" applyFill="1"/>
    <xf numFmtId="3" fontId="6" fillId="0" borderId="0" xfId="13" applyNumberFormat="1" applyFont="1" applyFill="1"/>
    <xf numFmtId="0" fontId="1" fillId="0" borderId="0" xfId="13" applyFill="1"/>
    <xf numFmtId="3" fontId="5" fillId="11" borderId="20" xfId="13" applyNumberFormat="1" applyFont="1" applyFill="1" applyBorder="1" applyAlignment="1">
      <alignment horizontal="center" vertical="center"/>
    </xf>
    <xf numFmtId="3" fontId="5" fillId="11" borderId="20" xfId="13" applyNumberFormat="1" applyFont="1" applyFill="1" applyBorder="1" applyAlignment="1">
      <alignment horizontal="center"/>
    </xf>
    <xf numFmtId="0" fontId="5" fillId="11" borderId="21" xfId="13" applyFont="1" applyFill="1" applyBorder="1" applyAlignment="1">
      <alignment horizontal="center" vertical="center" shrinkToFit="1"/>
    </xf>
    <xf numFmtId="0" fontId="5" fillId="0" borderId="22" xfId="5" applyFont="1" applyBorder="1" applyAlignment="1">
      <alignment horizontal="center"/>
    </xf>
    <xf numFmtId="0" fontId="21" fillId="0" borderId="23" xfId="5" applyFont="1" applyBorder="1" applyAlignment="1">
      <alignment horizontal="center"/>
    </xf>
    <xf numFmtId="0" fontId="5" fillId="0" borderId="24" xfId="5" applyFont="1" applyBorder="1" applyAlignment="1">
      <alignment horizontal="center"/>
    </xf>
    <xf numFmtId="0" fontId="6" fillId="0" borderId="0" xfId="5"/>
    <xf numFmtId="0" fontId="5" fillId="0" borderId="25" xfId="5" applyFont="1" applyBorder="1"/>
    <xf numFmtId="3" fontId="6" fillId="0" borderId="20" xfId="5" applyNumberFormat="1" applyBorder="1"/>
    <xf numFmtId="3" fontId="6" fillId="0" borderId="21" xfId="5" applyNumberFormat="1" applyBorder="1"/>
    <xf numFmtId="0" fontId="5" fillId="0" borderId="26" xfId="5" applyFont="1" applyBorder="1"/>
    <xf numFmtId="3" fontId="6" fillId="0" borderId="27" xfId="5" applyNumberFormat="1" applyBorder="1"/>
    <xf numFmtId="3" fontId="6" fillId="0" borderId="28" xfId="5" applyNumberFormat="1" applyBorder="1"/>
    <xf numFmtId="0" fontId="5" fillId="0" borderId="26" xfId="5" applyFont="1" applyFill="1" applyBorder="1"/>
    <xf numFmtId="0" fontId="5" fillId="0" borderId="13" xfId="5" applyFont="1" applyFill="1" applyBorder="1"/>
    <xf numFmtId="3" fontId="5" fillId="0" borderId="12" xfId="5" applyNumberFormat="1" applyFont="1" applyBorder="1"/>
    <xf numFmtId="3" fontId="5" fillId="0" borderId="14" xfId="5" applyNumberFormat="1" applyFont="1" applyBorder="1"/>
    <xf numFmtId="0" fontId="6" fillId="0" borderId="26" xfId="5" applyBorder="1"/>
    <xf numFmtId="0" fontId="6" fillId="0" borderId="27" xfId="5" applyBorder="1"/>
    <xf numFmtId="0" fontId="6" fillId="0" borderId="28" xfId="5" applyBorder="1"/>
    <xf numFmtId="0" fontId="5" fillId="0" borderId="15" xfId="5" applyFont="1" applyFill="1" applyBorder="1"/>
    <xf numFmtId="3" fontId="5" fillId="0" borderId="16" xfId="5" applyNumberFormat="1" applyFont="1" applyBorder="1"/>
    <xf numFmtId="3" fontId="5" fillId="0" borderId="17" xfId="5" applyNumberFormat="1" applyFont="1" applyBorder="1"/>
    <xf numFmtId="0" fontId="16" fillId="0" borderId="0" xfId="13" applyFont="1"/>
    <xf numFmtId="0" fontId="1" fillId="0" borderId="0" xfId="13" applyAlignment="1">
      <alignment horizontal="left"/>
    </xf>
    <xf numFmtId="3" fontId="1" fillId="0" borderId="0" xfId="13" applyNumberFormat="1"/>
    <xf numFmtId="167" fontId="1" fillId="0" borderId="0" xfId="13" applyNumberFormat="1"/>
    <xf numFmtId="0" fontId="1" fillId="9" borderId="0" xfId="13" applyFill="1" applyAlignment="1">
      <alignment horizontal="left"/>
    </xf>
    <xf numFmtId="3" fontId="1" fillId="9" borderId="0" xfId="13" applyNumberFormat="1" applyFill="1"/>
    <xf numFmtId="167" fontId="1" fillId="9" borderId="0" xfId="13" applyNumberFormat="1" applyFill="1"/>
    <xf numFmtId="0" fontId="1" fillId="0" borderId="0" xfId="13" applyAlignment="1">
      <alignment horizontal="left" indent="1"/>
    </xf>
    <xf numFmtId="37" fontId="8" fillId="9" borderId="0" xfId="0" applyNumberFormat="1" applyFont="1" applyFill="1"/>
    <xf numFmtId="0" fontId="6" fillId="0" borderId="0" xfId="3" applyFont="1"/>
    <xf numFmtId="0" fontId="6" fillId="0" borderId="0" xfId="2" applyFont="1"/>
    <xf numFmtId="0" fontId="5" fillId="6" borderId="2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43" fontId="5" fillId="0" borderId="29" xfId="0" applyNumberFormat="1" applyFont="1" applyBorder="1" applyProtection="1">
      <protection locked="0"/>
    </xf>
    <xf numFmtId="38" fontId="15" fillId="0" borderId="30" xfId="0" applyNumberFormat="1" applyFont="1" applyFill="1" applyBorder="1" applyProtection="1"/>
    <xf numFmtId="43" fontId="5" fillId="0" borderId="30" xfId="0" applyNumberFormat="1" applyFont="1" applyBorder="1" applyProtection="1">
      <protection locked="0"/>
    </xf>
    <xf numFmtId="43" fontId="5" fillId="0" borderId="31" xfId="0" applyNumberFormat="1" applyFont="1" applyBorder="1"/>
    <xf numFmtId="43" fontId="6" fillId="0" borderId="30" xfId="0" applyNumberFormat="1" applyFont="1" applyBorder="1"/>
    <xf numFmtId="10" fontId="7" fillId="0" borderId="31" xfId="0" applyNumberFormat="1" applyFont="1" applyBorder="1"/>
    <xf numFmtId="164" fontId="6" fillId="0" borderId="30" xfId="0" applyNumberFormat="1" applyFont="1" applyBorder="1"/>
    <xf numFmtId="40" fontId="5" fillId="0" borderId="29" xfId="0" applyNumberFormat="1" applyFont="1" applyBorder="1" applyAlignment="1">
      <alignment horizontal="center"/>
    </xf>
    <xf numFmtId="40" fontId="0" fillId="0" borderId="30" xfId="0" applyNumberFormat="1" applyBorder="1"/>
    <xf numFmtId="40" fontId="5" fillId="0" borderId="30" xfId="0" applyNumberFormat="1" applyFont="1" applyBorder="1"/>
    <xf numFmtId="40" fontId="5" fillId="0" borderId="31" xfId="0" applyNumberFormat="1" applyFont="1" applyBorder="1"/>
    <xf numFmtId="40" fontId="6" fillId="0" borderId="30" xfId="0" applyNumberFormat="1" applyFont="1" applyBorder="1"/>
    <xf numFmtId="0" fontId="5" fillId="0" borderId="29" xfId="0" applyFont="1" applyBorder="1"/>
    <xf numFmtId="0" fontId="5" fillId="0" borderId="30" xfId="0" applyFont="1" applyBorder="1"/>
    <xf numFmtId="0" fontId="6" fillId="0" borderId="30" xfId="0" applyFont="1" applyBorder="1"/>
    <xf numFmtId="0" fontId="5" fillId="0" borderId="32" xfId="0" applyFont="1" applyBorder="1" applyAlignment="1">
      <alignment horizontal="center"/>
    </xf>
    <xf numFmtId="40" fontId="0" fillId="0" borderId="33" xfId="0" applyNumberFormat="1" applyBorder="1"/>
    <xf numFmtId="0" fontId="5" fillId="0" borderId="33" xfId="0" applyFont="1" applyBorder="1"/>
    <xf numFmtId="40" fontId="5" fillId="0" borderId="34" xfId="0" applyNumberFormat="1" applyFont="1" applyBorder="1"/>
    <xf numFmtId="0" fontId="6" fillId="0" borderId="33" xfId="0" applyFont="1" applyBorder="1"/>
    <xf numFmtId="10" fontId="7" fillId="0" borderId="34" xfId="0" applyNumberFormat="1" applyFont="1" applyBorder="1"/>
    <xf numFmtId="164" fontId="6" fillId="0" borderId="33" xfId="0" applyNumberFormat="1" applyFont="1" applyBorder="1"/>
    <xf numFmtId="40" fontId="5" fillId="4" borderId="8" xfId="0" applyNumberFormat="1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2" fillId="10" borderId="10" xfId="0" applyFont="1" applyFill="1" applyBorder="1" applyAlignment="1">
      <alignment horizontal="center"/>
    </xf>
    <xf numFmtId="164" fontId="10" fillId="0" borderId="0" xfId="1" applyNumberFormat="1" applyFont="1" applyAlignment="1">
      <alignment horizontal="center" vertical="center"/>
    </xf>
    <xf numFmtId="0" fontId="6" fillId="7" borderId="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5" fillId="13" borderId="19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13" fillId="0" borderId="0" xfId="13" applyFont="1" applyFill="1" applyAlignment="1">
      <alignment horizontal="center"/>
    </xf>
    <xf numFmtId="0" fontId="13" fillId="0" borderId="0" xfId="13" quotePrefix="1" applyNumberFormat="1" applyFont="1" applyFill="1" applyAlignment="1">
      <alignment horizontal="center" vertical="center"/>
    </xf>
    <xf numFmtId="166" fontId="13" fillId="0" borderId="0" xfId="13" applyNumberFormat="1" applyFont="1" applyFill="1" applyAlignment="1">
      <alignment horizontal="center" vertical="center"/>
    </xf>
  </cellXfs>
  <cellStyles count="14">
    <cellStyle name="Comma" xfId="1" builtinId="3"/>
    <cellStyle name="Comma 2" xfId="6"/>
    <cellStyle name="Comma 3" xfId="9"/>
    <cellStyle name="Comma 4" xfId="11"/>
    <cellStyle name="Currency 2" xfId="7"/>
    <cellStyle name="Normal" xfId="0" builtinId="0"/>
    <cellStyle name="Normal 2" xfId="5"/>
    <cellStyle name="Normal 2 2" xfId="13"/>
    <cellStyle name="Normal 3" xfId="8"/>
    <cellStyle name="Normal 4" xfId="10"/>
    <cellStyle name="Normal 5" xfId="12"/>
    <cellStyle name="Normal_2005 cost of service request_a serra" xfId="2"/>
    <cellStyle name="Normal_200612_364to373" xfId="3"/>
    <cellStyle name="Normal_2007 SurvBal364_373" xfId="4"/>
  </cellStyles>
  <dxfs count="0"/>
  <tableStyles count="0" defaultTableStyle="TableStyleMedium9" defaultPivotStyle="PivotStyleLight16"/>
  <colors>
    <mruColors>
      <color rgb="FFCCFFCC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9</xdr:row>
      <xdr:rowOff>85725</xdr:rowOff>
    </xdr:from>
    <xdr:to>
      <xdr:col>3</xdr:col>
      <xdr:colOff>123825</xdr:colOff>
      <xdr:row>10</xdr:row>
      <xdr:rowOff>142875</xdr:rowOff>
    </xdr:to>
    <xdr:sp macro="" textlink="">
      <xdr:nvSpPr>
        <xdr:cNvPr id="1047" name="AutoShape 23"/>
        <xdr:cNvSpPr>
          <a:spLocks/>
        </xdr:cNvSpPr>
      </xdr:nvSpPr>
      <xdr:spPr bwMode="auto">
        <a:xfrm>
          <a:off x="3124200" y="1219200"/>
          <a:ext cx="76200" cy="238125"/>
        </a:xfrm>
        <a:prstGeom prst="rightBrace">
          <a:avLst>
            <a:gd name="adj1" fmla="val 2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10</xdr:row>
      <xdr:rowOff>19050</xdr:rowOff>
    </xdr:from>
    <xdr:to>
      <xdr:col>3</xdr:col>
      <xdr:colOff>495300</xdr:colOff>
      <xdr:row>10</xdr:row>
      <xdr:rowOff>28575</xdr:rowOff>
    </xdr:to>
    <xdr:sp macro="" textlink="">
      <xdr:nvSpPr>
        <xdr:cNvPr id="1048" name="Line 24"/>
        <xdr:cNvSpPr>
          <a:spLocks noChangeShapeType="1"/>
        </xdr:cNvSpPr>
      </xdr:nvSpPr>
      <xdr:spPr bwMode="auto">
        <a:xfrm flipV="1">
          <a:off x="3171825" y="1333500"/>
          <a:ext cx="400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9</xdr:row>
      <xdr:rowOff>104775</xdr:rowOff>
    </xdr:from>
    <xdr:to>
      <xdr:col>6</xdr:col>
      <xdr:colOff>47625</xdr:colOff>
      <xdr:row>10</xdr:row>
      <xdr:rowOff>9525</xdr:rowOff>
    </xdr:to>
    <xdr:sp macro="" textlink="">
      <xdr:nvSpPr>
        <xdr:cNvPr id="1049" name="Line 25"/>
        <xdr:cNvSpPr>
          <a:spLocks noChangeShapeType="1"/>
        </xdr:cNvSpPr>
      </xdr:nvSpPr>
      <xdr:spPr bwMode="auto">
        <a:xfrm flipV="1">
          <a:off x="4505325" y="1238250"/>
          <a:ext cx="3429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10</xdr:row>
      <xdr:rowOff>9525</xdr:rowOff>
    </xdr:from>
    <xdr:to>
      <xdr:col>6</xdr:col>
      <xdr:colOff>66675</xdr:colOff>
      <xdr:row>10</xdr:row>
      <xdr:rowOff>85725</xdr:rowOff>
    </xdr:to>
    <xdr:sp macro="" textlink="">
      <xdr:nvSpPr>
        <xdr:cNvPr id="1050" name="Line 26"/>
        <xdr:cNvSpPr>
          <a:spLocks noChangeShapeType="1"/>
        </xdr:cNvSpPr>
      </xdr:nvSpPr>
      <xdr:spPr bwMode="auto">
        <a:xfrm>
          <a:off x="4505325" y="1323975"/>
          <a:ext cx="36195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69</xdr:row>
      <xdr:rowOff>85725</xdr:rowOff>
    </xdr:from>
    <xdr:to>
      <xdr:col>3</xdr:col>
      <xdr:colOff>104775</xdr:colOff>
      <xdr:row>69</xdr:row>
      <xdr:rowOff>85725</xdr:rowOff>
    </xdr:to>
    <xdr:sp macro="" textlink="">
      <xdr:nvSpPr>
        <xdr:cNvPr id="2" name="Line 308"/>
        <xdr:cNvSpPr>
          <a:spLocks noChangeShapeType="1"/>
        </xdr:cNvSpPr>
      </xdr:nvSpPr>
      <xdr:spPr bwMode="auto">
        <a:xfrm>
          <a:off x="5762625" y="10906125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104775</xdr:colOff>
      <xdr:row>69</xdr:row>
      <xdr:rowOff>85725</xdr:rowOff>
    </xdr:from>
    <xdr:to>
      <xdr:col>3</xdr:col>
      <xdr:colOff>104775</xdr:colOff>
      <xdr:row>81</xdr:row>
      <xdr:rowOff>104775</xdr:rowOff>
    </xdr:to>
    <xdr:sp macro="" textlink="">
      <xdr:nvSpPr>
        <xdr:cNvPr id="3" name="Line 309"/>
        <xdr:cNvSpPr>
          <a:spLocks noChangeShapeType="1"/>
        </xdr:cNvSpPr>
      </xdr:nvSpPr>
      <xdr:spPr bwMode="auto">
        <a:xfrm>
          <a:off x="6057900" y="10906125"/>
          <a:ext cx="0" cy="2000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104775</xdr:rowOff>
    </xdr:from>
    <xdr:to>
      <xdr:col>3</xdr:col>
      <xdr:colOff>104775</xdr:colOff>
      <xdr:row>81</xdr:row>
      <xdr:rowOff>104775</xdr:rowOff>
    </xdr:to>
    <xdr:sp macro="" textlink="">
      <xdr:nvSpPr>
        <xdr:cNvPr id="4" name="Line 310"/>
        <xdr:cNvSpPr>
          <a:spLocks noChangeShapeType="1"/>
        </xdr:cNvSpPr>
      </xdr:nvSpPr>
      <xdr:spPr bwMode="auto">
        <a:xfrm flipH="1">
          <a:off x="5724525" y="1290637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tabSelected="1" zoomScale="75" zoomScaleNormal="75" workbookViewId="0">
      <selection activeCell="B1" sqref="B1:B2"/>
    </sheetView>
  </sheetViews>
  <sheetFormatPr defaultColWidth="9.28515625" defaultRowHeight="13.8" x14ac:dyDescent="0.25"/>
  <cols>
    <col min="1" max="1" width="2.85546875" style="31" customWidth="1"/>
    <col min="2" max="2" width="15.42578125" style="31" customWidth="1"/>
    <col min="3" max="3" width="35.42578125" style="31" bestFit="1" customWidth="1"/>
    <col min="4" max="4" width="8.85546875" style="31" customWidth="1"/>
    <col min="5" max="5" width="15.42578125" style="31" bestFit="1" customWidth="1"/>
    <col min="6" max="6" width="5.85546875" style="31" customWidth="1"/>
    <col min="7" max="7" width="22.42578125" style="31" bestFit="1" customWidth="1"/>
    <col min="8" max="8" width="5.85546875" style="31" customWidth="1"/>
    <col min="9" max="10" width="25" style="31" customWidth="1"/>
    <col min="11" max="12" width="21.28515625" style="31" bestFit="1" customWidth="1"/>
    <col min="13" max="13" width="18.28515625" style="31" bestFit="1" customWidth="1"/>
    <col min="14" max="14" width="13.7109375" style="31" bestFit="1" customWidth="1"/>
    <col min="15" max="16384" width="9.28515625" style="31"/>
  </cols>
  <sheetData>
    <row r="1" spans="1:14" s="33" customFormat="1" x14ac:dyDescent="0.25">
      <c r="B1" s="33" t="s">
        <v>144</v>
      </c>
    </row>
    <row r="2" spans="1:14" s="33" customFormat="1" x14ac:dyDescent="0.25">
      <c r="B2" s="33" t="s">
        <v>145</v>
      </c>
    </row>
    <row r="3" spans="1:14" s="33" customFormat="1" x14ac:dyDescent="0.25"/>
    <row r="4" spans="1:14" ht="17.399999999999999" x14ac:dyDescent="0.3">
      <c r="A4" s="63" t="s">
        <v>143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4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4" ht="14.4" thickBot="1" x14ac:dyDescent="0.3"/>
    <row r="7" spans="1:14" ht="14.4" thickBot="1" x14ac:dyDescent="0.3">
      <c r="C7" s="48" t="s">
        <v>45</v>
      </c>
      <c r="D7" s="42"/>
      <c r="E7" s="47" t="s">
        <v>69</v>
      </c>
      <c r="G7" s="49" t="s">
        <v>70</v>
      </c>
      <c r="I7" s="134" t="s">
        <v>67</v>
      </c>
      <c r="J7" s="135"/>
    </row>
    <row r="8" spans="1:14" x14ac:dyDescent="0.25">
      <c r="C8" s="34"/>
      <c r="D8" s="35"/>
      <c r="E8" s="35"/>
      <c r="N8" s="33"/>
    </row>
    <row r="9" spans="1:14" x14ac:dyDescent="0.25">
      <c r="B9" s="36" t="s">
        <v>46</v>
      </c>
      <c r="C9" s="37">
        <f>+'2014 Fixtures Per MDW'!B9</f>
        <v>2395776</v>
      </c>
      <c r="D9" s="38"/>
      <c r="E9" s="46"/>
      <c r="I9" s="60">
        <f>+C9</f>
        <v>2395776</v>
      </c>
      <c r="J9" s="38">
        <f>+I9/$C$13</f>
        <v>0.25125798049401349</v>
      </c>
      <c r="N9" s="33"/>
    </row>
    <row r="10" spans="1:14" x14ac:dyDescent="0.25">
      <c r="B10" s="36" t="s">
        <v>33</v>
      </c>
      <c r="C10" s="37">
        <f>+'2014 Fixtures Per MDW'!B10</f>
        <v>7015573</v>
      </c>
      <c r="D10" s="38"/>
      <c r="E10" s="136">
        <f>+C10+C11</f>
        <v>7139348</v>
      </c>
      <c r="F10" s="39"/>
      <c r="G10" s="46">
        <f>+'2014 Analysis'!E53</f>
        <v>0.99954361567314309</v>
      </c>
      <c r="H10" s="39"/>
      <c r="I10" s="60">
        <f>+E10*G10</f>
        <v>7136089.7134688227</v>
      </c>
      <c r="J10" s="38">
        <f>+I10/$C$13</f>
        <v>0.74840030538342472</v>
      </c>
      <c r="L10" s="37"/>
    </row>
    <row r="11" spans="1:14" x14ac:dyDescent="0.25">
      <c r="B11" s="36" t="s">
        <v>34</v>
      </c>
      <c r="C11" s="37">
        <f>+'2014 Fixtures Per MDW'!B11</f>
        <v>123775</v>
      </c>
      <c r="D11" s="38"/>
      <c r="E11" s="136"/>
      <c r="F11" s="39"/>
      <c r="G11" s="46">
        <f>+'2014 Analysis'!I53</f>
        <v>4.5638432685681782E-4</v>
      </c>
      <c r="H11" s="39"/>
      <c r="I11" s="60">
        <f>+E10*G11</f>
        <v>3258.2865311765686</v>
      </c>
      <c r="J11" s="38">
        <f>+I11/$C$13</f>
        <v>3.4171412256165398E-4</v>
      </c>
      <c r="L11" s="35"/>
    </row>
    <row r="12" spans="1:14" x14ac:dyDescent="0.25">
      <c r="C12" s="34"/>
      <c r="D12" s="35"/>
      <c r="E12" s="35"/>
      <c r="J12" s="35"/>
      <c r="L12" s="44"/>
    </row>
    <row r="13" spans="1:14" ht="14.4" thickBot="1" x14ac:dyDescent="0.3">
      <c r="B13" s="31" t="s">
        <v>44</v>
      </c>
      <c r="C13" s="40">
        <f>SUM(C9:C12)</f>
        <v>9535124</v>
      </c>
      <c r="D13" s="45"/>
      <c r="E13" s="45"/>
      <c r="I13" s="55">
        <f>SUM(I9:I12)</f>
        <v>9535124</v>
      </c>
      <c r="J13" s="41">
        <f>SUM(J9:J12)</f>
        <v>0.99999999999999989</v>
      </c>
    </row>
    <row r="14" spans="1:14" ht="14.4" thickTop="1" x14ac:dyDescent="0.25"/>
    <row r="15" spans="1:14" x14ac:dyDescent="0.25">
      <c r="L15" s="43"/>
    </row>
  </sheetData>
  <mergeCells count="2">
    <mergeCell ref="I7:J7"/>
    <mergeCell ref="E10:E11"/>
  </mergeCells>
  <phoneticPr fontId="0" type="noConversion"/>
  <printOptions horizontalCentered="1"/>
  <pageMargins left="0" right="0" top="0.75" bottom="0.5" header="0.5" footer="0.5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9"/>
  <sheetViews>
    <sheetView showGridLines="0" zoomScale="110" zoomScaleNormal="110" workbookViewId="0">
      <pane ySplit="8" topLeftCell="A9" activePane="bottomLeft" state="frozen"/>
      <selection sqref="A1:XFD1048576"/>
      <selection pane="bottomLeft" activeCell="A2" sqref="A1:A2"/>
    </sheetView>
  </sheetViews>
  <sheetFormatPr defaultColWidth="9.28515625" defaultRowHeight="13.2" x14ac:dyDescent="0.25"/>
  <cols>
    <col min="1" max="1" width="54" style="5" bestFit="1" customWidth="1"/>
    <col min="2" max="2" width="17.28515625" style="5" bestFit="1" customWidth="1"/>
    <col min="3" max="3" width="27" style="5" customWidth="1"/>
    <col min="4" max="4" width="19.140625" style="26" customWidth="1"/>
    <col min="5" max="5" width="22.7109375" style="5" bestFit="1" customWidth="1"/>
    <col min="6" max="6" width="19.28515625" style="5" bestFit="1" customWidth="1"/>
    <col min="7" max="7" width="18" style="5" customWidth="1"/>
    <col min="8" max="8" width="20" style="5" bestFit="1" customWidth="1"/>
    <col min="9" max="9" width="16.28515625" style="5" bestFit="1" customWidth="1"/>
    <col min="10" max="10" width="4.140625" style="5" customWidth="1"/>
    <col min="11" max="16384" width="9.28515625" style="5"/>
  </cols>
  <sheetData>
    <row r="1" spans="1:11" ht="13.8" x14ac:dyDescent="0.25">
      <c r="A1" s="33" t="s">
        <v>146</v>
      </c>
    </row>
    <row r="2" spans="1:11" ht="13.8" x14ac:dyDescent="0.25">
      <c r="A2" s="33" t="s">
        <v>145</v>
      </c>
    </row>
    <row r="4" spans="1:11" x14ac:dyDescent="0.25">
      <c r="A4" s="2" t="s">
        <v>142</v>
      </c>
      <c r="B4" s="3"/>
      <c r="C4" s="4"/>
      <c r="D4" s="145"/>
      <c r="E4" s="6"/>
    </row>
    <row r="5" spans="1:11" x14ac:dyDescent="0.25">
      <c r="A5" s="2" t="s">
        <v>32</v>
      </c>
      <c r="B5" s="3"/>
      <c r="C5" s="4"/>
      <c r="D5" s="145"/>
      <c r="E5" s="6"/>
    </row>
    <row r="6" spans="1:11" ht="13.8" thickBot="1" x14ac:dyDescent="0.3">
      <c r="A6" s="2"/>
      <c r="B6" s="3"/>
      <c r="C6" s="4"/>
      <c r="D6" s="146"/>
      <c r="E6" s="6"/>
    </row>
    <row r="7" spans="1:11" s="9" customFormat="1" ht="13.8" thickBot="1" x14ac:dyDescent="0.3">
      <c r="A7" s="61" t="s">
        <v>82</v>
      </c>
      <c r="B7" s="7"/>
      <c r="C7" s="8"/>
      <c r="D7" s="140" t="s">
        <v>137</v>
      </c>
      <c r="E7" s="141"/>
      <c r="F7" s="142" t="s">
        <v>136</v>
      </c>
      <c r="G7" s="143"/>
      <c r="H7" s="144"/>
      <c r="I7" s="105" t="s">
        <v>34</v>
      </c>
    </row>
    <row r="8" spans="1:11" s="13" customFormat="1" ht="13.8" thickBot="1" x14ac:dyDescent="0.3">
      <c r="A8" s="10" t="s">
        <v>35</v>
      </c>
      <c r="B8" s="11" t="s">
        <v>36</v>
      </c>
      <c r="C8" s="12" t="s">
        <v>37</v>
      </c>
      <c r="D8" s="130" t="s">
        <v>134</v>
      </c>
      <c r="E8" s="129" t="s">
        <v>135</v>
      </c>
      <c r="F8" s="131" t="s">
        <v>138</v>
      </c>
      <c r="G8" s="132" t="s">
        <v>139</v>
      </c>
      <c r="H8" s="133" t="s">
        <v>140</v>
      </c>
      <c r="I8" s="106" t="s">
        <v>141</v>
      </c>
    </row>
    <row r="9" spans="1:11" s="2" customFormat="1" x14ac:dyDescent="0.25">
      <c r="A9" s="14"/>
      <c r="B9" s="15"/>
      <c r="C9" s="107"/>
      <c r="D9" s="13"/>
      <c r="E9" s="114"/>
      <c r="F9" s="122"/>
      <c r="H9" s="119"/>
    </row>
    <row r="10" spans="1:11" x14ac:dyDescent="0.25">
      <c r="A10" s="16" t="s">
        <v>77</v>
      </c>
      <c r="B10" s="58">
        <f>SUMIF('373 SurvBal_201412 Summary'!$A$34:$A$70, CONCATENATE("=",$A10),'373 SurvBal_201412 Summary'!$B$34:$B$70)</f>
        <v>3205</v>
      </c>
      <c r="C10" s="108">
        <f>SUMIF('373 SurvBal_201412 Summary'!$A$34:$A$70, CONCATENATE("=",$A10),'373 SurvBal_201412 Summary'!$C$34:$C$70)</f>
        <v>4885491</v>
      </c>
      <c r="D10" s="27">
        <f>+$C$70+$C$71</f>
        <v>0.73403161076236267</v>
      </c>
      <c r="E10" s="115">
        <f t="shared" ref="E10:E47" si="0">+C10*D10</f>
        <v>3586104.8280950258</v>
      </c>
      <c r="F10" s="123">
        <f t="shared" ref="F10:F47" si="1">+C10-E10</f>
        <v>1299386.1719049742</v>
      </c>
      <c r="G10" s="1">
        <f t="shared" ref="G10:G47" si="2">+$B$72/SUM($B$72:$B$74)*F10</f>
        <v>52197.899248627582</v>
      </c>
      <c r="H10" s="115">
        <f t="shared" ref="H10:H47" si="3">+$B$73/SUM($B$72:$B$74)*F10</f>
        <v>1162488.4305244039</v>
      </c>
      <c r="I10" s="1">
        <f t="shared" ref="I10:I47" si="4">+$B$74/SUM($B$72:$B$74)*F10</f>
        <v>84699.842131942583</v>
      </c>
      <c r="K10" s="53"/>
    </row>
    <row r="11" spans="1:11" x14ac:dyDescent="0.25">
      <c r="A11" s="16" t="s">
        <v>1</v>
      </c>
      <c r="B11" s="58">
        <f>SUMIF('373 SurvBal_201412 Summary'!$A$34:$A$70, CONCATENATE("=",$A11),'373 SurvBal_201412 Summary'!$B$34:$B$70)</f>
        <v>5550.6</v>
      </c>
      <c r="C11" s="108">
        <f>SUMIF('373 SurvBal_201412 Summary'!$A$34:$A$70, CONCATENATE("=",$A11),'373 SurvBal_201412 Summary'!$C$34:$C$70)</f>
        <v>2605153</v>
      </c>
      <c r="D11" s="27">
        <f>+$C$70+$C$71</f>
        <v>0.73403161076236267</v>
      </c>
      <c r="E11" s="115">
        <f t="shared" si="0"/>
        <v>1912264.6528724015</v>
      </c>
      <c r="F11" s="123">
        <f t="shared" si="1"/>
        <v>692888.34712759848</v>
      </c>
      <c r="G11" s="1">
        <f t="shared" si="2"/>
        <v>27834.155015587963</v>
      </c>
      <c r="H11" s="115">
        <f t="shared" si="3"/>
        <v>619888.60940403771</v>
      </c>
      <c r="I11" s="1">
        <f t="shared" si="4"/>
        <v>45165.582707972761</v>
      </c>
      <c r="K11" s="53"/>
    </row>
    <row r="12" spans="1:11" x14ac:dyDescent="0.25">
      <c r="A12" s="16" t="s">
        <v>2</v>
      </c>
      <c r="B12" s="58">
        <f>SUMIF('373 SurvBal_201412 Summary'!$A$34:$A$70, CONCATENATE("=",$A12),'373 SurvBal_201412 Summary'!$B$34:$B$70)</f>
        <v>618</v>
      </c>
      <c r="C12" s="108">
        <f>SUMIF('373 SurvBal_201412 Summary'!$A$34:$A$70, CONCATENATE("=",$A12),'373 SurvBal_201412 Summary'!$C$34:$C$70)</f>
        <v>280193</v>
      </c>
      <c r="D12" s="27">
        <v>1</v>
      </c>
      <c r="E12" s="115">
        <f t="shared" si="0"/>
        <v>280193</v>
      </c>
      <c r="F12" s="123">
        <f t="shared" si="1"/>
        <v>0</v>
      </c>
      <c r="G12" s="1">
        <f t="shared" si="2"/>
        <v>0</v>
      </c>
      <c r="H12" s="115">
        <f t="shared" si="3"/>
        <v>0</v>
      </c>
      <c r="I12" s="1">
        <f t="shared" si="4"/>
        <v>0</v>
      </c>
      <c r="K12" s="53"/>
    </row>
    <row r="13" spans="1:11" x14ac:dyDescent="0.25">
      <c r="A13" s="51" t="s">
        <v>71</v>
      </c>
      <c r="B13" s="58">
        <f>SUMIF('373 SurvBal_201412 Summary'!$A$34:$A$70, CONCATENATE("=",$A13),'373 SurvBal_201412 Summary'!$B$34:$B$70)</f>
        <v>661</v>
      </c>
      <c r="C13" s="108">
        <f>SUMIF('373 SurvBal_201412 Summary'!$A$34:$A$70, CONCATENATE("=",$A13),'373 SurvBal_201412 Summary'!$C$34:$C$70)</f>
        <v>892979</v>
      </c>
      <c r="D13" s="27">
        <v>1</v>
      </c>
      <c r="E13" s="115">
        <f t="shared" si="0"/>
        <v>892979</v>
      </c>
      <c r="F13" s="123">
        <f t="shared" si="1"/>
        <v>0</v>
      </c>
      <c r="G13" s="1">
        <f t="shared" si="2"/>
        <v>0</v>
      </c>
      <c r="H13" s="115">
        <f t="shared" si="3"/>
        <v>0</v>
      </c>
      <c r="I13" s="1">
        <f t="shared" si="4"/>
        <v>0</v>
      </c>
      <c r="K13" s="53"/>
    </row>
    <row r="14" spans="1:11" x14ac:dyDescent="0.25">
      <c r="A14" s="16" t="s">
        <v>3</v>
      </c>
      <c r="B14" s="58">
        <f>SUMIF('373 SurvBal_201412 Summary'!$A$34:$A$70, CONCATENATE("=",$A14),'373 SurvBal_201412 Summary'!$B$34:$B$70)</f>
        <v>327399</v>
      </c>
      <c r="C14" s="108">
        <f>SUMIF('373 SurvBal_201412 Summary'!$A$34:$A$70, CONCATENATE("=",$A14),'373 SurvBal_201412 Summary'!$C$34:$C$70)</f>
        <v>38449110</v>
      </c>
      <c r="D14" s="27">
        <v>1</v>
      </c>
      <c r="E14" s="115">
        <f t="shared" si="0"/>
        <v>38449110</v>
      </c>
      <c r="F14" s="123">
        <f t="shared" si="1"/>
        <v>0</v>
      </c>
      <c r="G14" s="1">
        <f t="shared" si="2"/>
        <v>0</v>
      </c>
      <c r="H14" s="115">
        <f t="shared" si="3"/>
        <v>0</v>
      </c>
      <c r="I14" s="1">
        <f t="shared" si="4"/>
        <v>0</v>
      </c>
      <c r="K14" s="53"/>
    </row>
    <row r="15" spans="1:11" x14ac:dyDescent="0.25">
      <c r="A15" s="16" t="s">
        <v>4</v>
      </c>
      <c r="B15" s="58">
        <f>SUMIF('373 SurvBal_201412 Summary'!$A$34:$A$70, CONCATENATE("=",$A15),'373 SurvBal_201412 Summary'!$B$34:$B$70)</f>
        <v>81</v>
      </c>
      <c r="C15" s="108">
        <f>SUMIF('373 SurvBal_201412 Summary'!$A$34:$A$70, CONCATENATE("=",$A15),'373 SurvBal_201412 Summary'!$C$34:$C$70)</f>
        <v>88</v>
      </c>
      <c r="D15" s="27">
        <v>1</v>
      </c>
      <c r="E15" s="115">
        <f t="shared" si="0"/>
        <v>88</v>
      </c>
      <c r="F15" s="123">
        <f t="shared" si="1"/>
        <v>0</v>
      </c>
      <c r="G15" s="1">
        <f t="shared" si="2"/>
        <v>0</v>
      </c>
      <c r="H15" s="115">
        <f t="shared" si="3"/>
        <v>0</v>
      </c>
      <c r="I15" s="1">
        <f t="shared" si="4"/>
        <v>0</v>
      </c>
      <c r="K15" s="53"/>
    </row>
    <row r="16" spans="1:11" x14ac:dyDescent="0.25">
      <c r="A16" s="16" t="s">
        <v>5</v>
      </c>
      <c r="B16" s="58">
        <f>SUMIF('373 SurvBal_201412 Summary'!$A$34:$A$70, CONCATENATE("=",$A16),'373 SurvBal_201412 Summary'!$B$34:$B$70)</f>
        <v>17</v>
      </c>
      <c r="C16" s="108">
        <f>SUMIF('373 SurvBal_201412 Summary'!$A$34:$A$70, CONCATENATE("=",$A16),'373 SurvBal_201412 Summary'!$C$34:$C$70)</f>
        <v>1745</v>
      </c>
      <c r="D16" s="27">
        <v>1</v>
      </c>
      <c r="E16" s="115">
        <f t="shared" si="0"/>
        <v>1745</v>
      </c>
      <c r="F16" s="123">
        <f t="shared" si="1"/>
        <v>0</v>
      </c>
      <c r="G16" s="1">
        <f t="shared" si="2"/>
        <v>0</v>
      </c>
      <c r="H16" s="115">
        <f t="shared" si="3"/>
        <v>0</v>
      </c>
      <c r="I16" s="1">
        <f t="shared" si="4"/>
        <v>0</v>
      </c>
      <c r="K16" s="53"/>
    </row>
    <row r="17" spans="1:11" x14ac:dyDescent="0.25">
      <c r="A17" s="16" t="s">
        <v>6</v>
      </c>
      <c r="B17" s="58">
        <f>SUMIF('373 SurvBal_201412 Summary'!$A$34:$A$70, CONCATENATE("=",$A17),'373 SurvBal_201412 Summary'!$B$34:$B$70)</f>
        <v>112921</v>
      </c>
      <c r="C17" s="108">
        <f>SUMIF('373 SurvBal_201412 Summary'!$A$34:$A$70, CONCATENATE("=",$A17),'373 SurvBal_201412 Summary'!$C$34:$C$70)</f>
        <v>31645054</v>
      </c>
      <c r="D17" s="27">
        <v>1</v>
      </c>
      <c r="E17" s="115">
        <f t="shared" si="0"/>
        <v>31645054</v>
      </c>
      <c r="F17" s="123">
        <f t="shared" si="1"/>
        <v>0</v>
      </c>
      <c r="G17" s="1">
        <f t="shared" si="2"/>
        <v>0</v>
      </c>
      <c r="H17" s="115">
        <f t="shared" si="3"/>
        <v>0</v>
      </c>
      <c r="I17" s="1">
        <f t="shared" si="4"/>
        <v>0</v>
      </c>
      <c r="K17" s="53"/>
    </row>
    <row r="18" spans="1:11" x14ac:dyDescent="0.25">
      <c r="A18" s="103" t="s">
        <v>65</v>
      </c>
      <c r="B18" s="58">
        <f>SUMIF('373 SurvBal_201412 Summary'!$A$34:$A$70, CONCATENATE("=",$A18),'373 SurvBal_201412 Summary'!$B$34:$B$70)</f>
        <v>3180</v>
      </c>
      <c r="C18" s="108">
        <f>SUMIF('373 SurvBal_201412 Summary'!$A$34:$A$70, CONCATENATE("=",$A18),'373 SurvBal_201412 Summary'!$C$34:$C$70)</f>
        <v>5532802</v>
      </c>
      <c r="D18" s="27">
        <v>1</v>
      </c>
      <c r="E18" s="115">
        <f t="shared" si="0"/>
        <v>5532802</v>
      </c>
      <c r="F18" s="123">
        <f t="shared" si="1"/>
        <v>0</v>
      </c>
      <c r="G18" s="1">
        <f t="shared" si="2"/>
        <v>0</v>
      </c>
      <c r="H18" s="115">
        <f t="shared" si="3"/>
        <v>0</v>
      </c>
      <c r="I18" s="1">
        <f t="shared" si="4"/>
        <v>0</v>
      </c>
      <c r="K18" s="53"/>
    </row>
    <row r="19" spans="1:11" x14ac:dyDescent="0.25">
      <c r="A19" s="53" t="s">
        <v>74</v>
      </c>
      <c r="B19" s="58">
        <f>SUMIF('373 SurvBal_201412 Summary'!$A$34:$A$70, CONCATENATE("=",$A19),'373 SurvBal_201412 Summary'!$B$34:$B$70)</f>
        <v>3180</v>
      </c>
      <c r="C19" s="108">
        <f>SUMIF('373 SurvBal_201412 Summary'!$A$34:$A$70, CONCATENATE("=",$A19),'373 SurvBal_201412 Summary'!$C$34:$C$70)</f>
        <v>7313129</v>
      </c>
      <c r="D19" s="27">
        <v>1</v>
      </c>
      <c r="E19" s="115">
        <f t="shared" si="0"/>
        <v>7313129</v>
      </c>
      <c r="F19" s="123">
        <f t="shared" si="1"/>
        <v>0</v>
      </c>
      <c r="G19" s="1">
        <f t="shared" si="2"/>
        <v>0</v>
      </c>
      <c r="H19" s="115">
        <f t="shared" si="3"/>
        <v>0</v>
      </c>
      <c r="I19" s="1">
        <f t="shared" si="4"/>
        <v>0</v>
      </c>
      <c r="K19" s="53"/>
    </row>
    <row r="20" spans="1:11" x14ac:dyDescent="0.25">
      <c r="A20" s="16" t="s">
        <v>7</v>
      </c>
      <c r="B20" s="58">
        <f>SUMIF('373 SurvBal_201412 Summary'!$A$34:$A$70, CONCATENATE("=",$A20),'373 SurvBal_201412 Summary'!$B$34:$B$70)</f>
        <v>648438</v>
      </c>
      <c r="C20" s="108">
        <f>SUMIF('373 SurvBal_201412 Summary'!$A$34:$A$70, CONCATENATE("=",$A20),'373 SurvBal_201412 Summary'!$C$34:$C$70)</f>
        <v>162740329</v>
      </c>
      <c r="D20" s="27">
        <v>1</v>
      </c>
      <c r="E20" s="115">
        <f t="shared" si="0"/>
        <v>162740329</v>
      </c>
      <c r="F20" s="123">
        <f t="shared" si="1"/>
        <v>0</v>
      </c>
      <c r="G20" s="1">
        <f t="shared" si="2"/>
        <v>0</v>
      </c>
      <c r="H20" s="115">
        <f t="shared" si="3"/>
        <v>0</v>
      </c>
      <c r="I20" s="1">
        <f t="shared" si="4"/>
        <v>0</v>
      </c>
      <c r="K20" s="53"/>
    </row>
    <row r="21" spans="1:11" x14ac:dyDescent="0.25">
      <c r="A21" s="53" t="s">
        <v>75</v>
      </c>
      <c r="B21" s="58">
        <f>SUMIF('373 SurvBal_201412 Summary'!$A$34:$A$70, CONCATENATE("=",$A21),'373 SurvBal_201412 Summary'!$B$34:$B$70)</f>
        <v>4369</v>
      </c>
      <c r="C21" s="108">
        <f>SUMIF('373 SurvBal_201412 Summary'!$A$34:$A$70, CONCATENATE("=",$A21),'373 SurvBal_201412 Summary'!$C$34:$C$70)</f>
        <v>4201602</v>
      </c>
      <c r="D21" s="27">
        <v>1</v>
      </c>
      <c r="E21" s="115">
        <f t="shared" si="0"/>
        <v>4201602</v>
      </c>
      <c r="F21" s="123">
        <f t="shared" si="1"/>
        <v>0</v>
      </c>
      <c r="G21" s="1">
        <f t="shared" si="2"/>
        <v>0</v>
      </c>
      <c r="H21" s="115">
        <f t="shared" si="3"/>
        <v>0</v>
      </c>
      <c r="I21" s="1">
        <f t="shared" si="4"/>
        <v>0</v>
      </c>
      <c r="K21" s="53"/>
    </row>
    <row r="22" spans="1:11" x14ac:dyDescent="0.25">
      <c r="A22" s="16" t="s">
        <v>8</v>
      </c>
      <c r="B22" s="58">
        <f>SUMIF('373 SurvBal_201412 Summary'!$A$34:$A$70, CONCATENATE("=",$A22),'373 SurvBal_201412 Summary'!$B$34:$B$70)</f>
        <v>45439</v>
      </c>
      <c r="C22" s="108">
        <f>SUMIF('373 SurvBal_201412 Summary'!$A$34:$A$70, CONCATENATE("=",$A22),'373 SurvBal_201412 Summary'!$C$34:$C$70)</f>
        <v>12299976</v>
      </c>
      <c r="D22" s="27">
        <v>1</v>
      </c>
      <c r="E22" s="115">
        <f t="shared" si="0"/>
        <v>12299976</v>
      </c>
      <c r="F22" s="123">
        <f t="shared" si="1"/>
        <v>0</v>
      </c>
      <c r="G22" s="1">
        <f t="shared" si="2"/>
        <v>0</v>
      </c>
      <c r="H22" s="115">
        <f t="shared" si="3"/>
        <v>0</v>
      </c>
      <c r="I22" s="1">
        <f t="shared" si="4"/>
        <v>0</v>
      </c>
      <c r="K22" s="53"/>
    </row>
    <row r="23" spans="1:11" x14ac:dyDescent="0.25">
      <c r="A23" s="16" t="s">
        <v>9</v>
      </c>
      <c r="B23" s="58">
        <f>SUMIF('373 SurvBal_201412 Summary'!$A$34:$A$70, CONCATENATE("=",$A23),'373 SurvBal_201412 Summary'!$B$34:$B$70)</f>
        <v>48626</v>
      </c>
      <c r="C23" s="108">
        <f>SUMIF('373 SurvBal_201412 Summary'!$A$34:$A$70, CONCATENATE("=",$A23),'373 SurvBal_201412 Summary'!$C$34:$C$70)</f>
        <v>13930917</v>
      </c>
      <c r="D23" s="27">
        <v>1</v>
      </c>
      <c r="E23" s="115">
        <f t="shared" si="0"/>
        <v>13930917</v>
      </c>
      <c r="F23" s="123">
        <f t="shared" si="1"/>
        <v>0</v>
      </c>
      <c r="G23" s="1">
        <f t="shared" si="2"/>
        <v>0</v>
      </c>
      <c r="H23" s="115">
        <f t="shared" si="3"/>
        <v>0</v>
      </c>
      <c r="I23" s="1">
        <f t="shared" si="4"/>
        <v>0</v>
      </c>
      <c r="K23" s="53"/>
    </row>
    <row r="24" spans="1:11" x14ac:dyDescent="0.25">
      <c r="A24" s="16" t="s">
        <v>10</v>
      </c>
      <c r="B24" s="58">
        <f>SUMIF('373 SurvBal_201412 Summary'!$A$34:$A$70, CONCATENATE("=",$A24),'373 SurvBal_201412 Summary'!$B$34:$B$70)</f>
        <v>50414</v>
      </c>
      <c r="C24" s="108">
        <f>SUMIF('373 SurvBal_201412 Summary'!$A$34:$A$70, CONCATENATE("=",$A24),'373 SurvBal_201412 Summary'!$C$34:$C$70)</f>
        <v>3859131</v>
      </c>
      <c r="D24" s="27">
        <v>1</v>
      </c>
      <c r="E24" s="115">
        <f t="shared" si="0"/>
        <v>3859131</v>
      </c>
      <c r="F24" s="123">
        <f t="shared" si="1"/>
        <v>0</v>
      </c>
      <c r="G24" s="1">
        <f t="shared" si="2"/>
        <v>0</v>
      </c>
      <c r="H24" s="115">
        <f t="shared" si="3"/>
        <v>0</v>
      </c>
      <c r="I24" s="1">
        <f t="shared" si="4"/>
        <v>0</v>
      </c>
      <c r="K24" s="53"/>
    </row>
    <row r="25" spans="1:11" x14ac:dyDescent="0.25">
      <c r="A25" s="16" t="s">
        <v>11</v>
      </c>
      <c r="B25" s="58">
        <f>SUMIF('373 SurvBal_201412 Summary'!$A$34:$A$70, CONCATENATE("=",$A25),'373 SurvBal_201412 Summary'!$B$34:$B$70)</f>
        <v>89152</v>
      </c>
      <c r="C25" s="108">
        <f>SUMIF('373 SurvBal_201412 Summary'!$A$34:$A$70, CONCATENATE("=",$A25),'373 SurvBal_201412 Summary'!$C$34:$C$70)</f>
        <v>40071177</v>
      </c>
      <c r="D25" s="27">
        <v>1</v>
      </c>
      <c r="E25" s="115">
        <f t="shared" si="0"/>
        <v>40071177</v>
      </c>
      <c r="F25" s="123">
        <f t="shared" si="1"/>
        <v>0</v>
      </c>
      <c r="G25" s="1">
        <f t="shared" si="2"/>
        <v>0</v>
      </c>
      <c r="H25" s="115">
        <f t="shared" si="3"/>
        <v>0</v>
      </c>
      <c r="I25" s="1">
        <f t="shared" si="4"/>
        <v>0</v>
      </c>
      <c r="K25" s="53"/>
    </row>
    <row r="26" spans="1:11" x14ac:dyDescent="0.25">
      <c r="A26" s="16" t="s">
        <v>12</v>
      </c>
      <c r="B26" s="58">
        <f>SUMIF('373 SurvBal_201412 Summary'!$A$34:$A$70, CONCATENATE("=",$A26),'373 SurvBal_201412 Summary'!$B$34:$B$70)</f>
        <v>8814713.3199999984</v>
      </c>
      <c r="C26" s="108">
        <f>SUMIF('373 SurvBal_201412 Summary'!$A$34:$A$70, CONCATENATE("=",$A26),'373 SurvBal_201412 Summary'!$C$34:$C$70)</f>
        <v>7589224</v>
      </c>
      <c r="D26" s="27">
        <v>0.99</v>
      </c>
      <c r="E26" s="115">
        <f t="shared" si="0"/>
        <v>7513331.7599999998</v>
      </c>
      <c r="F26" s="123">
        <f t="shared" si="1"/>
        <v>75892.240000000224</v>
      </c>
      <c r="G26" s="1">
        <f t="shared" si="2"/>
        <v>3048.6822031244301</v>
      </c>
      <c r="H26" s="115">
        <f t="shared" si="3"/>
        <v>67896.559832740459</v>
      </c>
      <c r="I26" s="1">
        <f t="shared" si="4"/>
        <v>4946.9979641353375</v>
      </c>
      <c r="K26" s="53"/>
    </row>
    <row r="27" spans="1:11" x14ac:dyDescent="0.25">
      <c r="A27" s="16" t="s">
        <v>13</v>
      </c>
      <c r="B27" s="58">
        <f>SUMIF('373 SurvBal_201412 Summary'!$A$34:$A$70, CONCATENATE("=",$A27),'373 SurvBal_201412 Summary'!$B$34:$B$70)</f>
        <v>-14485</v>
      </c>
      <c r="C27" s="108">
        <f>SUMIF('373 SurvBal_201412 Summary'!$A$34:$A$70, CONCATENATE("=",$A27),'373 SurvBal_201412 Summary'!$C$34:$C$70)</f>
        <v>29632</v>
      </c>
      <c r="D27" s="27">
        <v>0.99</v>
      </c>
      <c r="E27" s="115">
        <f t="shared" si="0"/>
        <v>29335.68</v>
      </c>
      <c r="F27" s="123">
        <f t="shared" si="1"/>
        <v>296.31999999999971</v>
      </c>
      <c r="G27" s="1">
        <f t="shared" si="2"/>
        <v>11.90352940471684</v>
      </c>
      <c r="H27" s="115">
        <f t="shared" si="3"/>
        <v>265.10099859534483</v>
      </c>
      <c r="I27" s="1">
        <f t="shared" si="4"/>
        <v>19.315471999938037</v>
      </c>
      <c r="K27" s="53"/>
    </row>
    <row r="28" spans="1:11" x14ac:dyDescent="0.25">
      <c r="A28" s="16" t="s">
        <v>14</v>
      </c>
      <c r="B28" s="58">
        <f>SUMIF('373 SurvBal_201412 Summary'!$A$34:$A$70, CONCATENATE("=",$A28),'373 SurvBal_201412 Summary'!$B$34:$B$70)</f>
        <v>8332932.6299999999</v>
      </c>
      <c r="C28" s="108">
        <f>SUMIF('373 SurvBal_201412 Summary'!$A$34:$A$70, CONCATENATE("=",$A28),'373 SurvBal_201412 Summary'!$C$34:$C$70)</f>
        <v>19112426</v>
      </c>
      <c r="D28" s="27">
        <v>0.99</v>
      </c>
      <c r="E28" s="115">
        <f t="shared" si="0"/>
        <v>18921301.739999998</v>
      </c>
      <c r="F28" s="123">
        <f t="shared" si="1"/>
        <v>191124.26000000164</v>
      </c>
      <c r="G28" s="1">
        <f t="shared" si="2"/>
        <v>7677.6904996786188</v>
      </c>
      <c r="H28" s="115">
        <f t="shared" si="3"/>
        <v>170988.2295551998</v>
      </c>
      <c r="I28" s="1">
        <f t="shared" si="4"/>
        <v>12458.33994512322</v>
      </c>
      <c r="K28" s="53"/>
    </row>
    <row r="29" spans="1:11" x14ac:dyDescent="0.25">
      <c r="A29" s="16" t="s">
        <v>15</v>
      </c>
      <c r="B29" s="58">
        <f>SUMIF('373 SurvBal_201412 Summary'!$A$34:$A$70, CONCATENATE("=",$A29),'373 SurvBal_201412 Summary'!$B$34:$B$70)</f>
        <v>4277</v>
      </c>
      <c r="C29" s="108">
        <f>SUMIF('373 SurvBal_201412 Summary'!$A$34:$A$70, CONCATENATE("=",$A29),'373 SurvBal_201412 Summary'!$C$34:$C$70)</f>
        <v>6355</v>
      </c>
      <c r="D29" s="27">
        <v>0.99</v>
      </c>
      <c r="E29" s="115">
        <f t="shared" si="0"/>
        <v>6291.45</v>
      </c>
      <c r="F29" s="123">
        <f t="shared" si="1"/>
        <v>63.550000000000182</v>
      </c>
      <c r="G29" s="1">
        <f t="shared" si="2"/>
        <v>2.5528796357645724</v>
      </c>
      <c r="H29" s="115">
        <f t="shared" si="3"/>
        <v>56.854645183363353</v>
      </c>
      <c r="I29" s="1">
        <f t="shared" si="4"/>
        <v>4.142475180872256</v>
      </c>
      <c r="K29" s="53"/>
    </row>
    <row r="30" spans="1:11" x14ac:dyDescent="0.25">
      <c r="A30" s="16" t="s">
        <v>16</v>
      </c>
      <c r="B30" s="58">
        <f>SUMIF('373 SurvBal_201412 Summary'!$A$34:$A$70, CONCATENATE("=",$A30),'373 SurvBal_201412 Summary'!$B$34:$B$70)</f>
        <v>974808.09</v>
      </c>
      <c r="C30" s="108">
        <f>SUMIF('373 SurvBal_201412 Summary'!$A$34:$A$70, CONCATENATE("=",$A30),'373 SurvBal_201412 Summary'!$C$34:$C$70)</f>
        <v>2287282</v>
      </c>
      <c r="D30" s="27">
        <v>0.99</v>
      </c>
      <c r="E30" s="115">
        <f t="shared" si="0"/>
        <v>2264409.1800000002</v>
      </c>
      <c r="F30" s="123">
        <f t="shared" si="1"/>
        <v>22872.819999999832</v>
      </c>
      <c r="G30" s="1">
        <f t="shared" si="2"/>
        <v>918.82858206936316</v>
      </c>
      <c r="H30" s="115">
        <f t="shared" si="3"/>
        <v>20463.038008543252</v>
      </c>
      <c r="I30" s="1">
        <f t="shared" si="4"/>
        <v>1490.9534093872162</v>
      </c>
      <c r="K30" s="53"/>
    </row>
    <row r="31" spans="1:11" x14ac:dyDescent="0.25">
      <c r="A31" s="16" t="s">
        <v>17</v>
      </c>
      <c r="B31" s="58">
        <f>SUMIF('373 SurvBal_201412 Summary'!$A$34:$A$70, CONCATENATE("=",$A31),'373 SurvBal_201412 Summary'!$B$34:$B$70)</f>
        <v>19016393.59</v>
      </c>
      <c r="C31" s="108">
        <f>SUMIF('373 SurvBal_201412 Summary'!$A$34:$A$70, CONCATENATE("=",$A31),'373 SurvBal_201412 Summary'!$C$34:$C$70)</f>
        <v>47775463</v>
      </c>
      <c r="D31" s="27">
        <v>0.99</v>
      </c>
      <c r="E31" s="115">
        <f t="shared" si="0"/>
        <v>47297708.369999997</v>
      </c>
      <c r="F31" s="123">
        <f t="shared" si="1"/>
        <v>477754.63000000268</v>
      </c>
      <c r="G31" s="1">
        <f t="shared" si="2"/>
        <v>19191.975858682006</v>
      </c>
      <c r="H31" s="115">
        <f t="shared" si="3"/>
        <v>427420.45591438416</v>
      </c>
      <c r="I31" s="1">
        <f t="shared" si="4"/>
        <v>31142.198226936478</v>
      </c>
      <c r="K31" s="53"/>
    </row>
    <row r="32" spans="1:11" x14ac:dyDescent="0.25">
      <c r="A32" s="16" t="s">
        <v>18</v>
      </c>
      <c r="B32" s="58">
        <f>SUMIF('373 SurvBal_201412 Summary'!$A$34:$A$70, CONCATENATE("=",$A32),'373 SurvBal_201412 Summary'!$B$34:$B$70)</f>
        <v>3572549.27</v>
      </c>
      <c r="C32" s="108">
        <f>SUMIF('373 SurvBal_201412 Summary'!$A$34:$A$70, CONCATENATE("=",$A32),'373 SurvBal_201412 Summary'!$C$34:$C$70)</f>
        <v>21161050</v>
      </c>
      <c r="D32" s="27">
        <v>0.99</v>
      </c>
      <c r="E32" s="115">
        <f t="shared" si="0"/>
        <v>20949439.5</v>
      </c>
      <c r="F32" s="123">
        <f t="shared" si="1"/>
        <v>211610.5</v>
      </c>
      <c r="G32" s="1">
        <f t="shared" si="2"/>
        <v>8500.6473039175053</v>
      </c>
      <c r="H32" s="115">
        <f t="shared" si="3"/>
        <v>189316.12737331356</v>
      </c>
      <c r="I32" s="1">
        <f t="shared" si="4"/>
        <v>13793.725322768938</v>
      </c>
      <c r="K32" s="53"/>
    </row>
    <row r="33" spans="1:11" x14ac:dyDescent="0.25">
      <c r="A33" s="16" t="s">
        <v>19</v>
      </c>
      <c r="B33" s="58">
        <f>SUMIF('373 SurvBal_201412 Summary'!$A$34:$A$70, CONCATENATE("=",$A33),'373 SurvBal_201412 Summary'!$B$34:$B$70)</f>
        <v>2481</v>
      </c>
      <c r="C33" s="108">
        <f>SUMIF('373 SurvBal_201412 Summary'!$A$34:$A$70, CONCATENATE("=",$A33),'373 SurvBal_201412 Summary'!$C$34:$C$70)</f>
        <v>3472</v>
      </c>
      <c r="D33" s="27">
        <v>0.99</v>
      </c>
      <c r="E33" s="115">
        <f t="shared" si="0"/>
        <v>3437.2799999999997</v>
      </c>
      <c r="F33" s="123">
        <f t="shared" si="1"/>
        <v>34.720000000000255</v>
      </c>
      <c r="G33" s="1">
        <f t="shared" si="2"/>
        <v>1.394743996125041</v>
      </c>
      <c r="H33" s="115">
        <f t="shared" si="3"/>
        <v>31.062050051398653</v>
      </c>
      <c r="I33" s="1">
        <f t="shared" si="4"/>
        <v>2.26320595247656</v>
      </c>
      <c r="K33" s="53"/>
    </row>
    <row r="34" spans="1:11" x14ac:dyDescent="0.25">
      <c r="A34" s="16" t="s">
        <v>20</v>
      </c>
      <c r="B34" s="58">
        <f>SUMIF('373 SurvBal_201412 Summary'!$A$34:$A$70, CONCATENATE("=",$A34),'373 SurvBal_201412 Summary'!$B$34:$B$70)</f>
        <v>18868</v>
      </c>
      <c r="C34" s="108">
        <f>SUMIF('373 SurvBal_201412 Summary'!$A$34:$A$70, CONCATENATE("=",$A34),'373 SurvBal_201412 Summary'!$C$34:$C$70)</f>
        <v>47427</v>
      </c>
      <c r="D34" s="27">
        <v>0.99</v>
      </c>
      <c r="E34" s="115">
        <f t="shared" si="0"/>
        <v>46952.73</v>
      </c>
      <c r="F34" s="123">
        <f t="shared" si="1"/>
        <v>474.2699999999968</v>
      </c>
      <c r="G34" s="1">
        <f t="shared" si="2"/>
        <v>19.051994096837955</v>
      </c>
      <c r="H34" s="115">
        <f t="shared" si="3"/>
        <v>424.30295155174628</v>
      </c>
      <c r="I34" s="1">
        <f t="shared" si="4"/>
        <v>30.915054351412525</v>
      </c>
      <c r="K34" s="53"/>
    </row>
    <row r="35" spans="1:11" x14ac:dyDescent="0.25">
      <c r="A35" s="16" t="s">
        <v>21</v>
      </c>
      <c r="B35" s="58">
        <f>SUMIF('373 SurvBal_201412 Summary'!$A$34:$A$70, CONCATENATE("=",$A35),'373 SurvBal_201412 Summary'!$B$34:$B$70)</f>
        <v>60151</v>
      </c>
      <c r="C35" s="108">
        <f>SUMIF('373 SurvBal_201412 Summary'!$A$34:$A$70, CONCATENATE("=",$A35),'373 SurvBal_201412 Summary'!$C$34:$C$70)</f>
        <v>54552</v>
      </c>
      <c r="D35" s="27">
        <v>0.99</v>
      </c>
      <c r="E35" s="115">
        <f t="shared" si="0"/>
        <v>54006.479999999996</v>
      </c>
      <c r="F35" s="123">
        <f t="shared" si="1"/>
        <v>545.52000000000407</v>
      </c>
      <c r="G35" s="1">
        <f t="shared" si="2"/>
        <v>21.914191957549896</v>
      </c>
      <c r="H35" s="115">
        <f t="shared" si="3"/>
        <v>488.04635783522451</v>
      </c>
      <c r="I35" s="1">
        <f t="shared" si="4"/>
        <v>35.559450207229638</v>
      </c>
      <c r="K35" s="53"/>
    </row>
    <row r="36" spans="1:11" x14ac:dyDescent="0.25">
      <c r="A36" s="16" t="s">
        <v>22</v>
      </c>
      <c r="B36" s="58">
        <f>SUMIF('373 SurvBal_201412 Summary'!$A$34:$A$70, CONCATENATE("=",$A36),'373 SurvBal_201412 Summary'!$B$34:$B$70)</f>
        <v>0</v>
      </c>
      <c r="C36" s="108">
        <f>SUMIF('373 SurvBal_201412 Summary'!$A$34:$A$70, CONCATENATE("=",$A36),'373 SurvBal_201412 Summary'!$C$34:$C$70)</f>
        <v>1</v>
      </c>
      <c r="D36" s="27">
        <v>0.99</v>
      </c>
      <c r="E36" s="115">
        <f t="shared" si="0"/>
        <v>0.99</v>
      </c>
      <c r="F36" s="123">
        <f t="shared" si="1"/>
        <v>1.0000000000000009E-2</v>
      </c>
      <c r="G36" s="1">
        <f t="shared" si="2"/>
        <v>4.0171198045075803E-4</v>
      </c>
      <c r="H36" s="115">
        <f t="shared" si="3"/>
        <v>8.9464429871539321E-3</v>
      </c>
      <c r="I36" s="1">
        <f t="shared" si="4"/>
        <v>6.5184503239531827E-4</v>
      </c>
      <c r="K36" s="53"/>
    </row>
    <row r="37" spans="1:11" x14ac:dyDescent="0.25">
      <c r="A37" s="16" t="s">
        <v>23</v>
      </c>
      <c r="B37" s="58">
        <f>SUMIF('373 SurvBal_201412 Summary'!$A$34:$A$70, CONCATENATE("=",$A37),'373 SurvBal_201412 Summary'!$B$34:$B$70)</f>
        <v>0</v>
      </c>
      <c r="C37" s="108">
        <f>SUMIF('373 SurvBal_201412 Summary'!$A$34:$A$70, CONCATENATE("=",$A37),'373 SurvBal_201412 Summary'!$C$34:$C$70)</f>
        <v>-1</v>
      </c>
      <c r="D37" s="27">
        <v>0.99</v>
      </c>
      <c r="E37" s="115">
        <f t="shared" si="0"/>
        <v>-0.99</v>
      </c>
      <c r="F37" s="123">
        <f t="shared" si="1"/>
        <v>-1.0000000000000009E-2</v>
      </c>
      <c r="G37" s="1">
        <f t="shared" si="2"/>
        <v>-4.0171198045075803E-4</v>
      </c>
      <c r="H37" s="115">
        <f t="shared" si="3"/>
        <v>-8.9464429871539321E-3</v>
      </c>
      <c r="I37" s="1">
        <f t="shared" si="4"/>
        <v>-6.5184503239531827E-4</v>
      </c>
      <c r="K37" s="53"/>
    </row>
    <row r="38" spans="1:11" x14ac:dyDescent="0.25">
      <c r="A38" s="104" t="s">
        <v>126</v>
      </c>
      <c r="B38" s="58">
        <f>SUMIF('373 SurvBal_201412 Summary'!$A$34:$A$70, CONCATENATE("=",$A38),'373 SurvBal_201412 Summary'!$B$34:$B$70)</f>
        <v>0</v>
      </c>
      <c r="C38" s="108">
        <f>SUMIF('373 SurvBal_201412 Summary'!$A$34:$A$70, CONCATENATE("=",$A38),'373 SurvBal_201412 Summary'!$C$34:$C$70)</f>
        <v>0</v>
      </c>
      <c r="D38" s="27">
        <v>1.99</v>
      </c>
      <c r="E38" s="115">
        <f t="shared" si="0"/>
        <v>0</v>
      </c>
      <c r="F38" s="123">
        <f t="shared" si="1"/>
        <v>0</v>
      </c>
      <c r="G38" s="1">
        <f t="shared" si="2"/>
        <v>0</v>
      </c>
      <c r="H38" s="115">
        <f t="shared" si="3"/>
        <v>0</v>
      </c>
      <c r="I38" s="1">
        <f t="shared" si="4"/>
        <v>0</v>
      </c>
      <c r="K38" s="53"/>
    </row>
    <row r="39" spans="1:11" x14ac:dyDescent="0.25">
      <c r="A39" s="16" t="s">
        <v>127</v>
      </c>
      <c r="B39" s="58">
        <f>SUMIF('373 SurvBal_201412 Summary'!$A$34:$A$70, CONCATENATE("=",$A39),'373 SurvBal_201412 Summary'!$B$34:$B$70)</f>
        <v>0</v>
      </c>
      <c r="C39" s="108">
        <f>SUMIF('373 SurvBal_201412 Summary'!$A$34:$A$70, CONCATENATE("=",$A39),'373 SurvBal_201412 Summary'!$C$34:$C$70)</f>
        <v>0</v>
      </c>
      <c r="D39" s="27">
        <v>2.99</v>
      </c>
      <c r="E39" s="115">
        <f t="shared" si="0"/>
        <v>0</v>
      </c>
      <c r="F39" s="123">
        <f t="shared" si="1"/>
        <v>0</v>
      </c>
      <c r="G39" s="1">
        <f t="shared" si="2"/>
        <v>0</v>
      </c>
      <c r="H39" s="115">
        <f t="shared" si="3"/>
        <v>0</v>
      </c>
      <c r="I39" s="1">
        <f t="shared" si="4"/>
        <v>0</v>
      </c>
      <c r="K39" s="53"/>
    </row>
    <row r="40" spans="1:11" x14ac:dyDescent="0.25">
      <c r="A40" s="16" t="s">
        <v>25</v>
      </c>
      <c r="B40" s="58">
        <f>SUMIF('373 SurvBal_201412 Summary'!$A$34:$A$70, CONCATENATE("=",$A40),'373 SurvBal_201412 Summary'!$B$34:$B$70)</f>
        <v>0</v>
      </c>
      <c r="C40" s="108">
        <f>SUMIF('373 SurvBal_201412 Summary'!$A$34:$A$70, CONCATENATE("=",$A40),'373 SurvBal_201412 Summary'!$C$34:$C$70)</f>
        <v>0</v>
      </c>
      <c r="D40" s="27">
        <v>0</v>
      </c>
      <c r="E40" s="115">
        <f t="shared" si="0"/>
        <v>0</v>
      </c>
      <c r="F40" s="123">
        <f t="shared" si="1"/>
        <v>0</v>
      </c>
      <c r="G40" s="1">
        <f t="shared" si="2"/>
        <v>0</v>
      </c>
      <c r="H40" s="115">
        <f t="shared" si="3"/>
        <v>0</v>
      </c>
      <c r="I40" s="1">
        <f t="shared" si="4"/>
        <v>0</v>
      </c>
      <c r="K40" s="53"/>
    </row>
    <row r="41" spans="1:11" x14ac:dyDescent="0.25">
      <c r="A41" s="16" t="s">
        <v>26</v>
      </c>
      <c r="B41" s="58">
        <f>SUMIF('373 SurvBal_201412 Summary'!$A$34:$A$70, CONCATENATE("=",$A41),'373 SurvBal_201412 Summary'!$B$34:$B$70)</f>
        <v>0</v>
      </c>
      <c r="C41" s="108">
        <f>SUMIF('373 SurvBal_201412 Summary'!$A$34:$A$70, CONCATENATE("=",$A41),'373 SurvBal_201412 Summary'!$C$34:$C$70)</f>
        <v>15201</v>
      </c>
      <c r="D41" s="27">
        <v>0</v>
      </c>
      <c r="E41" s="115">
        <f t="shared" si="0"/>
        <v>0</v>
      </c>
      <c r="F41" s="123">
        <f t="shared" si="1"/>
        <v>15201</v>
      </c>
      <c r="G41" s="1">
        <f t="shared" si="2"/>
        <v>610.6423814831968</v>
      </c>
      <c r="H41" s="115">
        <f t="shared" si="3"/>
        <v>13599.487984772681</v>
      </c>
      <c r="I41" s="1">
        <f t="shared" si="4"/>
        <v>990.86963374412255</v>
      </c>
      <c r="K41" s="53"/>
    </row>
    <row r="42" spans="1:11" x14ac:dyDescent="0.25">
      <c r="A42" s="16" t="s">
        <v>27</v>
      </c>
      <c r="B42" s="58">
        <f>SUMIF('373 SurvBal_201412 Summary'!$A$34:$A$70, CONCATENATE("=",$A42),'373 SurvBal_201412 Summary'!$B$34:$B$70)</f>
        <v>0</v>
      </c>
      <c r="C42" s="108">
        <f>SUMIF('373 SurvBal_201412 Summary'!$A$34:$A$70, CONCATENATE("=",$A42),'373 SurvBal_201412 Summary'!$C$34:$C$70)</f>
        <v>1</v>
      </c>
      <c r="D42" s="27">
        <f t="shared" ref="D42:D47" si="5">SUM($E$10:$E$37)/SUM($E$10:$F$37)</f>
        <v>0.99303394514252952</v>
      </c>
      <c r="E42" s="115">
        <f t="shared" si="0"/>
        <v>0.99303394514252952</v>
      </c>
      <c r="F42" s="123">
        <f t="shared" si="1"/>
        <v>6.9660548574704828E-3</v>
      </c>
      <c r="G42" s="1">
        <f t="shared" si="2"/>
        <v>2.798347692723088E-4</v>
      </c>
      <c r="H42" s="115">
        <f t="shared" si="3"/>
        <v>6.2321412627746329E-3</v>
      </c>
      <c r="I42" s="1">
        <f t="shared" si="4"/>
        <v>4.5407882542354073E-4</v>
      </c>
      <c r="K42" s="53"/>
    </row>
    <row r="43" spans="1:11" x14ac:dyDescent="0.25">
      <c r="A43" s="16" t="s">
        <v>128</v>
      </c>
      <c r="B43" s="58">
        <f>SUMIF('373 SurvBal_201412 Summary'!$A$34:$A$70, CONCATENATE("=",$A43),'373 SurvBal_201412 Summary'!$B$34:$B$70)</f>
        <v>0</v>
      </c>
      <c r="C43" s="108">
        <f>SUMIF('373 SurvBal_201412 Summary'!$A$34:$A$70, CONCATENATE("=",$A43),'373 SurvBal_201412 Summary'!$C$34:$C$70)</f>
        <v>0</v>
      </c>
      <c r="D43" s="27">
        <f t="shared" si="5"/>
        <v>0.99303394514252952</v>
      </c>
      <c r="E43" s="115">
        <f t="shared" si="0"/>
        <v>0</v>
      </c>
      <c r="F43" s="123">
        <f t="shared" si="1"/>
        <v>0</v>
      </c>
      <c r="G43" s="1">
        <f t="shared" si="2"/>
        <v>0</v>
      </c>
      <c r="H43" s="115">
        <f t="shared" si="3"/>
        <v>0</v>
      </c>
      <c r="I43" s="1">
        <f t="shared" si="4"/>
        <v>0</v>
      </c>
      <c r="K43" s="53"/>
    </row>
    <row r="44" spans="1:11" x14ac:dyDescent="0.25">
      <c r="A44" s="16" t="s">
        <v>29</v>
      </c>
      <c r="B44" s="58">
        <f>SUMIF('373 SurvBal_201412 Summary'!$A$34:$A$70, CONCATENATE("=",$A44),'373 SurvBal_201412 Summary'!$B$34:$B$70)</f>
        <v>0</v>
      </c>
      <c r="C44" s="108">
        <f>SUMIF('373 SurvBal_201412 Summary'!$A$34:$A$70, CONCATENATE("=",$A44),'373 SurvBal_201412 Summary'!$C$34:$C$70)</f>
        <v>1</v>
      </c>
      <c r="D44" s="27">
        <f t="shared" si="5"/>
        <v>0.99303394514252952</v>
      </c>
      <c r="E44" s="115">
        <f t="shared" si="0"/>
        <v>0.99303394514252952</v>
      </c>
      <c r="F44" s="123">
        <f t="shared" si="1"/>
        <v>6.9660548574704828E-3</v>
      </c>
      <c r="G44" s="1">
        <f t="shared" si="2"/>
        <v>2.798347692723088E-4</v>
      </c>
      <c r="H44" s="115">
        <f t="shared" si="3"/>
        <v>6.2321412627746329E-3</v>
      </c>
      <c r="I44" s="1">
        <f t="shared" si="4"/>
        <v>4.5407882542354073E-4</v>
      </c>
      <c r="K44" s="53"/>
    </row>
    <row r="45" spans="1:11" x14ac:dyDescent="0.25">
      <c r="A45" s="16" t="s">
        <v>129</v>
      </c>
      <c r="B45" s="58">
        <f>SUMIF('373 SurvBal_201412 Summary'!$A$34:$A$70, CONCATENATE("=",$A45),'373 SurvBal_201412 Summary'!$B$34:$B$70)</f>
        <v>0</v>
      </c>
      <c r="C45" s="108">
        <f>SUMIF('373 SurvBal_201412 Summary'!$A$34:$A$70, CONCATENATE("=",$A45),'373 SurvBal_201412 Summary'!$C$34:$C$70)</f>
        <v>0</v>
      </c>
      <c r="D45" s="27">
        <f t="shared" si="5"/>
        <v>0.99303394514252952</v>
      </c>
      <c r="E45" s="115">
        <f t="shared" si="0"/>
        <v>0</v>
      </c>
      <c r="F45" s="123">
        <f t="shared" si="1"/>
        <v>0</v>
      </c>
      <c r="G45" s="1">
        <f t="shared" si="2"/>
        <v>0</v>
      </c>
      <c r="H45" s="115">
        <f t="shared" si="3"/>
        <v>0</v>
      </c>
      <c r="I45" s="1">
        <f t="shared" si="4"/>
        <v>0</v>
      </c>
      <c r="K45" s="53"/>
    </row>
    <row r="46" spans="1:11" x14ac:dyDescent="0.25">
      <c r="A46" s="16" t="s">
        <v>76</v>
      </c>
      <c r="B46" s="58">
        <f>SUMIF('373 SurvBal_201412 Summary'!$A$34:$A$70, CONCATENATE("=",$A46),'373 SurvBal_201412 Summary'!$B$34:$B$70)</f>
        <v>0</v>
      </c>
      <c r="C46" s="108">
        <f>SUMIF('373 SurvBal_201412 Summary'!$A$34:$A$70, CONCATENATE("=",$A46),'373 SurvBal_201412 Summary'!$C$34:$C$70)</f>
        <v>3</v>
      </c>
      <c r="D46" s="27">
        <f t="shared" si="5"/>
        <v>0.99303394514252952</v>
      </c>
      <c r="E46" s="115">
        <f t="shared" si="0"/>
        <v>2.9791018354275884</v>
      </c>
      <c r="F46" s="123">
        <f t="shared" si="1"/>
        <v>2.0898164572411559E-2</v>
      </c>
      <c r="G46" s="1">
        <f t="shared" si="2"/>
        <v>8.3950430781693094E-4</v>
      </c>
      <c r="H46" s="115">
        <f t="shared" si="3"/>
        <v>1.8696423788323997E-2</v>
      </c>
      <c r="I46" s="1">
        <f t="shared" si="4"/>
        <v>1.3622364762706294E-3</v>
      </c>
      <c r="K46" s="53"/>
    </row>
    <row r="47" spans="1:11" s="2" customFormat="1" x14ac:dyDescent="0.25">
      <c r="A47" s="16" t="s">
        <v>31</v>
      </c>
      <c r="B47" s="58">
        <f>SUMIF('373 SurvBal_201412 Summary'!$A$34:$A$70, CONCATENATE("=",$A47),'373 SurvBal_201412 Summary'!$B$34:$B$70)</f>
        <v>0</v>
      </c>
      <c r="C47" s="108">
        <f>SUMIF('373 SurvBal_201412 Summary'!$A$34:$A$70, CONCATENATE("=",$A47),'373 SurvBal_201412 Summary'!$C$34:$C$70)</f>
        <v>0</v>
      </c>
      <c r="D47" s="27">
        <f t="shared" si="5"/>
        <v>0.99303394514252952</v>
      </c>
      <c r="E47" s="115">
        <f t="shared" si="0"/>
        <v>0</v>
      </c>
      <c r="F47" s="123">
        <f t="shared" si="1"/>
        <v>0</v>
      </c>
      <c r="G47" s="1">
        <f t="shared" si="2"/>
        <v>0</v>
      </c>
      <c r="H47" s="115">
        <f t="shared" si="3"/>
        <v>0</v>
      </c>
      <c r="I47" s="1">
        <f t="shared" si="4"/>
        <v>0</v>
      </c>
      <c r="K47" s="53"/>
    </row>
    <row r="48" spans="1:11" s="2" customFormat="1" x14ac:dyDescent="0.25">
      <c r="A48" s="14"/>
      <c r="B48" s="15"/>
      <c r="C48" s="109"/>
      <c r="E48" s="116"/>
      <c r="F48" s="124"/>
      <c r="H48" s="120"/>
      <c r="K48" s="5"/>
    </row>
    <row r="49" spans="1:9" ht="13.8" thickBot="1" x14ac:dyDescent="0.3">
      <c r="A49" s="2" t="s">
        <v>38</v>
      </c>
      <c r="B49" s="17">
        <f>SUM(B10:B47)</f>
        <v>42125939.5</v>
      </c>
      <c r="C49" s="110">
        <f>SUM(C10:C47)</f>
        <v>426790965</v>
      </c>
      <c r="D49" s="2"/>
      <c r="E49" s="117">
        <f>SUM(E10:E47)</f>
        <v>423802820.61613715</v>
      </c>
      <c r="F49" s="125">
        <f>SUM(F10:F47)</f>
        <v>2988144.3838628517</v>
      </c>
      <c r="G49" s="18">
        <f>SUM(G10:G47)</f>
        <v>120037.3398314355</v>
      </c>
      <c r="H49" s="117">
        <f>SUM(H10:H47)</f>
        <v>2673326.3367613186</v>
      </c>
      <c r="I49" s="18">
        <f>SUM(I10:I47)</f>
        <v>194780.7072700967</v>
      </c>
    </row>
    <row r="50" spans="1:9" ht="13.8" thickTop="1" x14ac:dyDescent="0.25">
      <c r="B50" s="56" t="e">
        <f>+B49-GETPIVOTDATA("Sum of Activity Quantity",'373 SurvBal_201412 Summary'!$A$7,"Utility Account","37300 - Street Lights &amp; Signal Sys")</f>
        <v>#REF!</v>
      </c>
      <c r="C50" s="111" t="e">
        <f>+C49-GETPIVOTDATA("Sum of Activity Cost",'373 SurvBal_201412 Summary'!$A$7,"Utility Account","37300 - Street Lights &amp; Signal Sys")</f>
        <v>#REF!</v>
      </c>
      <c r="D50" s="5"/>
      <c r="E50" s="118"/>
      <c r="F50" s="126"/>
      <c r="H50" s="121"/>
    </row>
    <row r="51" spans="1:9" ht="13.8" thickBot="1" x14ac:dyDescent="0.3">
      <c r="A51" s="2" t="s">
        <v>39</v>
      </c>
      <c r="B51" s="3"/>
      <c r="C51" s="112">
        <f>+C49/$C$49</f>
        <v>1</v>
      </c>
      <c r="D51" s="5"/>
      <c r="E51" s="112">
        <f>+E49/$C$49</f>
        <v>0.99299857628461541</v>
      </c>
      <c r="F51" s="127">
        <f>+F49/$C$49</f>
        <v>7.001423715384536E-3</v>
      </c>
      <c r="G51" s="19">
        <f>+G49/$C$49</f>
        <v>2.8125557866820233E-4</v>
      </c>
      <c r="H51" s="112">
        <f>+H49/$C$49</f>
        <v>6.2637838098595139E-3</v>
      </c>
      <c r="I51" s="19">
        <f>+I49/$C$49</f>
        <v>4.5638432685681782E-4</v>
      </c>
    </row>
    <row r="52" spans="1:9" ht="13.8" thickTop="1" x14ac:dyDescent="0.25">
      <c r="C52" s="113"/>
      <c r="D52" s="20"/>
      <c r="E52" s="113"/>
      <c r="F52" s="128"/>
      <c r="H52" s="121"/>
    </row>
    <row r="53" spans="1:9" ht="13.8" thickBot="1" x14ac:dyDescent="0.3">
      <c r="A53" s="2" t="s">
        <v>68</v>
      </c>
      <c r="C53" s="112">
        <f>SUM(E53:I53)</f>
        <v>0.99999999999999989</v>
      </c>
      <c r="D53" s="20"/>
      <c r="E53" s="112">
        <f>+E51+G51+H51</f>
        <v>0.99954361567314309</v>
      </c>
      <c r="F53" s="128"/>
      <c r="H53" s="121"/>
      <c r="I53" s="19">
        <f>+I51</f>
        <v>4.5638432685681782E-4</v>
      </c>
    </row>
    <row r="54" spans="1:9" ht="13.8" thickTop="1" x14ac:dyDescent="0.25">
      <c r="C54" s="113"/>
      <c r="D54" s="20"/>
      <c r="E54" s="113"/>
      <c r="F54" s="128"/>
      <c r="H54" s="121"/>
    </row>
    <row r="55" spans="1:9" x14ac:dyDescent="0.25">
      <c r="C55" s="20"/>
      <c r="D55" s="20"/>
      <c r="E55" s="20"/>
      <c r="F55" s="20"/>
    </row>
    <row r="56" spans="1:9" ht="13.8" thickBot="1" x14ac:dyDescent="0.3">
      <c r="C56" s="20"/>
      <c r="D56" s="20"/>
      <c r="E56" s="20"/>
      <c r="F56" s="20"/>
    </row>
    <row r="57" spans="1:9" ht="13.8" thickBot="1" x14ac:dyDescent="0.3">
      <c r="A57" s="147" t="s">
        <v>130</v>
      </c>
      <c r="B57" s="148"/>
      <c r="C57" s="149"/>
      <c r="D57" s="5"/>
      <c r="E57" s="6"/>
    </row>
    <row r="58" spans="1:9" x14ac:dyDescent="0.25">
      <c r="A58" s="150"/>
      <c r="B58" s="150"/>
      <c r="C58" s="150"/>
    </row>
    <row r="59" spans="1:9" x14ac:dyDescent="0.25">
      <c r="A59" s="30" t="s">
        <v>113</v>
      </c>
      <c r="B59" s="59">
        <f>+'2014 LIGHTS'!B22</f>
        <v>1929853</v>
      </c>
      <c r="C59" s="23">
        <f>+B59/$B$64</f>
        <v>0.24214517822113379</v>
      </c>
    </row>
    <row r="60" spans="1:9" x14ac:dyDescent="0.25">
      <c r="A60" s="30" t="s">
        <v>111</v>
      </c>
      <c r="B60" s="59">
        <f>+'2014 LIGHTS'!C22</f>
        <v>5834784</v>
      </c>
      <c r="C60" s="23">
        <f>+B60/$B$64</f>
        <v>0.732110068260028</v>
      </c>
    </row>
    <row r="61" spans="1:9" x14ac:dyDescent="0.25">
      <c r="A61" s="30" t="s">
        <v>121</v>
      </c>
      <c r="B61" s="59">
        <f>+'2014 LIGHTS'!D22</f>
        <v>118527</v>
      </c>
      <c r="C61" s="23">
        <f>+B61/$B$64</f>
        <v>1.487198327490038E-2</v>
      </c>
    </row>
    <row r="62" spans="1:9" x14ac:dyDescent="0.25">
      <c r="A62" s="30" t="s">
        <v>112</v>
      </c>
      <c r="B62" s="59">
        <f>+'2014 LIGHTS'!E22</f>
        <v>86654</v>
      </c>
      <c r="C62" s="23">
        <f>+B62/$B$64</f>
        <v>1.0872770243937816E-2</v>
      </c>
    </row>
    <row r="63" spans="1:9" x14ac:dyDescent="0.25">
      <c r="B63" s="3"/>
      <c r="C63" s="4"/>
    </row>
    <row r="64" spans="1:9" ht="13.8" thickBot="1" x14ac:dyDescent="0.3">
      <c r="A64" s="5" t="s">
        <v>44</v>
      </c>
      <c r="B64" s="24">
        <f>SUM(B59:B62)</f>
        <v>7969818</v>
      </c>
      <c r="C64" s="25">
        <f>+B64/$B$64</f>
        <v>1</v>
      </c>
      <c r="E64" s="54"/>
    </row>
    <row r="65" spans="1:4" ht="13.8" thickTop="1" x14ac:dyDescent="0.25">
      <c r="B65" s="28"/>
      <c r="C65" s="29"/>
    </row>
    <row r="66" spans="1:4" x14ac:dyDescent="0.25">
      <c r="B66" s="28"/>
      <c r="C66" s="29"/>
      <c r="D66" s="5"/>
    </row>
    <row r="67" spans="1:4" ht="13.8" thickBot="1" x14ac:dyDescent="0.3">
      <c r="D67" s="5"/>
    </row>
    <row r="68" spans="1:4" ht="13.8" thickBot="1" x14ac:dyDescent="0.3">
      <c r="A68" s="147" t="s">
        <v>133</v>
      </c>
      <c r="B68" s="148"/>
      <c r="C68" s="149"/>
      <c r="D68" s="5"/>
    </row>
    <row r="69" spans="1:4" x14ac:dyDescent="0.25">
      <c r="D69" s="5"/>
    </row>
    <row r="70" spans="1:4" x14ac:dyDescent="0.25">
      <c r="A70" s="21" t="s">
        <v>124</v>
      </c>
      <c r="B70" s="22">
        <f>+B61/$B$64*'2014 Fixtures Per MDW'!$B$10</f>
        <v>104335.48431984268</v>
      </c>
      <c r="C70" s="23">
        <f>+B70/$B$76</f>
        <v>1.4614147443133838E-2</v>
      </c>
      <c r="D70" s="5"/>
    </row>
    <row r="71" spans="1:4" x14ac:dyDescent="0.25">
      <c r="A71" s="21" t="s">
        <v>122</v>
      </c>
      <c r="B71" s="22">
        <f>+B60/$B$64*'2014 Fixtures Per MDW'!$B$10</f>
        <v>5136171.6279132096</v>
      </c>
      <c r="C71" s="23">
        <f>+B71/$B$76</f>
        <v>0.71941746331922884</v>
      </c>
      <c r="D71" s="5"/>
    </row>
    <row r="72" spans="1:4" x14ac:dyDescent="0.25">
      <c r="A72" s="21" t="s">
        <v>123</v>
      </c>
      <c r="B72" s="22">
        <f>+B62/$B$64*'2014 Fixtures Per MDW'!$B$10</f>
        <v>76278.713358573557</v>
      </c>
      <c r="C72" s="23">
        <f>+B72/$B$76</f>
        <v>1.0684268837794929E-2</v>
      </c>
      <c r="D72" s="5"/>
    </row>
    <row r="73" spans="1:4" x14ac:dyDescent="0.25">
      <c r="A73" s="21" t="s">
        <v>125</v>
      </c>
      <c r="B73" s="22">
        <f>+B59/$B$64*'2014 Fixtures Per MDW'!$B$10</f>
        <v>1698787.1744083744</v>
      </c>
      <c r="C73" s="23">
        <f>+B73/$B$76</f>
        <v>0.23794710306996864</v>
      </c>
      <c r="D73" s="5"/>
    </row>
    <row r="74" spans="1:4" x14ac:dyDescent="0.25">
      <c r="A74" s="30" t="s">
        <v>34</v>
      </c>
      <c r="B74" s="22">
        <f>+'2014 Fixtures Per MDW'!B11</f>
        <v>123775</v>
      </c>
      <c r="C74" s="23">
        <f>+B74/$B$76</f>
        <v>1.7337017329873819E-2</v>
      </c>
      <c r="D74" s="5"/>
    </row>
    <row r="75" spans="1:4" x14ac:dyDescent="0.25">
      <c r="D75" s="5"/>
    </row>
    <row r="76" spans="1:4" ht="13.8" thickBot="1" x14ac:dyDescent="0.3">
      <c r="A76" s="5" t="s">
        <v>44</v>
      </c>
      <c r="B76" s="24">
        <f>SUM(B70:B75)</f>
        <v>7139348</v>
      </c>
      <c r="C76" s="25">
        <f>+B76/$B$76</f>
        <v>1</v>
      </c>
      <c r="D76" s="5"/>
    </row>
    <row r="77" spans="1:4" ht="13.8" thickTop="1" x14ac:dyDescent="0.25">
      <c r="D77" s="5"/>
    </row>
    <row r="78" spans="1:4" x14ac:dyDescent="0.25">
      <c r="D78" s="5"/>
    </row>
    <row r="79" spans="1:4" ht="13.8" thickBot="1" x14ac:dyDescent="0.3">
      <c r="B79" s="22"/>
      <c r="D79" s="5"/>
    </row>
    <row r="80" spans="1:4" ht="13.8" thickBot="1" x14ac:dyDescent="0.3">
      <c r="A80" s="137" t="s">
        <v>83</v>
      </c>
      <c r="B80" s="138"/>
      <c r="C80" s="139"/>
      <c r="D80" s="62" t="s">
        <v>84</v>
      </c>
    </row>
    <row r="82" spans="1:11" x14ac:dyDescent="0.25">
      <c r="A82" s="21" t="s">
        <v>40</v>
      </c>
      <c r="B82" s="22">
        <f>+B70</f>
        <v>104335.48431984268</v>
      </c>
      <c r="C82" s="23">
        <f>+B82/$B$76</f>
        <v>1.4614147443133838E-2</v>
      </c>
    </row>
    <row r="83" spans="1:11" x14ac:dyDescent="0.25">
      <c r="A83" s="21" t="s">
        <v>41</v>
      </c>
      <c r="B83" s="22">
        <f>+B76-SUM(B82,B84:B86)</f>
        <v>6985026.915280574</v>
      </c>
      <c r="C83" s="23">
        <f>+B83/$B$76</f>
        <v>0.97838442884148158</v>
      </c>
    </row>
    <row r="84" spans="1:11" s="3" customFormat="1" x14ac:dyDescent="0.25">
      <c r="A84" s="21" t="s">
        <v>42</v>
      </c>
      <c r="B84" s="22">
        <f>+G51*B76</f>
        <v>2007.981453053673</v>
      </c>
      <c r="C84" s="23">
        <f>+B84/$B$76</f>
        <v>2.8125557866820233E-4</v>
      </c>
      <c r="D84" s="26"/>
      <c r="E84" s="5"/>
      <c r="F84" s="5"/>
      <c r="G84" s="5"/>
      <c r="H84" s="5"/>
      <c r="I84" s="5"/>
      <c r="J84" s="5"/>
      <c r="K84" s="5"/>
    </row>
    <row r="85" spans="1:11" s="3" customFormat="1" x14ac:dyDescent="0.25">
      <c r="A85" s="21" t="s">
        <v>43</v>
      </c>
      <c r="B85" s="22">
        <f>+H51*B76</f>
        <v>44719.332415352903</v>
      </c>
      <c r="C85" s="23">
        <f>+B85/$B$76</f>
        <v>6.2637838098595139E-3</v>
      </c>
      <c r="D85" s="26"/>
      <c r="E85" s="5"/>
      <c r="F85" s="5"/>
      <c r="G85" s="5"/>
      <c r="H85" s="5"/>
      <c r="I85" s="5"/>
      <c r="J85" s="5"/>
      <c r="K85" s="5"/>
    </row>
    <row r="86" spans="1:11" s="3" customFormat="1" x14ac:dyDescent="0.25">
      <c r="A86" s="30" t="s">
        <v>34</v>
      </c>
      <c r="B86" s="22">
        <f>+I51*B76</f>
        <v>3258.2865311765686</v>
      </c>
      <c r="C86" s="23">
        <f>+B86/$B$76</f>
        <v>4.5638432685681782E-4</v>
      </c>
      <c r="D86" s="26"/>
      <c r="E86" s="5"/>
      <c r="F86" s="5"/>
      <c r="G86" s="5"/>
      <c r="H86" s="5"/>
      <c r="I86" s="5"/>
      <c r="J86" s="5"/>
      <c r="K86" s="5"/>
    </row>
    <row r="88" spans="1:11" s="3" customFormat="1" ht="13.8" thickBot="1" x14ac:dyDescent="0.3">
      <c r="A88" s="5" t="s">
        <v>44</v>
      </c>
      <c r="B88" s="24">
        <f>SUM(B82:B87)</f>
        <v>7139347.9999999991</v>
      </c>
      <c r="C88" s="25">
        <f>+B88/$B$76</f>
        <v>0.99999999999999989</v>
      </c>
      <c r="D88" s="26"/>
      <c r="E88" s="5"/>
      <c r="F88" s="5"/>
      <c r="G88" s="5"/>
      <c r="H88" s="5"/>
      <c r="I88" s="5"/>
      <c r="J88" s="5"/>
      <c r="K88" s="5"/>
    </row>
    <row r="89" spans="1:11" s="3" customFormat="1" ht="13.8" thickTop="1" x14ac:dyDescent="0.25">
      <c r="A89" s="5"/>
      <c r="B89" s="5"/>
      <c r="C89" s="5"/>
      <c r="D89" s="26"/>
      <c r="E89" s="5"/>
      <c r="F89" s="5"/>
      <c r="G89" s="5"/>
      <c r="H89" s="5"/>
      <c r="I89" s="5"/>
      <c r="J89" s="5"/>
      <c r="K89" s="5"/>
    </row>
  </sheetData>
  <mergeCells count="7">
    <mergeCell ref="A80:C80"/>
    <mergeCell ref="D7:E7"/>
    <mergeCell ref="F7:H7"/>
    <mergeCell ref="D4:D6"/>
    <mergeCell ref="A57:C57"/>
    <mergeCell ref="A58:C58"/>
    <mergeCell ref="A68:C68"/>
  </mergeCell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A2" sqref="A1:A2"/>
    </sheetView>
  </sheetViews>
  <sheetFormatPr defaultColWidth="14.7109375" defaultRowHeight="10.199999999999999" x14ac:dyDescent="0.2"/>
  <cols>
    <col min="1" max="1" width="15.85546875" customWidth="1"/>
  </cols>
  <sheetData>
    <row r="1" spans="1:5" ht="13.8" x14ac:dyDescent="0.25">
      <c r="A1" s="33" t="s">
        <v>147</v>
      </c>
    </row>
    <row r="2" spans="1:5" ht="13.8" x14ac:dyDescent="0.25">
      <c r="A2" s="33" t="s">
        <v>145</v>
      </c>
    </row>
    <row r="4" spans="1:5" ht="15.6" x14ac:dyDescent="0.3">
      <c r="A4" s="52" t="s">
        <v>132</v>
      </c>
    </row>
    <row r="6" spans="1:5" ht="10.8" thickBot="1" x14ac:dyDescent="0.25"/>
    <row r="7" spans="1:5" ht="13.8" thickBot="1" x14ac:dyDescent="0.3">
      <c r="A7" s="151" t="s">
        <v>131</v>
      </c>
      <c r="B7" s="152"/>
      <c r="C7" s="153"/>
    </row>
    <row r="8" spans="1:5" ht="13.2" x14ac:dyDescent="0.25">
      <c r="A8" s="5"/>
      <c r="B8" s="3"/>
      <c r="C8" s="4"/>
    </row>
    <row r="9" spans="1:5" ht="13.2" x14ac:dyDescent="0.25">
      <c r="A9" s="30" t="s">
        <v>46</v>
      </c>
      <c r="B9" s="50">
        <v>2395776</v>
      </c>
      <c r="C9" s="23">
        <f>+B9/$B$13</f>
        <v>0.25125798049401349</v>
      </c>
      <c r="E9" s="57"/>
    </row>
    <row r="10" spans="1:5" ht="13.2" x14ac:dyDescent="0.25">
      <c r="A10" s="30" t="s">
        <v>33</v>
      </c>
      <c r="B10" s="102">
        <v>7015573</v>
      </c>
      <c r="C10" s="23">
        <f>+B10/$B$13</f>
        <v>0.73576106613820647</v>
      </c>
      <c r="E10" s="57"/>
    </row>
    <row r="11" spans="1:5" ht="13.2" x14ac:dyDescent="0.25">
      <c r="A11" s="30" t="s">
        <v>34</v>
      </c>
      <c r="B11" s="102">
        <v>123775</v>
      </c>
      <c r="C11" s="23">
        <f>+B11/$B$13</f>
        <v>1.298095336778001E-2</v>
      </c>
      <c r="E11" s="57"/>
    </row>
    <row r="12" spans="1:5" ht="13.2" x14ac:dyDescent="0.25">
      <c r="A12" s="5"/>
      <c r="B12" s="3"/>
      <c r="C12" s="4"/>
    </row>
    <row r="13" spans="1:5" ht="13.8" thickBot="1" x14ac:dyDescent="0.3">
      <c r="A13" s="5" t="s">
        <v>44</v>
      </c>
      <c r="B13" s="24">
        <f>SUM(B9:B12)</f>
        <v>9535124</v>
      </c>
      <c r="C13" s="25">
        <f>+B13/$B$13</f>
        <v>1</v>
      </c>
    </row>
    <row r="14" spans="1:5" ht="10.8" thickTop="1" x14ac:dyDescent="0.2"/>
  </sheetData>
  <mergeCells count="1">
    <mergeCell ref="A7:C7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pane ySplit="8" topLeftCell="A9" activePane="bottomLeft" state="frozen"/>
      <selection sqref="A1:XFD1048576"/>
      <selection pane="bottomLeft" sqref="A1:A2"/>
    </sheetView>
  </sheetViews>
  <sheetFormatPr defaultColWidth="9.28515625" defaultRowHeight="14.4" x14ac:dyDescent="0.3"/>
  <cols>
    <col min="1" max="1" width="46.85546875" style="64" customWidth="1"/>
    <col min="2" max="2" width="26.7109375" style="64" bestFit="1" customWidth="1"/>
    <col min="3" max="3" width="22" style="64" bestFit="1" customWidth="1"/>
    <col min="4" max="16384" width="9.28515625" style="64"/>
  </cols>
  <sheetData>
    <row r="1" spans="1:3" x14ac:dyDescent="0.3">
      <c r="A1" s="33" t="s">
        <v>148</v>
      </c>
    </row>
    <row r="2" spans="1:3" x14ac:dyDescent="0.3">
      <c r="A2" s="33" t="s">
        <v>145</v>
      </c>
    </row>
    <row r="4" spans="1:3" x14ac:dyDescent="0.3">
      <c r="A4" s="94" t="s">
        <v>79</v>
      </c>
    </row>
    <row r="5" spans="1:3" x14ac:dyDescent="0.3">
      <c r="A5" s="94" t="s">
        <v>114</v>
      </c>
    </row>
    <row r="7" spans="1:3" x14ac:dyDescent="0.3">
      <c r="A7" s="64" t="s">
        <v>115</v>
      </c>
      <c r="B7" s="64" t="s">
        <v>80</v>
      </c>
      <c r="C7" s="64" t="s">
        <v>81</v>
      </c>
    </row>
    <row r="8" spans="1:3" x14ac:dyDescent="0.3">
      <c r="A8" s="95" t="s">
        <v>48</v>
      </c>
      <c r="B8" s="96">
        <v>1306200</v>
      </c>
      <c r="C8" s="97">
        <v>1318788311</v>
      </c>
    </row>
    <row r="9" spans="1:3" x14ac:dyDescent="0.3">
      <c r="A9" s="95" t="s">
        <v>49</v>
      </c>
      <c r="B9" s="96">
        <v>509062324.75999975</v>
      </c>
      <c r="C9" s="97">
        <v>1497242824</v>
      </c>
    </row>
    <row r="10" spans="1:3" x14ac:dyDescent="0.3">
      <c r="A10" s="95" t="s">
        <v>50</v>
      </c>
      <c r="B10" s="96">
        <v>0</v>
      </c>
      <c r="C10" s="97">
        <v>1</v>
      </c>
    </row>
    <row r="11" spans="1:3" x14ac:dyDescent="0.3">
      <c r="A11" s="95" t="s">
        <v>51</v>
      </c>
      <c r="B11" s="96">
        <v>181054767.19</v>
      </c>
      <c r="C11" s="97">
        <v>1483055523</v>
      </c>
    </row>
    <row r="12" spans="1:3" x14ac:dyDescent="0.3">
      <c r="A12" s="95" t="s">
        <v>52</v>
      </c>
      <c r="B12" s="96">
        <v>329815</v>
      </c>
      <c r="C12" s="97">
        <v>77170682</v>
      </c>
    </row>
    <row r="13" spans="1:3" x14ac:dyDescent="0.3">
      <c r="A13" s="95" t="s">
        <v>53</v>
      </c>
      <c r="B13" s="96">
        <v>13</v>
      </c>
      <c r="C13" s="97">
        <v>50784</v>
      </c>
    </row>
    <row r="14" spans="1:3" x14ac:dyDescent="0.3">
      <c r="A14" s="95" t="s">
        <v>72</v>
      </c>
      <c r="B14" s="96">
        <v>715386</v>
      </c>
      <c r="C14" s="97">
        <v>7128650</v>
      </c>
    </row>
    <row r="15" spans="1:3" x14ac:dyDescent="0.3">
      <c r="A15" s="95" t="s">
        <v>54</v>
      </c>
      <c r="B15" s="96">
        <v>233541535.8900001</v>
      </c>
      <c r="C15" s="97">
        <v>1672837335</v>
      </c>
    </row>
    <row r="16" spans="1:3" x14ac:dyDescent="0.3">
      <c r="A16" s="95" t="s">
        <v>55</v>
      </c>
      <c r="B16" s="96">
        <v>81363383.429999977</v>
      </c>
      <c r="C16" s="97">
        <v>470863935</v>
      </c>
    </row>
    <row r="17" spans="1:3" x14ac:dyDescent="0.3">
      <c r="A17" s="95" t="s">
        <v>56</v>
      </c>
      <c r="B17" s="96">
        <v>0</v>
      </c>
      <c r="C17" s="97">
        <v>1</v>
      </c>
    </row>
    <row r="18" spans="1:3" x14ac:dyDescent="0.3">
      <c r="A18" s="95" t="s">
        <v>57</v>
      </c>
      <c r="B18" s="96">
        <v>91597</v>
      </c>
      <c r="C18" s="97">
        <v>-362994</v>
      </c>
    </row>
    <row r="19" spans="1:3" x14ac:dyDescent="0.3">
      <c r="A19" s="95" t="s">
        <v>58</v>
      </c>
      <c r="B19" s="96">
        <v>967069.95</v>
      </c>
      <c r="C19" s="97">
        <v>2035757733</v>
      </c>
    </row>
    <row r="20" spans="1:3" x14ac:dyDescent="0.3">
      <c r="A20" s="95" t="s">
        <v>59</v>
      </c>
      <c r="B20" s="96">
        <v>4</v>
      </c>
      <c r="C20" s="97">
        <v>2</v>
      </c>
    </row>
    <row r="21" spans="1:3" x14ac:dyDescent="0.3">
      <c r="A21" s="95" t="s">
        <v>60</v>
      </c>
      <c r="B21" s="96">
        <v>1602040.4000000001</v>
      </c>
      <c r="C21" s="97">
        <v>232458192</v>
      </c>
    </row>
    <row r="22" spans="1:3" x14ac:dyDescent="0.3">
      <c r="A22" s="95" t="s">
        <v>61</v>
      </c>
      <c r="B22" s="96">
        <v>169</v>
      </c>
      <c r="C22" s="97">
        <v>-515</v>
      </c>
    </row>
    <row r="23" spans="1:3" x14ac:dyDescent="0.3">
      <c r="A23" s="95" t="s">
        <v>62</v>
      </c>
      <c r="B23" s="96">
        <v>1567927.0499999998</v>
      </c>
      <c r="C23" s="97">
        <v>789701381</v>
      </c>
    </row>
    <row r="24" spans="1:3" x14ac:dyDescent="0.3">
      <c r="A24" s="95" t="s">
        <v>63</v>
      </c>
      <c r="B24" s="96">
        <v>918</v>
      </c>
      <c r="C24" s="97">
        <v>662</v>
      </c>
    </row>
    <row r="25" spans="1:3" x14ac:dyDescent="0.3">
      <c r="A25" s="95" t="s">
        <v>64</v>
      </c>
      <c r="B25" s="96">
        <v>2837896.5</v>
      </c>
      <c r="C25" s="97">
        <v>219976357</v>
      </c>
    </row>
    <row r="26" spans="1:3" x14ac:dyDescent="0.3">
      <c r="A26" s="95" t="s">
        <v>73</v>
      </c>
      <c r="B26" s="96">
        <v>5270232</v>
      </c>
      <c r="C26" s="97">
        <v>628835897</v>
      </c>
    </row>
    <row r="27" spans="1:3" x14ac:dyDescent="0.3">
      <c r="A27" s="95" t="s">
        <v>78</v>
      </c>
      <c r="B27" s="96">
        <v>-118</v>
      </c>
      <c r="C27" s="97">
        <v>-9856</v>
      </c>
    </row>
    <row r="28" spans="1:3" x14ac:dyDescent="0.3">
      <c r="A28" s="95" t="s">
        <v>116</v>
      </c>
      <c r="B28" s="96">
        <v>4421585.5</v>
      </c>
      <c r="C28" s="97">
        <v>71715578</v>
      </c>
    </row>
    <row r="29" spans="1:3" x14ac:dyDescent="0.3">
      <c r="A29" s="95" t="s">
        <v>117</v>
      </c>
      <c r="B29" s="96">
        <v>153846</v>
      </c>
      <c r="C29" s="97">
        <v>22503065</v>
      </c>
    </row>
    <row r="30" spans="1:3" x14ac:dyDescent="0.3">
      <c r="A30" s="95" t="s">
        <v>118</v>
      </c>
      <c r="B30" s="96">
        <v>100</v>
      </c>
      <c r="C30" s="97">
        <v>243639</v>
      </c>
    </row>
    <row r="31" spans="1:3" x14ac:dyDescent="0.3">
      <c r="A31" s="95" t="s">
        <v>119</v>
      </c>
      <c r="B31" s="96">
        <v>77</v>
      </c>
      <c r="C31" s="97">
        <v>7178553</v>
      </c>
    </row>
    <row r="32" spans="1:3" x14ac:dyDescent="0.3">
      <c r="A32" s="95" t="s">
        <v>120</v>
      </c>
      <c r="B32" s="96">
        <v>0</v>
      </c>
      <c r="C32" s="97">
        <v>0</v>
      </c>
    </row>
    <row r="33" spans="1:3" x14ac:dyDescent="0.3">
      <c r="A33" s="98" t="s">
        <v>0</v>
      </c>
      <c r="B33" s="99">
        <v>42125939.5</v>
      </c>
      <c r="C33" s="100">
        <v>426790965</v>
      </c>
    </row>
    <row r="34" spans="1:3" x14ac:dyDescent="0.3">
      <c r="A34" s="101" t="s">
        <v>76</v>
      </c>
      <c r="B34" s="96">
        <v>0</v>
      </c>
      <c r="C34" s="97">
        <v>3</v>
      </c>
    </row>
    <row r="35" spans="1:3" x14ac:dyDescent="0.3">
      <c r="A35" s="101" t="s">
        <v>77</v>
      </c>
      <c r="B35" s="96">
        <v>3205</v>
      </c>
      <c r="C35" s="97">
        <v>4885491</v>
      </c>
    </row>
    <row r="36" spans="1:3" x14ac:dyDescent="0.3">
      <c r="A36" s="101" t="s">
        <v>1</v>
      </c>
      <c r="B36" s="96">
        <v>5550.6</v>
      </c>
      <c r="C36" s="97">
        <v>2605153</v>
      </c>
    </row>
    <row r="37" spans="1:3" x14ac:dyDescent="0.3">
      <c r="A37" s="101" t="s">
        <v>2</v>
      </c>
      <c r="B37" s="96">
        <v>618</v>
      </c>
      <c r="C37" s="97">
        <v>280193</v>
      </c>
    </row>
    <row r="38" spans="1:3" x14ac:dyDescent="0.3">
      <c r="A38" s="101" t="s">
        <v>71</v>
      </c>
      <c r="B38" s="96">
        <v>661</v>
      </c>
      <c r="C38" s="97">
        <v>892979</v>
      </c>
    </row>
    <row r="39" spans="1:3" x14ac:dyDescent="0.3">
      <c r="A39" s="101" t="s">
        <v>3</v>
      </c>
      <c r="B39" s="96">
        <v>327399</v>
      </c>
      <c r="C39" s="97">
        <v>38449110</v>
      </c>
    </row>
    <row r="40" spans="1:3" x14ac:dyDescent="0.3">
      <c r="A40" s="101" t="s">
        <v>4</v>
      </c>
      <c r="B40" s="96">
        <v>81</v>
      </c>
      <c r="C40" s="97">
        <v>88</v>
      </c>
    </row>
    <row r="41" spans="1:3" x14ac:dyDescent="0.3">
      <c r="A41" s="101" t="s">
        <v>5</v>
      </c>
      <c r="B41" s="96">
        <v>17</v>
      </c>
      <c r="C41" s="97">
        <v>1745</v>
      </c>
    </row>
    <row r="42" spans="1:3" x14ac:dyDescent="0.3">
      <c r="A42" s="101" t="s">
        <v>6</v>
      </c>
      <c r="B42" s="96">
        <v>112921</v>
      </c>
      <c r="C42" s="97">
        <v>31645054</v>
      </c>
    </row>
    <row r="43" spans="1:3" x14ac:dyDescent="0.3">
      <c r="A43" s="101" t="s">
        <v>65</v>
      </c>
      <c r="B43" s="96">
        <v>3180</v>
      </c>
      <c r="C43" s="97">
        <v>5532802</v>
      </c>
    </row>
    <row r="44" spans="1:3" x14ac:dyDescent="0.3">
      <c r="A44" s="101" t="s">
        <v>74</v>
      </c>
      <c r="B44" s="96">
        <v>3180</v>
      </c>
      <c r="C44" s="97">
        <v>7313129</v>
      </c>
    </row>
    <row r="45" spans="1:3" x14ac:dyDescent="0.3">
      <c r="A45" s="101" t="s">
        <v>7</v>
      </c>
      <c r="B45" s="96">
        <v>648438</v>
      </c>
      <c r="C45" s="97">
        <v>162740329</v>
      </c>
    </row>
    <row r="46" spans="1:3" x14ac:dyDescent="0.3">
      <c r="A46" s="101" t="s">
        <v>75</v>
      </c>
      <c r="B46" s="96">
        <v>4369</v>
      </c>
      <c r="C46" s="97">
        <v>4201602</v>
      </c>
    </row>
    <row r="47" spans="1:3" x14ac:dyDescent="0.3">
      <c r="A47" s="101" t="s">
        <v>8</v>
      </c>
      <c r="B47" s="96">
        <v>45439</v>
      </c>
      <c r="C47" s="97">
        <v>12299976</v>
      </c>
    </row>
    <row r="48" spans="1:3" x14ac:dyDescent="0.3">
      <c r="A48" s="101" t="s">
        <v>9</v>
      </c>
      <c r="B48" s="96">
        <v>48626</v>
      </c>
      <c r="C48" s="97">
        <v>13930917</v>
      </c>
    </row>
    <row r="49" spans="1:3" x14ac:dyDescent="0.3">
      <c r="A49" s="101" t="s">
        <v>10</v>
      </c>
      <c r="B49" s="96">
        <v>50414</v>
      </c>
      <c r="C49" s="97">
        <v>3859131</v>
      </c>
    </row>
    <row r="50" spans="1:3" x14ac:dyDescent="0.3">
      <c r="A50" s="101" t="s">
        <v>11</v>
      </c>
      <c r="B50" s="96">
        <v>89152</v>
      </c>
      <c r="C50" s="97">
        <v>40071177</v>
      </c>
    </row>
    <row r="51" spans="1:3" x14ac:dyDescent="0.3">
      <c r="A51" s="101" t="s">
        <v>12</v>
      </c>
      <c r="B51" s="96">
        <v>8814713.3199999984</v>
      </c>
      <c r="C51" s="97">
        <v>7589224</v>
      </c>
    </row>
    <row r="52" spans="1:3" x14ac:dyDescent="0.3">
      <c r="A52" s="101" t="s">
        <v>13</v>
      </c>
      <c r="B52" s="96">
        <v>-14485</v>
      </c>
      <c r="C52" s="97">
        <v>29632</v>
      </c>
    </row>
    <row r="53" spans="1:3" x14ac:dyDescent="0.3">
      <c r="A53" s="101" t="s">
        <v>14</v>
      </c>
      <c r="B53" s="96">
        <v>8332932.6299999999</v>
      </c>
      <c r="C53" s="97">
        <v>19112426</v>
      </c>
    </row>
    <row r="54" spans="1:3" x14ac:dyDescent="0.3">
      <c r="A54" s="101" t="s">
        <v>15</v>
      </c>
      <c r="B54" s="96">
        <v>4277</v>
      </c>
      <c r="C54" s="97">
        <v>6355</v>
      </c>
    </row>
    <row r="55" spans="1:3" x14ac:dyDescent="0.3">
      <c r="A55" s="101" t="s">
        <v>16</v>
      </c>
      <c r="B55" s="96">
        <v>974808.09</v>
      </c>
      <c r="C55" s="97">
        <v>2287282</v>
      </c>
    </row>
    <row r="56" spans="1:3" x14ac:dyDescent="0.3">
      <c r="A56" s="101" t="s">
        <v>17</v>
      </c>
      <c r="B56" s="96">
        <v>19016393.59</v>
      </c>
      <c r="C56" s="97">
        <v>47775463</v>
      </c>
    </row>
    <row r="57" spans="1:3" x14ac:dyDescent="0.3">
      <c r="A57" s="101" t="s">
        <v>18</v>
      </c>
      <c r="B57" s="96">
        <v>3572549.27</v>
      </c>
      <c r="C57" s="97">
        <v>21161050</v>
      </c>
    </row>
    <row r="58" spans="1:3" x14ac:dyDescent="0.3">
      <c r="A58" s="101" t="s">
        <v>19</v>
      </c>
      <c r="B58" s="96">
        <v>2481</v>
      </c>
      <c r="C58" s="97">
        <v>3472</v>
      </c>
    </row>
    <row r="59" spans="1:3" x14ac:dyDescent="0.3">
      <c r="A59" s="101" t="s">
        <v>20</v>
      </c>
      <c r="B59" s="96">
        <v>18868</v>
      </c>
      <c r="C59" s="97">
        <v>47427</v>
      </c>
    </row>
    <row r="60" spans="1:3" x14ac:dyDescent="0.3">
      <c r="A60" s="101" t="s">
        <v>21</v>
      </c>
      <c r="B60" s="96">
        <v>60151</v>
      </c>
      <c r="C60" s="97">
        <v>54552</v>
      </c>
    </row>
    <row r="61" spans="1:3" x14ac:dyDescent="0.3">
      <c r="A61" s="101" t="s">
        <v>22</v>
      </c>
      <c r="B61" s="96">
        <v>0</v>
      </c>
      <c r="C61" s="97">
        <v>1</v>
      </c>
    </row>
    <row r="62" spans="1:3" x14ac:dyDescent="0.3">
      <c r="A62" s="101" t="s">
        <v>23</v>
      </c>
      <c r="B62" s="96">
        <v>0</v>
      </c>
      <c r="C62" s="97">
        <v>-1</v>
      </c>
    </row>
    <row r="63" spans="1:3" x14ac:dyDescent="0.3">
      <c r="A63" s="101" t="s">
        <v>66</v>
      </c>
      <c r="B63" s="96">
        <v>0</v>
      </c>
      <c r="C63" s="97">
        <v>0</v>
      </c>
    </row>
    <row r="64" spans="1:3" x14ac:dyDescent="0.3">
      <c r="A64" s="101" t="s">
        <v>24</v>
      </c>
      <c r="B64" s="96">
        <v>0</v>
      </c>
      <c r="C64" s="97">
        <v>0</v>
      </c>
    </row>
    <row r="65" spans="1:3" x14ac:dyDescent="0.3">
      <c r="A65" s="101" t="s">
        <v>25</v>
      </c>
      <c r="B65" s="96">
        <v>0</v>
      </c>
      <c r="C65" s="97">
        <v>0</v>
      </c>
    </row>
    <row r="66" spans="1:3" x14ac:dyDescent="0.3">
      <c r="A66" s="101" t="s">
        <v>26</v>
      </c>
      <c r="B66" s="96">
        <v>0</v>
      </c>
      <c r="C66" s="97">
        <v>15201</v>
      </c>
    </row>
    <row r="67" spans="1:3" x14ac:dyDescent="0.3">
      <c r="A67" s="101" t="s">
        <v>27</v>
      </c>
      <c r="B67" s="96">
        <v>0</v>
      </c>
      <c r="C67" s="97">
        <v>1</v>
      </c>
    </row>
    <row r="68" spans="1:3" x14ac:dyDescent="0.3">
      <c r="A68" s="101" t="s">
        <v>28</v>
      </c>
      <c r="B68" s="96">
        <v>0</v>
      </c>
      <c r="C68" s="97">
        <v>0</v>
      </c>
    </row>
    <row r="69" spans="1:3" x14ac:dyDescent="0.3">
      <c r="A69" s="101" t="s">
        <v>29</v>
      </c>
      <c r="B69" s="96">
        <v>0</v>
      </c>
      <c r="C69" s="97">
        <v>1</v>
      </c>
    </row>
    <row r="70" spans="1:3" x14ac:dyDescent="0.3">
      <c r="A70" s="101" t="s">
        <v>30</v>
      </c>
      <c r="B70" s="96">
        <v>0</v>
      </c>
      <c r="C70" s="97">
        <v>0</v>
      </c>
    </row>
    <row r="71" spans="1:3" x14ac:dyDescent="0.3">
      <c r="A71" s="95" t="s">
        <v>47</v>
      </c>
      <c r="B71" s="96">
        <v>1066412709.17</v>
      </c>
      <c r="C71" s="97">
        <v>10961926705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" sqref="A1:A2"/>
    </sheetView>
  </sheetViews>
  <sheetFormatPr defaultColWidth="9.28515625" defaultRowHeight="13.2" x14ac:dyDescent="0.25"/>
  <cols>
    <col min="1" max="1" width="16.5703125" style="77" customWidth="1"/>
    <col min="2" max="6" width="20.7109375" style="77" customWidth="1"/>
    <col min="7" max="16384" width="9.28515625" style="77"/>
  </cols>
  <sheetData>
    <row r="1" spans="1:7" ht="13.8" x14ac:dyDescent="0.25">
      <c r="A1" s="33" t="s">
        <v>149</v>
      </c>
    </row>
    <row r="2" spans="1:7" ht="13.8" x14ac:dyDescent="0.25">
      <c r="A2" s="33" t="s">
        <v>145</v>
      </c>
    </row>
    <row r="4" spans="1:7" s="64" customFormat="1" ht="15.6" x14ac:dyDescent="0.3">
      <c r="A4" s="154" t="s">
        <v>85</v>
      </c>
      <c r="B4" s="154"/>
      <c r="C4" s="154"/>
      <c r="D4" s="154"/>
      <c r="E4" s="154"/>
      <c r="F4" s="154"/>
    </row>
    <row r="5" spans="1:7" s="64" customFormat="1" ht="15.6" x14ac:dyDescent="0.3">
      <c r="A5" s="155" t="s">
        <v>86</v>
      </c>
      <c r="B5" s="156"/>
      <c r="C5" s="156"/>
      <c r="D5" s="156"/>
      <c r="E5" s="156"/>
      <c r="F5" s="156"/>
      <c r="G5" s="65"/>
    </row>
    <row r="6" spans="1:7" s="64" customFormat="1" ht="15.75" customHeight="1" x14ac:dyDescent="0.3">
      <c r="A6" s="66"/>
      <c r="B6" s="67"/>
      <c r="C6" s="68"/>
      <c r="D6" s="68"/>
      <c r="E6" s="69"/>
      <c r="F6" s="70"/>
    </row>
    <row r="7" spans="1:7" s="64" customFormat="1" ht="15" thickBot="1" x14ac:dyDescent="0.35">
      <c r="A7" s="66"/>
      <c r="B7" s="67"/>
      <c r="C7" s="68"/>
      <c r="D7" s="68"/>
      <c r="E7" s="69"/>
      <c r="F7" s="70"/>
    </row>
    <row r="8" spans="1:7" s="64" customFormat="1" ht="15.75" customHeight="1" x14ac:dyDescent="0.3">
      <c r="A8" s="71"/>
      <c r="B8" s="71" t="s">
        <v>87</v>
      </c>
      <c r="C8" s="72" t="s">
        <v>88</v>
      </c>
      <c r="D8" s="72" t="s">
        <v>89</v>
      </c>
      <c r="E8" s="72" t="s">
        <v>90</v>
      </c>
      <c r="F8" s="73" t="s">
        <v>91</v>
      </c>
    </row>
    <row r="9" spans="1:7" ht="15.75" customHeight="1" thickBot="1" x14ac:dyDescent="0.3">
      <c r="A9" s="74" t="s">
        <v>92</v>
      </c>
      <c r="B9" s="75" t="s">
        <v>93</v>
      </c>
      <c r="C9" s="75" t="s">
        <v>94</v>
      </c>
      <c r="D9" s="75" t="s">
        <v>95</v>
      </c>
      <c r="E9" s="75" t="s">
        <v>96</v>
      </c>
      <c r="F9" s="76" t="s">
        <v>44</v>
      </c>
    </row>
    <row r="10" spans="1:7" ht="15.75" customHeight="1" x14ac:dyDescent="0.25">
      <c r="A10" s="78" t="s">
        <v>97</v>
      </c>
      <c r="B10" s="79">
        <v>157971</v>
      </c>
      <c r="C10" s="79">
        <v>485024</v>
      </c>
      <c r="D10" s="79">
        <v>9788</v>
      </c>
      <c r="E10" s="79">
        <v>7978</v>
      </c>
      <c r="F10" s="80">
        <f>SUM(B10:E10)</f>
        <v>660761</v>
      </c>
    </row>
    <row r="11" spans="1:7" ht="15.75" customHeight="1" x14ac:dyDescent="0.25">
      <c r="A11" s="81" t="s">
        <v>98</v>
      </c>
      <c r="B11" s="82">
        <v>158299</v>
      </c>
      <c r="C11" s="82">
        <v>484447</v>
      </c>
      <c r="D11" s="82">
        <v>9813</v>
      </c>
      <c r="E11" s="82">
        <v>7969</v>
      </c>
      <c r="F11" s="83">
        <f t="shared" ref="F11:F24" si="0">SUM(B11:E11)</f>
        <v>660528</v>
      </c>
    </row>
    <row r="12" spans="1:7" ht="15.75" customHeight="1" x14ac:dyDescent="0.25">
      <c r="A12" s="81" t="s">
        <v>99</v>
      </c>
      <c r="B12" s="82">
        <v>158299</v>
      </c>
      <c r="C12" s="82">
        <v>484447</v>
      </c>
      <c r="D12" s="82">
        <v>9813</v>
      </c>
      <c r="E12" s="82">
        <v>7969</v>
      </c>
      <c r="F12" s="83">
        <f t="shared" si="0"/>
        <v>660528</v>
      </c>
    </row>
    <row r="13" spans="1:7" ht="15.75" customHeight="1" x14ac:dyDescent="0.25">
      <c r="A13" s="84" t="s">
        <v>100</v>
      </c>
      <c r="B13" s="82">
        <v>159905</v>
      </c>
      <c r="C13" s="82">
        <v>484994</v>
      </c>
      <c r="D13" s="82">
        <v>9833</v>
      </c>
      <c r="E13" s="82">
        <v>7778</v>
      </c>
      <c r="F13" s="83">
        <f t="shared" si="0"/>
        <v>662510</v>
      </c>
    </row>
    <row r="14" spans="1:7" ht="15.75" customHeight="1" x14ac:dyDescent="0.25">
      <c r="A14" s="84" t="s">
        <v>101</v>
      </c>
      <c r="B14" s="82">
        <v>159905</v>
      </c>
      <c r="C14" s="82">
        <v>484994</v>
      </c>
      <c r="D14" s="82">
        <v>9833</v>
      </c>
      <c r="E14" s="82">
        <v>7778</v>
      </c>
      <c r="F14" s="83">
        <f t="shared" si="0"/>
        <v>662510</v>
      </c>
    </row>
    <row r="15" spans="1:7" ht="15.75" customHeight="1" x14ac:dyDescent="0.25">
      <c r="A15" s="84" t="s">
        <v>102</v>
      </c>
      <c r="B15" s="82">
        <v>161466</v>
      </c>
      <c r="C15" s="82">
        <v>485338</v>
      </c>
      <c r="D15" s="82">
        <v>9880</v>
      </c>
      <c r="E15" s="82">
        <v>7113</v>
      </c>
      <c r="F15" s="83">
        <f t="shared" si="0"/>
        <v>663797</v>
      </c>
    </row>
    <row r="16" spans="1:7" ht="15.75" customHeight="1" x14ac:dyDescent="0.25">
      <c r="A16" s="84" t="s">
        <v>103</v>
      </c>
      <c r="B16" s="82">
        <v>161346</v>
      </c>
      <c r="C16" s="82">
        <v>494460</v>
      </c>
      <c r="D16" s="82">
        <v>9891</v>
      </c>
      <c r="E16" s="82">
        <v>6939</v>
      </c>
      <c r="F16" s="83">
        <f t="shared" si="0"/>
        <v>672636</v>
      </c>
    </row>
    <row r="17" spans="1:6" ht="15.75" customHeight="1" x14ac:dyDescent="0.25">
      <c r="A17" s="84" t="s">
        <v>104</v>
      </c>
      <c r="B17" s="82">
        <v>162004</v>
      </c>
      <c r="C17" s="82">
        <v>485726</v>
      </c>
      <c r="D17" s="82">
        <v>9891</v>
      </c>
      <c r="E17" s="82">
        <v>6674</v>
      </c>
      <c r="F17" s="83">
        <f t="shared" si="0"/>
        <v>664295</v>
      </c>
    </row>
    <row r="18" spans="1:6" ht="15.75" customHeight="1" x14ac:dyDescent="0.25">
      <c r="A18" s="84" t="s">
        <v>105</v>
      </c>
      <c r="B18" s="82">
        <v>162361</v>
      </c>
      <c r="C18" s="82">
        <v>486052</v>
      </c>
      <c r="D18" s="82">
        <v>9908</v>
      </c>
      <c r="E18" s="82">
        <v>6614</v>
      </c>
      <c r="F18" s="83">
        <f t="shared" si="0"/>
        <v>664935</v>
      </c>
    </row>
    <row r="19" spans="1:6" ht="15.75" customHeight="1" x14ac:dyDescent="0.25">
      <c r="A19" s="84" t="s">
        <v>106</v>
      </c>
      <c r="B19" s="82">
        <v>162770</v>
      </c>
      <c r="C19" s="82">
        <v>486271</v>
      </c>
      <c r="D19" s="82">
        <v>9951</v>
      </c>
      <c r="E19" s="82">
        <v>6614</v>
      </c>
      <c r="F19" s="83">
        <f t="shared" si="0"/>
        <v>665606</v>
      </c>
    </row>
    <row r="20" spans="1:6" ht="15.75" customHeight="1" x14ac:dyDescent="0.25">
      <c r="A20" s="84" t="s">
        <v>107</v>
      </c>
      <c r="B20" s="82">
        <v>162770</v>
      </c>
      <c r="C20" s="82">
        <v>486271</v>
      </c>
      <c r="D20" s="82">
        <v>9951</v>
      </c>
      <c r="E20" s="82">
        <v>6614</v>
      </c>
      <c r="F20" s="83">
        <f t="shared" si="0"/>
        <v>665606</v>
      </c>
    </row>
    <row r="21" spans="1:6" ht="15.75" customHeight="1" x14ac:dyDescent="0.25">
      <c r="A21" s="84" t="s">
        <v>108</v>
      </c>
      <c r="B21" s="82">
        <v>162757</v>
      </c>
      <c r="C21" s="82">
        <v>486760</v>
      </c>
      <c r="D21" s="82">
        <v>9975</v>
      </c>
      <c r="E21" s="82">
        <v>6614</v>
      </c>
      <c r="F21" s="83">
        <f t="shared" si="0"/>
        <v>666106</v>
      </c>
    </row>
    <row r="22" spans="1:6" ht="15.75" customHeight="1" x14ac:dyDescent="0.25">
      <c r="A22" s="85" t="s">
        <v>109</v>
      </c>
      <c r="B22" s="86">
        <f>SUM(B10:B21)</f>
        <v>1929853</v>
      </c>
      <c r="C22" s="86">
        <f t="shared" ref="C22:E22" si="1">SUM(C10:C21)</f>
        <v>5834784</v>
      </c>
      <c r="D22" s="86">
        <f t="shared" si="1"/>
        <v>118527</v>
      </c>
      <c r="E22" s="86">
        <f t="shared" si="1"/>
        <v>86654</v>
      </c>
      <c r="F22" s="87">
        <f t="shared" si="0"/>
        <v>7969818</v>
      </c>
    </row>
    <row r="23" spans="1:6" x14ac:dyDescent="0.25">
      <c r="A23" s="88"/>
      <c r="B23" s="89"/>
      <c r="C23" s="89"/>
      <c r="D23" s="89"/>
      <c r="E23" s="89"/>
      <c r="F23" s="90"/>
    </row>
    <row r="24" spans="1:6" ht="15.75" customHeight="1" thickBot="1" x14ac:dyDescent="0.3">
      <c r="A24" s="91" t="s">
        <v>110</v>
      </c>
      <c r="B24" s="92">
        <f>AVERAGE(B10:B21)</f>
        <v>160821.08333333334</v>
      </c>
      <c r="C24" s="92">
        <f t="shared" ref="C24:E24" si="2">AVERAGE(C10:C21)</f>
        <v>486232</v>
      </c>
      <c r="D24" s="92">
        <f t="shared" si="2"/>
        <v>9877.25</v>
      </c>
      <c r="E24" s="92">
        <f t="shared" si="2"/>
        <v>7221.166666666667</v>
      </c>
      <c r="F24" s="93">
        <f t="shared" si="0"/>
        <v>664151.5</v>
      </c>
    </row>
  </sheetData>
  <mergeCells count="2">
    <mergeCell ref="A4:F4"/>
    <mergeCell ref="A5:F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789B8F40-A304-409A-9778-65D661487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AD9692-AE1A-4B17-8BEC-96F479C2B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654EB2-A960-4670-91AA-25AFF8F2A2EA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- INPUTS</vt:lpstr>
      <vt:lpstr>2014 Analysis</vt:lpstr>
      <vt:lpstr>2014 Fixtures Per MDW</vt:lpstr>
      <vt:lpstr>373 SurvBal_201412 Summary</vt:lpstr>
      <vt:lpstr>2014 LIGHTS</vt:lpstr>
    </vt:vector>
  </TitlesOfParts>
  <Company>FPL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FPL_User</cp:lastModifiedBy>
  <cp:lastPrinted>2014-06-11T13:13:00Z</cp:lastPrinted>
  <dcterms:created xsi:type="dcterms:W3CDTF">2004-02-18T23:17:30Z</dcterms:created>
  <dcterms:modified xsi:type="dcterms:W3CDTF">2016-04-16T18:28:40Z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