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60" windowWidth="25440" windowHeight="12150" tabRatio="864"/>
  </bookViews>
  <sheets>
    <sheet name="Exh. LK-6" sheetId="22" r:id="rId1"/>
    <sheet name="Exh. LK-8" sheetId="43" r:id="rId2"/>
    <sheet name="Exh. LK-11 (Pages 1-3)" sheetId="4" r:id="rId3"/>
    <sheet name="Exh. LK-11 (Pages 4-6)" sheetId="41" r:id="rId4"/>
    <sheet name="Exh. LK-12" sheetId="46" r:id="rId5"/>
    <sheet name="Exh. LK-14" sheetId="48" r:id="rId6"/>
    <sheet name="Exh. LK-15" sheetId="42" r:id="rId7"/>
    <sheet name="Exh. LK-16" sheetId="49" r:id="rId8"/>
    <sheet name="Exh. LK-17" sheetId="44" r:id="rId9"/>
    <sheet name="Exh. LK-21" sheetId="45" r:id="rId10"/>
    <sheet name="Exh. LK-23" sheetId="23" r:id="rId11"/>
    <sheet name="Exh. LK-27 - Page 1" sheetId="2" r:id="rId12"/>
    <sheet name="Exh. LK-27 - Page 2" sheetId="35" r:id="rId13"/>
    <sheet name="Exh. LK-28" sheetId="1" r:id="rId14"/>
    <sheet name="Exh. LK-29" sheetId="36" r:id="rId15"/>
    <sheet name="Exh. LK-30" sheetId="16" r:id="rId16"/>
    <sheet name="Exh. LK-33" sheetId="50" r:id="rId17"/>
    <sheet name="Exh. LK-34" sheetId="51" r:id="rId18"/>
    <sheet name="Exh. LK-35" sheetId="17" r:id="rId19"/>
    <sheet name="Revenue Requirement-12.31.2017" sheetId="3" r:id="rId20"/>
    <sheet name="Revenue Requirement-12.31.2018" sheetId="34" r:id="rId21"/>
    <sheet name="Rev Req-Okeechobee Increase" sheetId="18" r:id="rId22"/>
    <sheet name="As Filed MFR Sch. D-4 (2017)" sheetId="38" r:id="rId23"/>
    <sheet name="As Adjusted MFR Sch. D-4 (2017)" sheetId="39" r:id="rId24"/>
    <sheet name="As Filed MFR Sch. D-4 (2018)" sheetId="37" r:id="rId25"/>
    <sheet name="As Adjusted MFR Sch. D-4 (2018)" sheetId="40" r:id="rId26"/>
    <sheet name="ADIT Changes - Cap Struct" sheetId="24" r:id="rId27"/>
    <sheet name="NFIP in Rate Base" sheetId="21" r:id="rId28"/>
  </sheets>
  <externalReferences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\" localSheetId="17">[1]EGSplit!#REF!</definedName>
    <definedName name="\">[1]EGSplit!#REF!</definedName>
    <definedName name="\\" localSheetId="23" hidden="1">#REF!</definedName>
    <definedName name="\\" localSheetId="25" hidden="1">#REF!</definedName>
    <definedName name="\\" localSheetId="3" hidden="1">#REF!</definedName>
    <definedName name="\\" localSheetId="4" hidden="1">#REF!</definedName>
    <definedName name="\\" localSheetId="5" hidden="1">#REF!</definedName>
    <definedName name="\\" localSheetId="7" hidden="1">#REF!</definedName>
    <definedName name="\\" localSheetId="8" hidden="1">#REF!</definedName>
    <definedName name="\\" localSheetId="9" hidden="1">#REF!</definedName>
    <definedName name="\\" localSheetId="16" hidden="1">#REF!</definedName>
    <definedName name="\\" localSheetId="17" hidden="1">#REF!</definedName>
    <definedName name="\\" localSheetId="1" hidden="1">#REF!</definedName>
    <definedName name="\\" hidden="1">#REF!</definedName>
    <definedName name="\\\" localSheetId="23" hidden="1">#REF!</definedName>
    <definedName name="\\\" localSheetId="25" hidden="1">#REF!</definedName>
    <definedName name="\\\" localSheetId="3" hidden="1">#REF!</definedName>
    <definedName name="\\\" localSheetId="4" hidden="1">#REF!</definedName>
    <definedName name="\\\" localSheetId="5" hidden="1">#REF!</definedName>
    <definedName name="\\\" localSheetId="7" hidden="1">#REF!</definedName>
    <definedName name="\\\" localSheetId="8" hidden="1">#REF!</definedName>
    <definedName name="\\\" localSheetId="9" hidden="1">#REF!</definedName>
    <definedName name="\\\" localSheetId="16" hidden="1">#REF!</definedName>
    <definedName name="\\\" localSheetId="17" hidden="1">#REF!</definedName>
    <definedName name="\\\" localSheetId="1" hidden="1">#REF!</definedName>
    <definedName name="\\\" hidden="1">#REF!</definedName>
    <definedName name="\\\\" localSheetId="26" hidden="1">#REF!</definedName>
    <definedName name="\\\\" localSheetId="23" hidden="1">#REF!</definedName>
    <definedName name="\\\\" localSheetId="25" hidden="1">#REF!</definedName>
    <definedName name="\\\\" localSheetId="3" hidden="1">#REF!</definedName>
    <definedName name="\\\\" localSheetId="4" hidden="1">#REF!</definedName>
    <definedName name="\\\\" localSheetId="5" hidden="1">#REF!</definedName>
    <definedName name="\\\\" localSheetId="7" hidden="1">#REF!</definedName>
    <definedName name="\\\\" localSheetId="8" hidden="1">#REF!</definedName>
    <definedName name="\\\\" localSheetId="9" hidden="1">#REF!</definedName>
    <definedName name="\\\\" localSheetId="10" hidden="1">#REF!</definedName>
    <definedName name="\\\\" localSheetId="12" hidden="1">#REF!</definedName>
    <definedName name="\\\\" localSheetId="14" hidden="1">#REF!</definedName>
    <definedName name="\\\\" localSheetId="16" hidden="1">#REF!</definedName>
    <definedName name="\\\\" localSheetId="17" hidden="1">#REF!</definedName>
    <definedName name="\\\\" localSheetId="0" hidden="1">#REF!</definedName>
    <definedName name="\\\\" localSheetId="1" hidden="1">#REF!</definedName>
    <definedName name="\\\\" localSheetId="27" hidden="1">#REF!</definedName>
    <definedName name="\\\\" localSheetId="20" hidden="1">#REF!</definedName>
    <definedName name="\\\\" hidden="1">#REF!</definedName>
    <definedName name="\0" localSheetId="17">#REF!</definedName>
    <definedName name="\0">#REF!</definedName>
    <definedName name="\A" localSheetId="17">#REF!</definedName>
    <definedName name="\A">#REF!</definedName>
    <definedName name="\C" localSheetId="17">#REF!</definedName>
    <definedName name="\C">#REF!</definedName>
    <definedName name="\D" localSheetId="17">#REF!</definedName>
    <definedName name="\D">#REF!</definedName>
    <definedName name="\E" localSheetId="17">#REF!</definedName>
    <definedName name="\E">#REF!</definedName>
    <definedName name="\M" localSheetId="17">#REF!</definedName>
    <definedName name="\M">#REF!</definedName>
    <definedName name="\P" localSheetId="17">[2]dbase!#REF!</definedName>
    <definedName name="\P">[2]dbase!#REF!</definedName>
    <definedName name="\R" localSheetId="17">#REF!</definedName>
    <definedName name="\R">#REF!</definedName>
    <definedName name="\S" localSheetId="17">[2]dbase!#REF!</definedName>
    <definedName name="\S">[2]dbase!#REF!</definedName>
    <definedName name="\T" localSheetId="17">#REF!</definedName>
    <definedName name="\T">#REF!</definedName>
    <definedName name="\Y" localSheetId="17">[3]d20!#REF!</definedName>
    <definedName name="\Y">[3]d20!#REF!</definedName>
    <definedName name="__123Graph_A" localSheetId="23" hidden="1">#REF!</definedName>
    <definedName name="__123Graph_A" localSheetId="25" hidden="1">#REF!</definedName>
    <definedName name="__123Graph_A" localSheetId="3" hidden="1">#REF!</definedName>
    <definedName name="__123Graph_A" localSheetId="4" hidden="1">#REF!</definedName>
    <definedName name="__123Graph_A" localSheetId="5" hidden="1">#REF!</definedName>
    <definedName name="__123Graph_A" localSheetId="7" hidden="1">#REF!</definedName>
    <definedName name="__123Graph_A" localSheetId="8" hidden="1">#REF!</definedName>
    <definedName name="__123Graph_A" localSheetId="9" hidden="1">#REF!</definedName>
    <definedName name="__123Graph_A" localSheetId="16" hidden="1">#REF!</definedName>
    <definedName name="__123Graph_A" localSheetId="17" hidden="1">#REF!</definedName>
    <definedName name="__123Graph_A" localSheetId="1" hidden="1">#REF!</definedName>
    <definedName name="__123Graph_A" hidden="1">#REF!</definedName>
    <definedName name="__123Graph_B" localSheetId="23" hidden="1">#REF!</definedName>
    <definedName name="__123Graph_B" localSheetId="25" hidden="1">#REF!</definedName>
    <definedName name="__123Graph_B" localSheetId="3" hidden="1">#REF!</definedName>
    <definedName name="__123Graph_B" localSheetId="4" hidden="1">#REF!</definedName>
    <definedName name="__123Graph_B" localSheetId="5" hidden="1">#REF!</definedName>
    <definedName name="__123Graph_B" localSheetId="7" hidden="1">#REF!</definedName>
    <definedName name="__123Graph_B" localSheetId="8" hidden="1">#REF!</definedName>
    <definedName name="__123Graph_B" localSheetId="9" hidden="1">#REF!</definedName>
    <definedName name="__123Graph_B" localSheetId="16" hidden="1">#REF!</definedName>
    <definedName name="__123Graph_B" localSheetId="17" hidden="1">#REF!</definedName>
    <definedName name="__123Graph_B" localSheetId="1" hidden="1">#REF!</definedName>
    <definedName name="__123Graph_B" hidden="1">#REF!</definedName>
    <definedName name="__123Graph_C" localSheetId="26" hidden="1">#REF!</definedName>
    <definedName name="__123Graph_C" localSheetId="23" hidden="1">#REF!</definedName>
    <definedName name="__123Graph_C" localSheetId="25" hidden="1">#REF!</definedName>
    <definedName name="__123Graph_C" localSheetId="3" hidden="1">#REF!</definedName>
    <definedName name="__123Graph_C" localSheetId="4" hidden="1">#REF!</definedName>
    <definedName name="__123Graph_C" localSheetId="5" hidden="1">#REF!</definedName>
    <definedName name="__123Graph_C" localSheetId="7" hidden="1">#REF!</definedName>
    <definedName name="__123Graph_C" localSheetId="8" hidden="1">#REF!</definedName>
    <definedName name="__123Graph_C" localSheetId="9" hidden="1">#REF!</definedName>
    <definedName name="__123Graph_C" localSheetId="10" hidden="1">#REF!</definedName>
    <definedName name="__123Graph_C" localSheetId="12" hidden="1">#REF!</definedName>
    <definedName name="__123Graph_C" localSheetId="14" hidden="1">#REF!</definedName>
    <definedName name="__123Graph_C" localSheetId="16" hidden="1">#REF!</definedName>
    <definedName name="__123Graph_C" localSheetId="17" hidden="1">#REF!</definedName>
    <definedName name="__123Graph_C" localSheetId="0" hidden="1">#REF!</definedName>
    <definedName name="__123Graph_C" localSheetId="1" hidden="1">#REF!</definedName>
    <definedName name="__123Graph_C" localSheetId="27" hidden="1">#REF!</definedName>
    <definedName name="__123Graph_C" localSheetId="20" hidden="1">#REF!</definedName>
    <definedName name="__123Graph_C" hidden="1">#REF!</definedName>
    <definedName name="__123Graph_D" localSheetId="23" hidden="1">#REF!</definedName>
    <definedName name="__123Graph_D" localSheetId="25" hidden="1">#REF!</definedName>
    <definedName name="__123Graph_D" localSheetId="3" hidden="1">#REF!</definedName>
    <definedName name="__123Graph_D" localSheetId="4" hidden="1">#REF!</definedName>
    <definedName name="__123Graph_D" localSheetId="5" hidden="1">#REF!</definedName>
    <definedName name="__123Graph_D" localSheetId="7" hidden="1">#REF!</definedName>
    <definedName name="__123Graph_D" localSheetId="8" hidden="1">#REF!</definedName>
    <definedName name="__123Graph_D" localSheetId="9" hidden="1">#REF!</definedName>
    <definedName name="__123Graph_D" localSheetId="16" hidden="1">#REF!</definedName>
    <definedName name="__123Graph_D" localSheetId="17" hidden="1">#REF!</definedName>
    <definedName name="__123Graph_D" localSheetId="1" hidden="1">#REF!</definedName>
    <definedName name="__123Graph_D" hidden="1">#REF!</definedName>
    <definedName name="__123Graph_E" localSheetId="26" hidden="1">#REF!</definedName>
    <definedName name="__123Graph_E" localSheetId="23" hidden="1">#REF!</definedName>
    <definedName name="__123Graph_E" localSheetId="25" hidden="1">#REF!</definedName>
    <definedName name="__123Graph_E" localSheetId="3" hidden="1">#REF!</definedName>
    <definedName name="__123Graph_E" localSheetId="4" hidden="1">#REF!</definedName>
    <definedName name="__123Graph_E" localSheetId="5" hidden="1">#REF!</definedName>
    <definedName name="__123Graph_E" localSheetId="7" hidden="1">#REF!</definedName>
    <definedName name="__123Graph_E" localSheetId="8" hidden="1">#REF!</definedName>
    <definedName name="__123Graph_E" localSheetId="9" hidden="1">#REF!</definedName>
    <definedName name="__123Graph_E" localSheetId="10" hidden="1">#REF!</definedName>
    <definedName name="__123Graph_E" localSheetId="12" hidden="1">#REF!</definedName>
    <definedName name="__123Graph_E" localSheetId="14" hidden="1">#REF!</definedName>
    <definedName name="__123Graph_E" localSheetId="16" hidden="1">#REF!</definedName>
    <definedName name="__123Graph_E" localSheetId="17" hidden="1">#REF!</definedName>
    <definedName name="__123Graph_E" localSheetId="0" hidden="1">#REF!</definedName>
    <definedName name="__123Graph_E" localSheetId="1" hidden="1">#REF!</definedName>
    <definedName name="__123Graph_E" localSheetId="27" hidden="1">#REF!</definedName>
    <definedName name="__123Graph_E" localSheetId="20" hidden="1">#REF!</definedName>
    <definedName name="__123Graph_E" hidden="1">#REF!</definedName>
    <definedName name="__123Graph_F" localSheetId="23" hidden="1">#REF!</definedName>
    <definedName name="__123Graph_F" localSheetId="25" hidden="1">#REF!</definedName>
    <definedName name="__123Graph_F" localSheetId="3" hidden="1">#REF!</definedName>
    <definedName name="__123Graph_F" localSheetId="4" hidden="1">#REF!</definedName>
    <definedName name="__123Graph_F" localSheetId="5" hidden="1">#REF!</definedName>
    <definedName name="__123Graph_F" localSheetId="7" hidden="1">#REF!</definedName>
    <definedName name="__123Graph_F" localSheetId="8" hidden="1">#REF!</definedName>
    <definedName name="__123Graph_F" localSheetId="9" hidden="1">#REF!</definedName>
    <definedName name="__123Graph_F" localSheetId="16" hidden="1">#REF!</definedName>
    <definedName name="__123Graph_F" localSheetId="17" hidden="1">#REF!</definedName>
    <definedName name="__123Graph_F" localSheetId="1" hidden="1">#REF!</definedName>
    <definedName name="__123Graph_F" hidden="1">#REF!</definedName>
    <definedName name="__123Graph_X" localSheetId="23" hidden="1">#REF!</definedName>
    <definedName name="__123Graph_X" localSheetId="25" hidden="1">#REF!</definedName>
    <definedName name="__123Graph_X" localSheetId="3" hidden="1">#REF!</definedName>
    <definedName name="__123Graph_X" localSheetId="4" hidden="1">#REF!</definedName>
    <definedName name="__123Graph_X" localSheetId="5" hidden="1">#REF!</definedName>
    <definedName name="__123Graph_X" localSheetId="7" hidden="1">#REF!</definedName>
    <definedName name="__123Graph_X" localSheetId="8" hidden="1">#REF!</definedName>
    <definedName name="__123Graph_X" localSheetId="9" hidden="1">#REF!</definedName>
    <definedName name="__123Graph_X" localSheetId="16" hidden="1">#REF!</definedName>
    <definedName name="__123Graph_X" localSheetId="17" hidden="1">#REF!</definedName>
    <definedName name="__123Graph_X" localSheetId="1" hidden="1">#REF!</definedName>
    <definedName name="__123Graph_X" hidden="1">#REF!</definedName>
    <definedName name="_Dist_Bin" localSheetId="23" hidden="1">#REF!</definedName>
    <definedName name="_Dist_Bin" localSheetId="25" hidden="1">#REF!</definedName>
    <definedName name="_Dist_Bin" localSheetId="3" hidden="1">#REF!</definedName>
    <definedName name="_Dist_Bin" localSheetId="4" hidden="1">#REF!</definedName>
    <definedName name="_Dist_Bin" localSheetId="5" hidden="1">#REF!</definedName>
    <definedName name="_Dist_Bin" localSheetId="7" hidden="1">#REF!</definedName>
    <definedName name="_Dist_Bin" localSheetId="8" hidden="1">#REF!</definedName>
    <definedName name="_Dist_Bin" localSheetId="9" hidden="1">#REF!</definedName>
    <definedName name="_Dist_Bin" localSheetId="16" hidden="1">#REF!</definedName>
    <definedName name="_Dist_Bin" localSheetId="17" hidden="1">#REF!</definedName>
    <definedName name="_Dist_Bin" localSheetId="1" hidden="1">#REF!</definedName>
    <definedName name="_Dist_Bin" hidden="1">#REF!</definedName>
    <definedName name="_Dist_Values" localSheetId="23" hidden="1">#REF!</definedName>
    <definedName name="_Dist_Values" localSheetId="25" hidden="1">#REF!</definedName>
    <definedName name="_Dist_Values" localSheetId="3" hidden="1">#REF!</definedName>
    <definedName name="_Dist_Values" localSheetId="4" hidden="1">#REF!</definedName>
    <definedName name="_Dist_Values" localSheetId="5" hidden="1">#REF!</definedName>
    <definedName name="_Dist_Values" localSheetId="7" hidden="1">#REF!</definedName>
    <definedName name="_Dist_Values" localSheetId="8" hidden="1">#REF!</definedName>
    <definedName name="_Dist_Values" localSheetId="9" hidden="1">#REF!</definedName>
    <definedName name="_Dist_Values" localSheetId="16" hidden="1">#REF!</definedName>
    <definedName name="_Dist_Values" localSheetId="17" hidden="1">#REF!</definedName>
    <definedName name="_Dist_Values" localSheetId="1" hidden="1">#REF!</definedName>
    <definedName name="_Dist_Values" hidden="1">#REF!</definedName>
    <definedName name="_Fill" localSheetId="23" hidden="1">#REF!</definedName>
    <definedName name="_Fill" localSheetId="25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6" hidden="1">#REF!</definedName>
    <definedName name="_Fill" localSheetId="17" hidden="1">#REF!</definedName>
    <definedName name="_Fill" localSheetId="1" hidden="1">#REF!</definedName>
    <definedName name="_Fill" hidden="1">#REF!</definedName>
    <definedName name="_Key1" localSheetId="23" hidden="1">#REF!</definedName>
    <definedName name="_Key1" localSheetId="25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7" hidden="1">#REF!</definedName>
    <definedName name="_Key1" localSheetId="8" hidden="1">#REF!</definedName>
    <definedName name="_Key1" localSheetId="9" hidden="1">#REF!</definedName>
    <definedName name="_Key1" localSheetId="16" hidden="1">#REF!</definedName>
    <definedName name="_Key1" localSheetId="17" hidden="1">#REF!</definedName>
    <definedName name="_Key1" localSheetId="1" hidden="1">#REF!</definedName>
    <definedName name="_Key1" hidden="1">#REF!</definedName>
    <definedName name="_may1" localSheetId="17">#REF!</definedName>
    <definedName name="_may1">#REF!</definedName>
    <definedName name="_Order1" localSheetId="16" hidden="1">0</definedName>
    <definedName name="_Order1" hidden="1">255</definedName>
    <definedName name="_Order2" localSheetId="16" hidden="1">0</definedName>
    <definedName name="_Order2" hidden="1">255</definedName>
    <definedName name="_P" localSheetId="17">#REF!</definedName>
    <definedName name="_P">#REF!</definedName>
    <definedName name="_PG1" localSheetId="17">#REF!</definedName>
    <definedName name="_PG1">#REF!</definedName>
    <definedName name="_PG2" localSheetId="17">#REF!</definedName>
    <definedName name="_PG2">#REF!</definedName>
    <definedName name="_Regression_X" localSheetId="26" hidden="1">#REF!</definedName>
    <definedName name="_Regression_X" localSheetId="23" hidden="1">#REF!</definedName>
    <definedName name="_Regression_X" localSheetId="25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7" hidden="1">#REF!</definedName>
    <definedName name="_Regression_X" localSheetId="8" hidden="1">#REF!</definedName>
    <definedName name="_Regression_X" localSheetId="9" hidden="1">#REF!</definedName>
    <definedName name="_Regression_X" localSheetId="10" hidden="1">#REF!</definedName>
    <definedName name="_Regression_X" localSheetId="12" hidden="1">#REF!</definedName>
    <definedName name="_Regression_X" localSheetId="14" hidden="1">#REF!</definedName>
    <definedName name="_Regression_X" localSheetId="15" hidden="1">#REF!</definedName>
    <definedName name="_Regression_X" localSheetId="16" hidden="1">#REF!</definedName>
    <definedName name="_Regression_X" localSheetId="17" hidden="1">#REF!</definedName>
    <definedName name="_Regression_X" localSheetId="18" hidden="1">#REF!</definedName>
    <definedName name="_Regression_X" localSheetId="0" hidden="1">#REF!</definedName>
    <definedName name="_Regression_X" localSheetId="1" hidden="1">#REF!</definedName>
    <definedName name="_Regression_X" localSheetId="27" hidden="1">#REF!</definedName>
    <definedName name="_Regression_X" localSheetId="21" hidden="1">#REF!</definedName>
    <definedName name="_Regression_X" localSheetId="20" hidden="1">#REF!</definedName>
    <definedName name="_Regression_X" hidden="1">#REF!</definedName>
    <definedName name="_Sort" localSheetId="23" hidden="1">#REF!</definedName>
    <definedName name="_Sort" localSheetId="25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16" hidden="1">#REF!</definedName>
    <definedName name="_Sort" localSheetId="17" hidden="1">#REF!</definedName>
    <definedName name="_Sort" localSheetId="1" hidden="1">#REF!</definedName>
    <definedName name="_Sort" hidden="1">#REF!</definedName>
    <definedName name="A" localSheetId="17">#REF!</definedName>
    <definedName name="A">#REF!</definedName>
    <definedName name="aaaa" hidden="1">{"Benefits Summary",#N/A,FALSE,"Benefits Info without WC Amount";"Medical and Dental Costs",#N/A,FALSE,"Benefits Info without WC Amount";"Workers' Compensation",#N/A,FALSE,"Benefits Info without WC Amount"}</definedName>
    <definedName name="ACTUAL">"'Vol_Revs'!R5C3:R5C14"</definedName>
    <definedName name="ADJSUTW3" localSheetId="17">#REF!</definedName>
    <definedName name="ADJSUTW3">#REF!</definedName>
    <definedName name="ADJUSRN" localSheetId="17">#REF!</definedName>
    <definedName name="ADJUSRN">#REF!</definedName>
    <definedName name="Adjust2" localSheetId="17">#REF!</definedName>
    <definedName name="Adjust2">#REF!</definedName>
    <definedName name="ADJUSTA" localSheetId="17">#REF!</definedName>
    <definedName name="ADJUSTA">#REF!</definedName>
    <definedName name="ADJUSTAA" localSheetId="17">#REF!</definedName>
    <definedName name="ADJUSTAA">#REF!</definedName>
    <definedName name="ADJUSTB" localSheetId="17">#REF!</definedName>
    <definedName name="ADJUSTB">#REF!</definedName>
    <definedName name="ADJUSTC" localSheetId="17">#REF!</definedName>
    <definedName name="ADJUSTC">#REF!</definedName>
    <definedName name="ADJUSTD1" localSheetId="17">#REF!</definedName>
    <definedName name="ADJUSTD1">#REF!</definedName>
    <definedName name="ADJUSTD2" localSheetId="17">#REF!</definedName>
    <definedName name="ADJUSTD2">#REF!</definedName>
    <definedName name="ADJUSTD3" localSheetId="17">#REF!</definedName>
    <definedName name="ADJUSTD3">#REF!</definedName>
    <definedName name="ADJUSTD4" localSheetId="17">#REF!</definedName>
    <definedName name="ADJUSTD4">#REF!</definedName>
    <definedName name="ADJUSTG1" localSheetId="17">#REF!</definedName>
    <definedName name="ADJUSTG1">#REF!</definedName>
    <definedName name="ADJUSTG2" localSheetId="17">#REF!</definedName>
    <definedName name="ADJUSTG2">#REF!</definedName>
    <definedName name="ADJUSTG3" localSheetId="17">#REF!</definedName>
    <definedName name="ADJUSTG3">#REF!</definedName>
    <definedName name="ADJUSTG4" localSheetId="17">#REF!</definedName>
    <definedName name="ADJUSTG4">#REF!</definedName>
    <definedName name="ADJUSTH" localSheetId="17">#REF!</definedName>
    <definedName name="ADJUSTH">#REF!</definedName>
    <definedName name="ADJUSTI" localSheetId="17">#REF!</definedName>
    <definedName name="ADJUSTI">#REF!</definedName>
    <definedName name="ADJUSTK" localSheetId="17">#REF!</definedName>
    <definedName name="ADJUSTK">#REF!</definedName>
    <definedName name="ADJUSTM" localSheetId="17">#REF!</definedName>
    <definedName name="ADJUSTM">#REF!</definedName>
    <definedName name="ADJUSTN" localSheetId="17">#REF!</definedName>
    <definedName name="ADJUSTN">#REF!</definedName>
    <definedName name="ADJUSTO" localSheetId="17">#REF!</definedName>
    <definedName name="ADJUSTO">#REF!</definedName>
    <definedName name="ADJUSTP" localSheetId="17">#REF!</definedName>
    <definedName name="ADJUSTP">#REF!</definedName>
    <definedName name="ADJUSTQ" localSheetId="17">#REF!</definedName>
    <definedName name="ADJUSTQ">#REF!</definedName>
    <definedName name="ADJUSTR" localSheetId="17">#REF!</definedName>
    <definedName name="ADJUSTR">#REF!</definedName>
    <definedName name="ADJUSTS" localSheetId="17">#REF!</definedName>
    <definedName name="ADJUSTS">#REF!</definedName>
    <definedName name="ADJUSTT" localSheetId="17">#REF!</definedName>
    <definedName name="ADJUSTT">#REF!</definedName>
    <definedName name="ADJUSTW1" localSheetId="17">#REF!</definedName>
    <definedName name="ADJUSTW1">#REF!</definedName>
    <definedName name="ADJUSTW2" localSheetId="17">#REF!</definedName>
    <definedName name="ADJUSTW2">#REF!</definedName>
    <definedName name="ADJUSTX" localSheetId="17">#REF!</definedName>
    <definedName name="ADJUSTX">#REF!</definedName>
    <definedName name="ADJUSTY" localSheetId="17">#REF!</definedName>
    <definedName name="ADJUSTY">#REF!</definedName>
    <definedName name="ALERT2" localSheetId="17">#REF!</definedName>
    <definedName name="ALERT2">#REF!</definedName>
    <definedName name="Annual_Sales_KU" localSheetId="17">'[4]LGE Sales'!#REF!</definedName>
    <definedName name="Annual_Sales_KU">'[4]LGE Sales'!#REF!</definedName>
    <definedName name="assets" localSheetId="17">#REF!</definedName>
    <definedName name="assets">#REF!</definedName>
    <definedName name="AUTO" localSheetId="17">#REF!</definedName>
    <definedName name="AUTO">#REF!</definedName>
    <definedName name="B" localSheetId="17">#REF!</definedName>
    <definedName name="B">#REF!</definedName>
    <definedName name="Billed_Revenues_Dollars" localSheetId="17">#REF!</definedName>
    <definedName name="Billed_Revenues_Dollars">#REF!</definedName>
    <definedName name="Billed_Sales__KWh" localSheetId="17">#REF!</definedName>
    <definedName name="Billed_Sales__KWh">#REF!</definedName>
    <definedName name="BudCol01">[5]BudgetDatabase!$J$5:$J$443</definedName>
    <definedName name="BudCol02">[5]BudgetDatabase!$K$5:$K$443</definedName>
    <definedName name="BudCol03">[5]BudgetDatabase!$L$5:$L$443</definedName>
    <definedName name="BudCol04">[5]BudgetDatabase!$M$5:$M$443</definedName>
    <definedName name="BudCol05">[5]BudgetDatabase!$N$5:$N$443</definedName>
    <definedName name="BudCol06">[5]BudgetDatabase!$O$5:$O$443</definedName>
    <definedName name="BudCol07">[5]BudgetDatabase!$P$5:$P$443</definedName>
    <definedName name="BudCol08">[5]BudgetDatabase!$Q$5:$Q$443</definedName>
    <definedName name="BudCol09">[5]BudgetDatabase!$R$5:$R$443</definedName>
    <definedName name="BudCol10">[5]BudgetDatabase!$S$5:$S$443</definedName>
    <definedName name="BudCol11">[5]BudgetDatabase!$T$5:$T$443</definedName>
    <definedName name="BudCol12">[5]BudgetDatabase!$U$5:$U$443</definedName>
    <definedName name="BudCol13">[5]BudgetDatabase!$V$5:$V$443</definedName>
    <definedName name="BudCol14">[5]BudgetDatabase!$W$5:$W$443</definedName>
    <definedName name="BudCol15">[5]BudgetDatabase!$X$5:$X$443</definedName>
    <definedName name="BudCol16">[5]BudgetDatabase!$Y$5:$Y$443</definedName>
    <definedName name="BudCol17">[5]BudgetDatabase!$Z$5:$Z$443</definedName>
    <definedName name="BudCol18">[5]BudgetDatabase!$AA$5:$AA$443</definedName>
    <definedName name="BudCol19">[5]BudgetDatabase!$AB$5:$AB$443</definedName>
    <definedName name="BudCol20">[5]BudgetDatabase!$AC$5:$AC$443</definedName>
    <definedName name="BudCol21">[5]BudgetDatabase!$AD$5:$AD$443</definedName>
    <definedName name="BudCol22">[5]BudgetDatabase!$AE$5:$AE$443</definedName>
    <definedName name="BudCol23">[5]BudgetDatabase!$AF$5:$AF$443</definedName>
    <definedName name="BudCol24">[5]BudgetDatabase!$AG$5:$AG$443</definedName>
    <definedName name="BudCol25">[5]BudgetDatabase!$AH$5:$AH$443</definedName>
    <definedName name="BudColTmp">[5]BudgetDatabase!$AJ$5:$AJ$443</definedName>
    <definedName name="C_" localSheetId="17">#REF!</definedName>
    <definedName name="C_">#REF!</definedName>
    <definedName name="Choices_Wrapper">[0]!Choices_Wrapper</definedName>
    <definedName name="CM" localSheetId="17">#REF!</definedName>
    <definedName name="CM">#REF!</definedName>
    <definedName name="Coal_Annual_KU" localSheetId="17">'[4]LGE Coal'!#REF!</definedName>
    <definedName name="Coal_Annual_KU">'[4]LGE Coal'!#REF!</definedName>
    <definedName name="coal_hide_ku_01" localSheetId="17">'[4]LGE Coal'!#REF!</definedName>
    <definedName name="coal_hide_ku_01">'[4]LGE Coal'!#REF!</definedName>
    <definedName name="coal_hide_lge_01" localSheetId="17">'[4]LGE Coal'!#REF!</definedName>
    <definedName name="coal_hide_lge_01">'[4]LGE Coal'!#REF!</definedName>
    <definedName name="coal_ku_01" localSheetId="17">'[4]LGE Coal'!#REF!</definedName>
    <definedName name="coal_ku_01">'[4]LGE Coal'!#REF!</definedName>
    <definedName name="ColumnAttributes1" localSheetId="17">#REF!</definedName>
    <definedName name="ColumnAttributes1">#REF!</definedName>
    <definedName name="ColumnHeadings1" localSheetId="17">#REF!</definedName>
    <definedName name="ColumnHeadings1">#REF!</definedName>
    <definedName name="Comp">[0]!Comp</definedName>
    <definedName name="ConsEarnings" localSheetId="17">#REF!</definedName>
    <definedName name="ConsEarnings">#REF!</definedName>
    <definedName name="CONSOLIDATED" localSheetId="17">#REF!</definedName>
    <definedName name="CONSOLIDATED">#REF!</definedName>
    <definedName name="CORPORATE" localSheetId="17">#REF!</definedName>
    <definedName name="CORPORATE">#REF!</definedName>
    <definedName name="counter" localSheetId="17">#REF!</definedName>
    <definedName name="counter">#REF!</definedName>
    <definedName name="CREDIT" localSheetId="17">#REF!</definedName>
    <definedName name="CREDIT">#REF!</definedName>
    <definedName name="CurReptgMo">[5]Input!$K$19</definedName>
    <definedName name="CurReptgYr">[5]Input!$K$21</definedName>
    <definedName name="D" localSheetId="17">#REF!</definedName>
    <definedName name="D">#REF!</definedName>
    <definedName name="data" localSheetId="17">#REF!</definedName>
    <definedName name="data">#REF!</definedName>
    <definedName name="data1" localSheetId="17">'[6]1'!#REF!</definedName>
    <definedName name="data1">'[6]1'!#REF!</definedName>
    <definedName name="DateTimeNow">[5]Input!$AE$12</definedName>
    <definedName name="DEBIT" localSheetId="17">#REF!</definedName>
    <definedName name="DEBIT">#REF!</definedName>
    <definedName name="Detail" localSheetId="17">#REF!</definedName>
    <definedName name="Detail">#REF!</definedName>
    <definedName name="ELEC_NET_OP_INC" localSheetId="17">#REF!</definedName>
    <definedName name="ELEC_NET_OP_INC">#REF!</definedName>
    <definedName name="ELIMS" localSheetId="17">#REF!</definedName>
    <definedName name="ELIMS">#REF!</definedName>
    <definedName name="EXHIB1A" localSheetId="17">'[7]#REF'!#REF!</definedName>
    <definedName name="EXHIB1A">'[7]#REF'!#REF!</definedName>
    <definedName name="EXHIB1B" localSheetId="17">#REF!</definedName>
    <definedName name="EXHIB1B">#REF!</definedName>
    <definedName name="EXHIB1C" localSheetId="17">#REF!</definedName>
    <definedName name="EXHIB1C">#REF!</definedName>
    <definedName name="EXHIB2B" localSheetId="17">'[8]Ex 2'!#REF!</definedName>
    <definedName name="EXHIB2B">'[8]Ex 2'!#REF!</definedName>
    <definedName name="EXHIB3" localSheetId="17">#REF!</definedName>
    <definedName name="EXHIB3">#REF!</definedName>
    <definedName name="EXHIB6" localSheetId="17">'[8]not used Ex 4'!#REF!</definedName>
    <definedName name="EXHIB6">'[8]not used Ex 4'!#REF!</definedName>
    <definedName name="F" localSheetId="17">#REF!</definedName>
    <definedName name="F">#REF!</definedName>
    <definedName name="Fac_2000" localSheetId="17">'[4]LGE Base Fuel &amp; FAC'!#REF!</definedName>
    <definedName name="Fac_2000">'[4]LGE Base Fuel &amp; FAC'!#REF!</definedName>
    <definedName name="fac_annual_ku" localSheetId="17">'[4]LGE Base Fuel &amp; FAC'!#REF!</definedName>
    <definedName name="fac_annual_ku">'[4]LGE Base Fuel &amp; FAC'!#REF!</definedName>
    <definedName name="fac_hide_ku_01" localSheetId="17">'[4]LGE Base Fuel &amp; FAC'!#REF!</definedName>
    <definedName name="fac_hide_ku_01">'[4]LGE Base Fuel &amp; FAC'!#REF!</definedName>
    <definedName name="fac_hide_lge_01" localSheetId="17">'[4]LGE Base Fuel &amp; FAC'!#REF!</definedName>
    <definedName name="fac_hide_lge_01">'[4]LGE Base Fuel &amp; FAC'!#REF!</definedName>
    <definedName name="fac_ku_01" localSheetId="17">'[4]LGE Base Fuel &amp; FAC'!#REF!</definedName>
    <definedName name="fac_ku_01">'[4]LGE Base Fuel &amp; FAC'!#REF!</definedName>
    <definedName name="fadfas" hidden="1">{"Benefits Summary",#N/A,FALSE,"Benefits Info without WC Amount";"Medical and Dental Costs",#N/A,FALSE,"Benefits Info without WC Amount";"Workers' Compensation",#N/A,FALSE,"Benefits Info without WC Amount"}</definedName>
    <definedName name="February" localSheetId="17">#REF!</definedName>
    <definedName name="February">#REF!</definedName>
    <definedName name="FOOTER" localSheetId="17">#REF!</definedName>
    <definedName name="FOOTER">#REF!</definedName>
    <definedName name="FORECAST">"'IFPSReport'!R5C3:R5C14"</definedName>
    <definedName name="fuelcost" localSheetId="17">#REF!</definedName>
    <definedName name="fuelcost">#REF!</definedName>
    <definedName name="Gas_Annual_NetRev" localSheetId="17">#REF!</definedName>
    <definedName name="Gas_Annual_NetRev">#REF!</definedName>
    <definedName name="Gas_Annual_Revenue" localSheetId="17">#REF!</definedName>
    <definedName name="Gas_Annual_Revenue">#REF!</definedName>
    <definedName name="gas_data" localSheetId="17">#REF!</definedName>
    <definedName name="gas_data">#REF!</definedName>
    <definedName name="Gas_Monthly_NetRevenue" localSheetId="17">#REF!</definedName>
    <definedName name="Gas_Monthly_NetRevenue">#REF!</definedName>
    <definedName name="GAS_NET_OP_INC" localSheetId="17">#REF!</definedName>
    <definedName name="GAS_NET_OP_INC">#REF!</definedName>
    <definedName name="Gas_Sales_Revenues" localSheetId="17">#REF!</definedName>
    <definedName name="Gas_Sales_Revenues">#REF!</definedName>
    <definedName name="GenEx_Annual_KU" localSheetId="17">'[4]LGE Cost of Sales'!#REF!</definedName>
    <definedName name="GenEx_Annual_KU">'[4]LGE Cost of Sales'!#REF!</definedName>
    <definedName name="genex_hide_ku_01" localSheetId="17">'[4]LGE Cost of Sales'!#REF!</definedName>
    <definedName name="genex_hide_ku_01">'[4]LGE Cost of Sales'!#REF!</definedName>
    <definedName name="genex_hide_lge_01" localSheetId="17">'[4]LGE Cost of Sales'!#REF!</definedName>
    <definedName name="genex_hide_lge_01">'[4]LGE Cost of Sales'!#REF!</definedName>
    <definedName name="genex_ku_01" localSheetId="17">'[4]LGE Cost of Sales'!#REF!</definedName>
    <definedName name="genex_ku_01">'[4]LGE Cost of Sales'!#REF!</definedName>
    <definedName name="H" localSheetId="17">#REF!</definedName>
    <definedName name="H">#REF!</definedName>
    <definedName name="Home_KU" localSheetId="17">#REF!</definedName>
    <definedName name="Home_KU">#REF!</definedName>
    <definedName name="INPUT1" localSheetId="17">#REF!</definedName>
    <definedName name="INPUT1">#REF!</definedName>
    <definedName name="INPUT2" localSheetId="17">#REF!</definedName>
    <definedName name="INPUT2">#REF!</definedName>
    <definedName name="INPUTCOL" localSheetId="17">#REF!</definedName>
    <definedName name="INPUTCOL">#REF!</definedName>
    <definedName name="INPUTROW" localSheetId="17">#REF!</definedName>
    <definedName name="INPUTROW">#REF!</definedName>
    <definedName name="InputSec01">[5]Input!$M$30</definedName>
    <definedName name="InputSec02">[5]Input!$M$40:$M$75</definedName>
    <definedName name="InputSec03">[5]Input!$K$87:$Q$89</definedName>
    <definedName name="InputSec04">[5]Input!$O$100:$Q$100</definedName>
    <definedName name="InputSec05A">[5]Input!$O$110:$Q$110</definedName>
    <definedName name="InputSec05B">[5]Input!$O$116:$Q$122</definedName>
    <definedName name="InputSec06">[5]Input!$M$133:$O$142</definedName>
    <definedName name="InputSec07">[5]Input!$O$151:$O$181</definedName>
    <definedName name="InputSec08A">[5]Input!$O$259:$O$283</definedName>
    <definedName name="InputSec08B">[5]Input!$G$296:$Q$296</definedName>
    <definedName name="InputSec08C">[5]Input!$I$306:$K$306</definedName>
    <definedName name="InputSec09A">[5]Input!$K$316:$Q$318</definedName>
    <definedName name="InputSec09B">[5]Input!$K$328:$M$330</definedName>
    <definedName name="InputSec10A">[5]Input!$K$345:$O$349</definedName>
    <definedName name="InputSec10B">[5]Input!$K$355:$O$355</definedName>
    <definedName name="InputSec10C">[5]Input!$K$362:$O$364</definedName>
    <definedName name="InputSec10D">[5]Input!$K$370:$O$370</definedName>
    <definedName name="InputSec11">[5]Input!$M$383:$O$391</definedName>
    <definedName name="InputSec12A">[5]Input!$M$406:$M$418</definedName>
    <definedName name="InputSec12B">[5]Input!$M$424</definedName>
    <definedName name="InputSec13">[5]Input!$M$433:$O$433</definedName>
    <definedName name="January" localSheetId="17">#REF!</definedName>
    <definedName name="January">#REF!</definedName>
    <definedName name="KUELIMBAL" localSheetId="17">#REF!</definedName>
    <definedName name="KUELIMBAL">#REF!</definedName>
    <definedName name="KUELIMCASH" localSheetId="17">#REF!</definedName>
    <definedName name="KUELIMCASH">#REF!</definedName>
    <definedName name="KUPWRGENIS" localSheetId="17">#REF!</definedName>
    <definedName name="KUPWRGENIS">#REF!</definedName>
    <definedName name="KWHCol01">[5]KWHDistDatabase!$I$5:$I$425</definedName>
    <definedName name="KWHCol02">[5]KWHDistDatabase!$J$5:$J$425</definedName>
    <definedName name="KWHCol03">[5]KWHDistDatabase!$K$5:$K$425</definedName>
    <definedName name="KWHCol04">[5]KWHDistDatabase!$L$5:$L$425</definedName>
    <definedName name="KWHCol05">[5]KWHDistDatabase!$M$5:$M$425</definedName>
    <definedName name="KWHCol06">[5]KWHDistDatabase!$N$5:$N$425</definedName>
    <definedName name="KWHCol07">[5]KWHDistDatabase!$O$5:$O$425</definedName>
    <definedName name="KWHCol08">[5]KWHDistDatabase!$P$5:$P$425</definedName>
    <definedName name="KWHCol09">[5]KWHDistDatabase!$Q$5:$Q$425</definedName>
    <definedName name="KWHCol10">[5]KWHDistDatabase!$R$5:$R$425</definedName>
    <definedName name="KWHCol11">[5]KWHDistDatabase!$S$5:$S$425</definedName>
    <definedName name="KWHCol12">[5]KWHDistDatabase!$T$5:$T$425</definedName>
    <definedName name="KWHCol13">[5]KWHDistDatabase!$U$5:$U$425</definedName>
    <definedName name="KWHCol14">[5]KWHDistDatabase!$V$5:$V$425</definedName>
    <definedName name="KWHCol15">[5]KWHDistDatabase!$W$5:$W$425</definedName>
    <definedName name="KWHCol16">[5]KWHDistDatabase!$X$5:$X$425</definedName>
    <definedName name="KWHCol17">[5]KWHDistDatabase!$Y$5:$Y$425</definedName>
    <definedName name="KWHCol18">[5]KWHDistDatabase!$Z$5:$Z$425</definedName>
    <definedName name="KWHCol19">[5]KWHDistDatabase!$AA$5:$AA$425</definedName>
    <definedName name="KWHCol20">[5]KWHDistDatabase!$AB$5:$AB$425</definedName>
    <definedName name="KWHCol21">[5]KWHDistDatabase!$AC$5:$AC$425</definedName>
    <definedName name="KWHCol22">[5]KWHDistDatabase!$AD$5:$AD$425</definedName>
    <definedName name="KWHCol23">[5]KWHDistDatabase!$AE$5:$AE$425</definedName>
    <definedName name="KWHCol24">[5]KWHDistDatabase!$AF$5:$AF$425</definedName>
    <definedName name="KWHCol25">[5]KWHDistDatabase!$AG$5:$AG$425</definedName>
    <definedName name="KWHColTmp">[5]KWHDistDatabase!$AI$5:$AI$425</definedName>
    <definedName name="LEC" localSheetId="17">#REF!</definedName>
    <definedName name="LEC">#REF!</definedName>
    <definedName name="LECBAL" localSheetId="17">#REF!</definedName>
    <definedName name="LECBAL">#REF!</definedName>
    <definedName name="LECCASH" localSheetId="17">#REF!</definedName>
    <definedName name="LECCASH">#REF!</definedName>
    <definedName name="LES" localSheetId="17">#REF!</definedName>
    <definedName name="LES">#REF!</definedName>
    <definedName name="LGE" localSheetId="17">#REF!</definedName>
    <definedName name="LGE">#REF!</definedName>
    <definedName name="LNGCL" localSheetId="17">#REF!</definedName>
    <definedName name="LNGCL">#REF!</definedName>
    <definedName name="Losses_by_State" localSheetId="17">#REF!</definedName>
    <definedName name="Losses_by_State">#REF!</definedName>
    <definedName name="LOUPHONECOBAL" localSheetId="17">#REF!</definedName>
    <definedName name="LOUPHONECOBAL">#REF!</definedName>
    <definedName name="LOUPHONECOCASH" localSheetId="17">#REF!</definedName>
    <definedName name="LOUPHONECOCASH">#REF!</definedName>
    <definedName name="LOUPHONECOIS" localSheetId="17">#REF!</definedName>
    <definedName name="LOUPHONECOIS">#REF!</definedName>
    <definedName name="LPI" localSheetId="17">#REF!</definedName>
    <definedName name="LPI">#REF!</definedName>
    <definedName name="MAIN" localSheetId="17">#REF!</definedName>
    <definedName name="MAIN">#REF!</definedName>
    <definedName name="MESG1" localSheetId="17">#REF!</definedName>
    <definedName name="MESG1">#REF!</definedName>
    <definedName name="MESG2" localSheetId="17">#REF!</definedName>
    <definedName name="MESG2">#REF!</definedName>
    <definedName name="MONTH_NAME" localSheetId="17">#REF!</definedName>
    <definedName name="MONTH_NAME">#REF!</definedName>
    <definedName name="MONTHCOUNT" localSheetId="17">#REF!</definedName>
    <definedName name="MONTHCOUNT">#REF!</definedName>
    <definedName name="NATURAL" localSheetId="17">#REF!</definedName>
    <definedName name="NATURAL">#REF!</definedName>
    <definedName name="NET_OP_INC" localSheetId="17">#REF!</definedName>
    <definedName name="NET_OP_INC">#REF!</definedName>
    <definedName name="Net_Revenues" localSheetId="17">#REF!</definedName>
    <definedName name="Net_Revenues">#REF!</definedName>
    <definedName name="Net_Unbilled_KWh" localSheetId="17">#REF!</definedName>
    <definedName name="Net_Unbilled_KWh">#REF!</definedName>
    <definedName name="Net_Unbilled_Revenue_Dollars" localSheetId="17">#REF!</definedName>
    <definedName name="Net_Unbilled_Revenue_Dollars">#REF!</definedName>
    <definedName name="netrev_hide_ku_01" localSheetId="17">'[4]LGE Gross Margin-Inc.Stmt'!#REF!</definedName>
    <definedName name="netrev_hide_ku_01">'[4]LGE Gross Margin-Inc.Stmt'!#REF!</definedName>
    <definedName name="netrev_hide_lge_01" localSheetId="17">'[4]LGE Gross Margin-Inc.Stmt'!#REF!</definedName>
    <definedName name="netrev_hide_lge_01">'[4]LGE Gross Margin-Inc.Stmt'!#REF!</definedName>
    <definedName name="netrev_ku_01" localSheetId="17">'[4]LGE Gross Margin-Inc.Stmt'!#REF!</definedName>
    <definedName name="netrev_ku_01">'[4]LGE Gross Margin-Inc.Stmt'!#REF!</definedName>
    <definedName name="NetRevenue_Annual_KU" localSheetId="17">'[4]LGE Gross Margin-Inc.Stmt'!#REF!</definedName>
    <definedName name="NetRevenue_Annual_KU">'[4]LGE Gross Margin-Inc.Stmt'!#REF!</definedName>
    <definedName name="NetRevenues" localSheetId="17">#REF!</definedName>
    <definedName name="NetRevenues">#REF!</definedName>
    <definedName name="NextReptgMo">[5]Input!$AE$19</definedName>
    <definedName name="NextReptgYr">[5]Input!$AE$21</definedName>
    <definedName name="Operating_Revenue_Dollars" localSheetId="17">#REF!</definedName>
    <definedName name="Operating_Revenue_Dollars">#REF!</definedName>
    <definedName name="Operating_Sales__KWh" localSheetId="17">#REF!</definedName>
    <definedName name="Operating_Sales__KWh">#REF!</definedName>
    <definedName name="PAGE" localSheetId="17">#REF!</definedName>
    <definedName name="PAGE">#REF!</definedName>
    <definedName name="page1" localSheetId="17">#REF!</definedName>
    <definedName name="page1">#REF!</definedName>
    <definedName name="PAGE10" localSheetId="17">#REF!</definedName>
    <definedName name="PAGE10">#REF!</definedName>
    <definedName name="PAGE1B" localSheetId="17">[3]d20!#REF!</definedName>
    <definedName name="PAGE1B">[3]d20!#REF!</definedName>
    <definedName name="page2" localSheetId="17">#REF!</definedName>
    <definedName name="page2">#REF!</definedName>
    <definedName name="PAGE7" localSheetId="17">#REF!</definedName>
    <definedName name="PAGE7">#REF!</definedName>
    <definedName name="page8" localSheetId="17">#REF!</definedName>
    <definedName name="page8">#REF!</definedName>
    <definedName name="PAGE9" localSheetId="17">#REF!</definedName>
    <definedName name="PAGE9">#REF!</definedName>
    <definedName name="PERCENT" localSheetId="17">#REF!</definedName>
    <definedName name="PERCENT">#REF!</definedName>
    <definedName name="PgFERC_449" localSheetId="17">#REF!</definedName>
    <definedName name="PgFERC_449">#REF!</definedName>
    <definedName name="Plan" localSheetId="17">#REF!</definedName>
    <definedName name="Plan">#REF!</definedName>
    <definedName name="_xlnm.Print_Area" localSheetId="2">'Exh. LK-11 (Pages 1-3)'!$A$1:$T$100</definedName>
    <definedName name="_xlnm.Print_Area" localSheetId="3">'Exh. LK-11 (Pages 4-6)'!$A$1:$T$106</definedName>
    <definedName name="_xlnm.Print_Area" localSheetId="4">'Exh. LK-12'!$A$1:$V$126</definedName>
    <definedName name="_xlnm.Print_Area" localSheetId="5">'Exh. LK-14'!$A$1:$X$126</definedName>
    <definedName name="_xlnm.Print_Area" localSheetId="6">'Exh. LK-15'!$A$1:$P$69</definedName>
    <definedName name="_xlnm.Print_Area" localSheetId="7">'Exh. LK-16'!$A$1:$R$34</definedName>
    <definedName name="_xlnm.Print_Area" localSheetId="9">'Exh. LK-21'!$A$1:$I$62</definedName>
    <definedName name="_xlnm.Print_Area" localSheetId="11">'Exh. LK-27 - Page 1'!$A$1:$D$26</definedName>
    <definedName name="_xlnm.Print_Area" localSheetId="13">'Exh. LK-28'!$A$1:$J$189</definedName>
    <definedName name="_xlnm.Print_Area" localSheetId="14">'Exh. LK-29'!$A$1:$J$189</definedName>
    <definedName name="_xlnm.Print_Area" localSheetId="15">'Exh. LK-30'!$A$1:$H$102</definedName>
    <definedName name="_xlnm.Print_Area" localSheetId="16">'Exh. LK-33'!$A$1:$M$60</definedName>
    <definedName name="_xlnm.Print_Area" localSheetId="17">'Exh. LK-34'!$A$1:$L$24</definedName>
    <definedName name="_xlnm.Print_Area" localSheetId="18">'Exh. LK-35'!$A$1:$D$18</definedName>
    <definedName name="_xlnm.Print_Area" localSheetId="0">'Exh. LK-6'!$A$1:$J$50</definedName>
    <definedName name="_xlnm.Print_Area" localSheetId="1">'Exh. LK-8'!$A$1:$J$57</definedName>
    <definedName name="_xlnm.Print_Titles" localSheetId="23">'As Adjusted MFR Sch. D-4 (2017)'!$A:$B,'As Adjusted MFR Sch. D-4 (2017)'!$1:$11</definedName>
    <definedName name="_xlnm.Print_Titles" localSheetId="25">'As Adjusted MFR Sch. D-4 (2018)'!$A:$B,'As Adjusted MFR Sch. D-4 (2018)'!$1:$11</definedName>
    <definedName name="_xlnm.Print_Titles" localSheetId="22">'As Filed MFR Sch. D-4 (2017)'!$A:$B,'As Filed MFR Sch. D-4 (2017)'!$1:$11</definedName>
    <definedName name="_xlnm.Print_Titles" localSheetId="24">'As Filed MFR Sch. D-4 (2018)'!$A:$B,'As Filed MFR Sch. D-4 (2018)'!$1:$11</definedName>
    <definedName name="_xlnm.Print_Titles" localSheetId="2">'Exh. LK-11 (Pages 1-3)'!$1:$6</definedName>
    <definedName name="_xlnm.Print_Titles" localSheetId="3">'Exh. LK-11 (Pages 4-6)'!$1:$6</definedName>
    <definedName name="_xlnm.Print_Titles" localSheetId="4">'Exh. LK-12'!$1:$10</definedName>
    <definedName name="_xlnm.Print_Titles" localSheetId="5">'Exh. LK-14'!$1:$10</definedName>
    <definedName name="_xlnm.Print_Titles" localSheetId="6">'Exh. LK-15'!$1:$16</definedName>
    <definedName name="_xlnm.Print_Titles" localSheetId="7">'Exh. LK-16'!$1:$10</definedName>
    <definedName name="_xlnm.Print_Titles" localSheetId="9">'Exh. LK-21'!$1:$8</definedName>
    <definedName name="_xlnm.Print_Titles" localSheetId="13">'Exh. LK-28'!$1:$6</definedName>
    <definedName name="_xlnm.Print_Titles" localSheetId="14">'Exh. LK-29'!$1:$6</definedName>
    <definedName name="_xlnm.Print_Titles" localSheetId="15">'Exh. LK-30'!$1:$7</definedName>
    <definedName name="_xlnm.Print_Titles" localSheetId="16">'Exh. LK-33'!$1:$6</definedName>
    <definedName name="PRINT1" localSheetId="17">#REF!</definedName>
    <definedName name="PRINT1">#REF!</definedName>
    <definedName name="PUBLIC" localSheetId="17">#REF!</definedName>
    <definedName name="PUBLIC">#REF!</definedName>
    <definedName name="PWRGENBAL" localSheetId="17">#REF!</definedName>
    <definedName name="PWRGENBAL">#REF!</definedName>
    <definedName name="PWRGENCASH" localSheetId="17">#REF!</definedName>
    <definedName name="PWRGENCASH">#REF!</definedName>
    <definedName name="QtrbyMonth" localSheetId="17">#REF!</definedName>
    <definedName name="QtrbyMonth">#REF!</definedName>
    <definedName name="RangeRptgMo">[9]Main!$K$11</definedName>
    <definedName name="RangeRptgYr">[10]Main!$G$5</definedName>
    <definedName name="REPORT" localSheetId="17">#REF!</definedName>
    <definedName name="REPORT">#REF!</definedName>
    <definedName name="ReportTitle1" localSheetId="17">#REF!</definedName>
    <definedName name="ReportTitle1">#REF!</definedName>
    <definedName name="require_hide_ku_01" localSheetId="17">'[4]LGE Require &amp; Source'!#REF!</definedName>
    <definedName name="require_hide_ku_01">'[4]LGE Require &amp; Source'!#REF!</definedName>
    <definedName name="require_hide_lge_01" localSheetId="17">'[4]LGE Require &amp; Source'!#REF!</definedName>
    <definedName name="require_hide_lge_01">'[4]LGE Require &amp; Source'!#REF!</definedName>
    <definedName name="require_ku_01" localSheetId="17">'[4]LGE Require &amp; Source'!#REF!</definedName>
    <definedName name="require_ku_01">'[4]LGE Require &amp; Source'!#REF!</definedName>
    <definedName name="Requirements_Annual_KU" localSheetId="17">'[4]LGE Require &amp; Source'!#REF!</definedName>
    <definedName name="Requirements_Annual_KU">'[4]LGE Require &amp; Source'!#REF!</definedName>
    <definedName name="Requirements_Data" localSheetId="17">'[4]LGE Require &amp; Source'!#REF!</definedName>
    <definedName name="Requirements_Data">'[4]LGE Require &amp; Source'!#REF!</definedName>
    <definedName name="Requirements_KU" localSheetId="17">'[4]LGE Require &amp; Source'!#REF!</definedName>
    <definedName name="Requirements_KU">'[4]LGE Require &amp; Source'!#REF!</definedName>
    <definedName name="RevCol01" localSheetId="17">#REF!</definedName>
    <definedName name="RevCol01">#REF!</definedName>
    <definedName name="RevCol01A" localSheetId="17">#REF!</definedName>
    <definedName name="RevCol01A">#REF!</definedName>
    <definedName name="RevCol01B" localSheetId="17">#REF!</definedName>
    <definedName name="RevCol01B">#REF!</definedName>
    <definedName name="RevCol02" localSheetId="17">#REF!</definedName>
    <definedName name="RevCol02">#REF!</definedName>
    <definedName name="RevCol02A" localSheetId="17">#REF!</definedName>
    <definedName name="RevCol02A">#REF!</definedName>
    <definedName name="RevCol02B" localSheetId="17">#REF!</definedName>
    <definedName name="RevCol02B">#REF!</definedName>
    <definedName name="RevCol03" localSheetId="17">#REF!</definedName>
    <definedName name="RevCol03">#REF!</definedName>
    <definedName name="RevCol04" localSheetId="17">#REF!</definedName>
    <definedName name="RevCol04">#REF!</definedName>
    <definedName name="RevCol05" localSheetId="17">#REF!</definedName>
    <definedName name="RevCol05">#REF!</definedName>
    <definedName name="RevCol06" localSheetId="17">#REF!</definedName>
    <definedName name="RevCol06">#REF!</definedName>
    <definedName name="RevCol07" localSheetId="17">#REF!</definedName>
    <definedName name="RevCol07">#REF!</definedName>
    <definedName name="RevCol08" localSheetId="17">#REF!</definedName>
    <definedName name="RevCol08">#REF!</definedName>
    <definedName name="RevCol09" localSheetId="17">#REF!</definedName>
    <definedName name="RevCol09">#REF!</definedName>
    <definedName name="RevCol10" localSheetId="17">#REF!</definedName>
    <definedName name="RevCol10">#REF!</definedName>
    <definedName name="RevCol11" localSheetId="17">#REF!</definedName>
    <definedName name="RevCol11">#REF!</definedName>
    <definedName name="RevCol12" localSheetId="17">#REF!</definedName>
    <definedName name="RevCol12">#REF!</definedName>
    <definedName name="RevCol13" localSheetId="17">#REF!</definedName>
    <definedName name="RevCol13">#REF!</definedName>
    <definedName name="RevCol14" localSheetId="17">#REF!</definedName>
    <definedName name="RevCol14">#REF!</definedName>
    <definedName name="RevCol15" localSheetId="17">#REF!</definedName>
    <definedName name="RevCol15">#REF!</definedName>
    <definedName name="RevCol16" localSheetId="17">#REF!</definedName>
    <definedName name="RevCol16">#REF!</definedName>
    <definedName name="RevCol17" localSheetId="17">#REF!</definedName>
    <definedName name="RevCol17">#REF!</definedName>
    <definedName name="RevCol18" localSheetId="17">#REF!</definedName>
    <definedName name="RevCol18">#REF!</definedName>
    <definedName name="RevCol19" localSheetId="17">#REF!</definedName>
    <definedName name="RevCol19">#REF!</definedName>
    <definedName name="RevCol20" localSheetId="17">#REF!</definedName>
    <definedName name="RevCol20">#REF!</definedName>
    <definedName name="RevCol21" localSheetId="17">#REF!</definedName>
    <definedName name="RevCol21">#REF!</definedName>
    <definedName name="RevCol22" localSheetId="17">#REF!</definedName>
    <definedName name="RevCol22">#REF!</definedName>
    <definedName name="RevCol23" localSheetId="17">#REF!</definedName>
    <definedName name="RevCol23">#REF!</definedName>
    <definedName name="RevCol24" localSheetId="17">#REF!</definedName>
    <definedName name="RevCol24">#REF!</definedName>
    <definedName name="RevCol25" localSheetId="17">#REF!</definedName>
    <definedName name="RevCol25">#REF!</definedName>
    <definedName name="RevCol26" localSheetId="17">#REF!</definedName>
    <definedName name="RevCol26">#REF!</definedName>
    <definedName name="RevCol27" localSheetId="17">#REF!</definedName>
    <definedName name="RevCol27">#REF!</definedName>
    <definedName name="RevCol28" localSheetId="17">#REF!</definedName>
    <definedName name="RevCol28">#REF!</definedName>
    <definedName name="RevCol29" localSheetId="17">#REF!</definedName>
    <definedName name="RevCol29">#REF!</definedName>
    <definedName name="RevCol30" localSheetId="17">#REF!</definedName>
    <definedName name="RevCol30">#REF!</definedName>
    <definedName name="RevCol31" localSheetId="17">#REF!</definedName>
    <definedName name="RevCol31">#REF!</definedName>
    <definedName name="RevCol32" localSheetId="17">#REF!</definedName>
    <definedName name="RevCol32">#REF!</definedName>
    <definedName name="RevCol33" localSheetId="17">#REF!</definedName>
    <definedName name="RevCol33">#REF!</definedName>
    <definedName name="RevCol34" localSheetId="17">#REF!</definedName>
    <definedName name="RevCol34">#REF!</definedName>
    <definedName name="RevCol35" localSheetId="17">#REF!</definedName>
    <definedName name="RevCol35">#REF!</definedName>
    <definedName name="RevCol36" localSheetId="17">#REF!</definedName>
    <definedName name="RevCol36">#REF!</definedName>
    <definedName name="RevCol37" localSheetId="17">#REF!</definedName>
    <definedName name="RevCol37">#REF!</definedName>
    <definedName name="RevColTmp" localSheetId="17">#REF!</definedName>
    <definedName name="RevColTmp">#REF!</definedName>
    <definedName name="RevColTmpA" localSheetId="17">#REF!</definedName>
    <definedName name="RevColTmpA">#REF!</definedName>
    <definedName name="RevColTmpB" localSheetId="17">#REF!</definedName>
    <definedName name="RevColTmpB">#REF!</definedName>
    <definedName name="revenues_hide_ku_01" localSheetId="17">'[4]KU Other Electric Revenues'!#REF!</definedName>
    <definedName name="revenues_hide_ku_01">'[4]KU Other Electric Revenues'!#REF!</definedName>
    <definedName name="revenues_ku_01" localSheetId="17">'[4]KU Other Electric Revenues'!#REF!</definedName>
    <definedName name="revenues_ku_01">'[4]KU Other Electric Revenues'!#REF!</definedName>
    <definedName name="RowDetails1" localSheetId="17">#REF!</definedName>
    <definedName name="RowDetails1">#REF!</definedName>
    <definedName name="RPTCOL" localSheetId="17">#REF!</definedName>
    <definedName name="RPTCOL">#REF!</definedName>
    <definedName name="RPTROW" localSheetId="17">#REF!</definedName>
    <definedName name="RPTROW">#REF!</definedName>
    <definedName name="Sales" localSheetId="17">'[4]LGE Sales'!#REF!</definedName>
    <definedName name="Sales">'[4]LGE Sales'!#REF!</definedName>
    <definedName name="sales_hide_ku_01" localSheetId="17">'[4]LGE Sales'!#REF!</definedName>
    <definedName name="sales_hide_ku_01">'[4]LGE Sales'!#REF!</definedName>
    <definedName name="sales_ku_01" localSheetId="17">'[4]LGE Sales'!#REF!</definedName>
    <definedName name="sales_ku_01">'[4]LGE Sales'!#REF!</definedName>
    <definedName name="sales_title_ku" localSheetId="17">'[4]LGE Sales'!#REF!</definedName>
    <definedName name="sales_title_ku">'[4]LGE Sales'!#REF!</definedName>
    <definedName name="SCHEDZ" localSheetId="17">#REF!</definedName>
    <definedName name="SCHEDZ">#REF!</definedName>
    <definedName name="shoot" localSheetId="17">#REF!</definedName>
    <definedName name="shoot">#REF!</definedName>
    <definedName name="START" localSheetId="17">#REF!</definedName>
    <definedName name="START">#REF!</definedName>
    <definedName name="START2" localSheetId="17">#REF!</definedName>
    <definedName name="START2">#REF!</definedName>
    <definedName name="START3" localSheetId="17">#REF!</definedName>
    <definedName name="START3">#REF!</definedName>
    <definedName name="Support" localSheetId="17">#REF!</definedName>
    <definedName name="Support">#REF!</definedName>
    <definedName name="SUPPORT5" localSheetId="17">#REF!</definedName>
    <definedName name="SUPPORT5">#REF!</definedName>
    <definedName name="SUPPORT6" localSheetId="17">#REF!</definedName>
    <definedName name="SUPPORT6">#REF!</definedName>
    <definedName name="TAX_RATE" localSheetId="17">'[7]#REF'!#REF!</definedName>
    <definedName name="TAX_RATE">'[7]#REF'!#REF!</definedName>
    <definedName name="TempReptgMo">[5]Input!$AG$19</definedName>
    <definedName name="TempReptgYr">[5]Input!$AG$21</definedName>
    <definedName name="TenyrNIAC" localSheetId="17">#REF!</definedName>
    <definedName name="TenyrNIAC">#REF!</definedName>
    <definedName name="TenyrRev" localSheetId="17">#REF!</definedName>
    <definedName name="TenyrRev">#REF!</definedName>
    <definedName name="test">[0]!test</definedName>
    <definedName name="Title" localSheetId="17">#REF!</definedName>
    <definedName name="Title">#REF!</definedName>
    <definedName name="Title_Choice" localSheetId="17">#REF!</definedName>
    <definedName name="Title_Choice">#REF!</definedName>
    <definedName name="Titles" localSheetId="17">#REF!</definedName>
    <definedName name="Titles">#REF!</definedName>
    <definedName name="Titles_KU" localSheetId="17">#REF!</definedName>
    <definedName name="Titles_KU">#REF!</definedName>
    <definedName name="TP_Footer_Path" hidden="1">"S:\75886\03WELF\WS\2004 contributions\"</definedName>
    <definedName name="TP_Footer_User" hidden="1">"northc"</definedName>
    <definedName name="TP_Footer_Version" hidden="1">"v3.00"</definedName>
    <definedName name="ttt" localSheetId="17">#REF!</definedName>
    <definedName name="ttt">#REF!</definedName>
    <definedName name="UpdateDate">[5]Input!$M$12</definedName>
    <definedName name="UpdateTime">[5]Input!$O$12</definedName>
    <definedName name="VALLEY" localSheetId="17">#REF!</definedName>
    <definedName name="VALLEY">#REF!</definedName>
    <definedName name="Variance" localSheetId="17">#REF!</definedName>
    <definedName name="Variance">#REF!</definedName>
    <definedName name="VIEW1" localSheetId="17">#REF!</definedName>
    <definedName name="VIEW1">#REF!</definedName>
    <definedName name="vol_rev_annual_ku" localSheetId="17">'[4]LGE Retail Margin'!#REF!</definedName>
    <definedName name="vol_rev_annual_ku">'[4]LGE Retail Margin'!#REF!</definedName>
    <definedName name="vol_rev_hide_ku_monthly" localSheetId="17">'[4]LGE Retail Margin'!#REF!</definedName>
    <definedName name="vol_rev_hide_ku_monthly">'[4]LGE Retail Margin'!#REF!</definedName>
    <definedName name="vol_rev_hide_lge_01" localSheetId="17">'[4]LGE Retail Margin'!#REF!</definedName>
    <definedName name="vol_rev_hide_lge_01">'[4]LGE Retail Margin'!#REF!</definedName>
    <definedName name="vol_rev_ku_monthly" localSheetId="17">'[4]LGE Retail Margin'!#REF!</definedName>
    <definedName name="vol_rev_ku_monthly">'[4]LGE Retail Margin'!#REF!</definedName>
    <definedName name="volrev_data" localSheetId="17">'[4]LGE Retail Margin'!#REF!</definedName>
    <definedName name="volrev_data">'[4]LGE Retail Margin'!#REF!</definedName>
    <definedName name="WORKERS" localSheetId="17">#REF!</definedName>
    <definedName name="WORKERS">#REF!</definedName>
    <definedName name="wrn.Benefits." localSheetId="26" hidden="1">{"Benefits Summary",#N/A,FALSE,"Benefits Info without WC Amount";"Medical and Dental Costs",#N/A,FALSE,"Benefits Info without WC Amount";"Workers' Compensation",#N/A,FALSE,"Benefits Info without WC Amount"}</definedName>
    <definedName name="wrn.Benefits." localSheetId="2" hidden="1">{"Benefits Summary",#N/A,FALSE,"Benefits Info without WC Amount";"Medical and Dental Costs",#N/A,FALSE,"Benefits Info without WC Amount";"Workers' Compensation",#N/A,FALSE,"Benefits Info without WC Amount"}</definedName>
    <definedName name="wrn.Benefits." localSheetId="3" hidden="1">{"Benefits Summary",#N/A,FALSE,"Benefits Info without WC Amount";"Medical and Dental Costs",#N/A,FALSE,"Benefits Info without WC Amount";"Workers' Compensation",#N/A,FALSE,"Benefits Info without WC Amount"}</definedName>
    <definedName name="wrn.Benefits." localSheetId="4" hidden="1">{"Benefits Summary",#N/A,FALSE,"Benefits Info without WC Amount";"Medical and Dental Costs",#N/A,FALSE,"Benefits Info without WC Amount";"Workers' Compensation",#N/A,FALSE,"Benefits Info without WC Amount"}</definedName>
    <definedName name="wrn.Benefits." localSheetId="5" hidden="1">{"Benefits Summary",#N/A,FALSE,"Benefits Info without WC Amount";"Medical and Dental Costs",#N/A,FALSE,"Benefits Info without WC Amount";"Workers' Compensation",#N/A,FALSE,"Benefits Info without WC Amount"}</definedName>
    <definedName name="wrn.Benefits." localSheetId="7" hidden="1">{"Benefits Summary",#N/A,FALSE,"Benefits Info without WC Amount";"Medical and Dental Costs",#N/A,FALSE,"Benefits Info without WC Amount";"Workers' Compensation",#N/A,FALSE,"Benefits Info without WC Amount"}</definedName>
    <definedName name="wrn.Benefits." localSheetId="8" hidden="1">{"Benefits Summary",#N/A,FALSE,"Benefits Info without WC Amount";"Medical and Dental Costs",#N/A,FALSE,"Benefits Info without WC Amount";"Workers' Compensation",#N/A,FALSE,"Benefits Info without WC Amount"}</definedName>
    <definedName name="wrn.Benefits." localSheetId="9" hidden="1">{"Benefits Summary",#N/A,FALSE,"Benefits Info without WC Amount";"Medical and Dental Costs",#N/A,FALSE,"Benefits Info without WC Amount";"Workers' Compensation",#N/A,FALSE,"Benefits Info without WC Amount"}</definedName>
    <definedName name="wrn.Benefits." localSheetId="10" hidden="1">{"Benefits Summary",#N/A,FALSE,"Benefits Info without WC Amount";"Medical and Dental Costs",#N/A,FALSE,"Benefits Info without WC Amount";"Workers' Compensation",#N/A,FALSE,"Benefits Info without WC Amount"}</definedName>
    <definedName name="wrn.Benefits." localSheetId="11" hidden="1">{"Benefits Summary",#N/A,FALSE,"Benefits Info without WC Amount";"Medical and Dental Costs",#N/A,FALSE,"Benefits Info without WC Amount";"Workers' Compensation",#N/A,FALSE,"Benefits Info without WC Amount"}</definedName>
    <definedName name="wrn.Benefits." localSheetId="12" hidden="1">{"Benefits Summary",#N/A,FALSE,"Benefits Info without WC Amount";"Medical and Dental Costs",#N/A,FALSE,"Benefits Info without WC Amount";"Workers' Compensation",#N/A,FALSE,"Benefits Info without WC Amount"}</definedName>
    <definedName name="wrn.Benefits." localSheetId="16" hidden="1">{"Benefits Summary",#N/A,FALSE,"Benefits Info without WC Amount";"Medical and Dental Costs",#N/A,FALSE,"Benefits Info without WC Amount";"Workers' Compensation",#N/A,FALSE,"Benefits Info without WC Amount"}</definedName>
    <definedName name="wrn.Benefits." localSheetId="17" hidden="1">{"Benefits Summary",#N/A,FALSE,"Benefits Info without WC Amount";"Medical and Dental Costs",#N/A,FALSE,"Benefits Info without WC Amount";"Workers' Compensation",#N/A,FALSE,"Benefits Info without WC Amount"}</definedName>
    <definedName name="wrn.Benefits." localSheetId="18" hidden="1">{"Benefits Summary",#N/A,FALSE,"Benefits Info without WC Amount";"Medical and Dental Costs",#N/A,FALSE,"Benefits Info without WC Amount";"Workers' Compensation",#N/A,FALSE,"Benefits Info without WC Amount"}</definedName>
    <definedName name="wrn.Benefits." localSheetId="0" hidden="1">{"Benefits Summary",#N/A,FALSE,"Benefits Info without WC Amount";"Medical and Dental Costs",#N/A,FALSE,"Benefits Info without WC Amount";"Workers' Compensation",#N/A,FALSE,"Benefits Info without WC Amount"}</definedName>
    <definedName name="wrn.Benefits." localSheetId="1" hidden="1">{"Benefits Summary",#N/A,FALSE,"Benefits Info without WC Amount";"Medical and Dental Costs",#N/A,FALSE,"Benefits Info without WC Amount";"Workers' Compensation",#N/A,FALSE,"Benefits Info without WC Amount"}</definedName>
    <definedName name="wrn.Benefits." localSheetId="27" hidden="1">{"Benefits Summary",#N/A,FALSE,"Benefits Info without WC Amount";"Medical and Dental Costs",#N/A,FALSE,"Benefits Info without WC Amount";"Workers' Compensation",#N/A,FALSE,"Benefits Info without WC Amount"}</definedName>
    <definedName name="wrn.Benefits." localSheetId="21" hidden="1">{"Benefits Summary",#N/A,FALSE,"Benefits Info without WC Amount";"Medical and Dental Costs",#N/A,FALSE,"Benefits Info without WC Amount";"Workers' Compensation",#N/A,FALSE,"Benefits Info without WC Amount"}</definedName>
    <definedName name="wrn.Benefits." localSheetId="19" hidden="1">{"Benefits Summary",#N/A,FALSE,"Benefits Info without WC Amount";"Medical and Dental Costs",#N/A,FALSE,"Benefits Info without WC Amount";"Workers' Compensation",#N/A,FALSE,"Benefits Info without WC Amount"}</definedName>
    <definedName name="wrn.Benefits." localSheetId="20" hidden="1">{"Benefits Summary",#N/A,FALSE,"Benefits Info without WC Amount";"Medical and Dental Costs",#N/A,FALSE,"Benefits Info without WC Amount";"Workers' Compensation",#N/A,FALSE,"Benefits Info without WC Amount"}</definedName>
    <definedName name="wrn.Benefits." hidden="1">{"Benefits Summary",#N/A,FALSE,"Benefits Info without WC Amount";"Medical and Dental Costs",#N/A,FALSE,"Benefits Info without WC Amount";"Workers' Compensation",#N/A,FALSE,"Benefits Info without WC Amount"}</definedName>
    <definedName name="x" localSheetId="26" hidden="1">{"Benefits Summary",#N/A,FALSE,"Benefits Info without WC Amount";"Medical and Dental Costs",#N/A,FALSE,"Benefits Info without WC Amount";"Workers' Compensation",#N/A,FALSE,"Benefits Info without WC Amount"}</definedName>
    <definedName name="x" localSheetId="2" hidden="1">{"Benefits Summary",#N/A,FALSE,"Benefits Info without WC Amount";"Medical and Dental Costs",#N/A,FALSE,"Benefits Info without WC Amount";"Workers' Compensation",#N/A,FALSE,"Benefits Info without WC Amount"}</definedName>
    <definedName name="x" localSheetId="3" hidden="1">{"Benefits Summary",#N/A,FALSE,"Benefits Info without WC Amount";"Medical and Dental Costs",#N/A,FALSE,"Benefits Info without WC Amount";"Workers' Compensation",#N/A,FALSE,"Benefits Info without WC Amount"}</definedName>
    <definedName name="x" localSheetId="4" hidden="1">{"Benefits Summary",#N/A,FALSE,"Benefits Info without WC Amount";"Medical and Dental Costs",#N/A,FALSE,"Benefits Info without WC Amount";"Workers' Compensation",#N/A,FALSE,"Benefits Info without WC Amount"}</definedName>
    <definedName name="x" localSheetId="5" hidden="1">{"Benefits Summary",#N/A,FALSE,"Benefits Info without WC Amount";"Medical and Dental Costs",#N/A,FALSE,"Benefits Info without WC Amount";"Workers' Compensation",#N/A,FALSE,"Benefits Info without WC Amount"}</definedName>
    <definedName name="x" localSheetId="7" hidden="1">{"Benefits Summary",#N/A,FALSE,"Benefits Info without WC Amount";"Medical and Dental Costs",#N/A,FALSE,"Benefits Info without WC Amount";"Workers' Compensation",#N/A,FALSE,"Benefits Info without WC Amount"}</definedName>
    <definedName name="x" localSheetId="8" hidden="1">{"Benefits Summary",#N/A,FALSE,"Benefits Info without WC Amount";"Medical and Dental Costs",#N/A,FALSE,"Benefits Info without WC Amount";"Workers' Compensation",#N/A,FALSE,"Benefits Info without WC Amount"}</definedName>
    <definedName name="x" localSheetId="9" hidden="1">{"Benefits Summary",#N/A,FALSE,"Benefits Info without WC Amount";"Medical and Dental Costs",#N/A,FALSE,"Benefits Info without WC Amount";"Workers' Compensation",#N/A,FALSE,"Benefits Info without WC Amount"}</definedName>
    <definedName name="x" localSheetId="10" hidden="1">{"Benefits Summary",#N/A,FALSE,"Benefits Info without WC Amount";"Medical and Dental Costs",#N/A,FALSE,"Benefits Info without WC Amount";"Workers' Compensation",#N/A,FALSE,"Benefits Info without WC Amount"}</definedName>
    <definedName name="x" localSheetId="11" hidden="1">{"Benefits Summary",#N/A,FALSE,"Benefits Info without WC Amount";"Medical and Dental Costs",#N/A,FALSE,"Benefits Info without WC Amount";"Workers' Compensation",#N/A,FALSE,"Benefits Info without WC Amount"}</definedName>
    <definedName name="x" localSheetId="12" hidden="1">{"Benefits Summary",#N/A,FALSE,"Benefits Info without WC Amount";"Medical and Dental Costs",#N/A,FALSE,"Benefits Info without WC Amount";"Workers' Compensation",#N/A,FALSE,"Benefits Info without WC Amount"}</definedName>
    <definedName name="x" localSheetId="16" hidden="1">{"Benefits Summary",#N/A,FALSE,"Benefits Info without WC Amount";"Medical and Dental Costs",#N/A,FALSE,"Benefits Info without WC Amount";"Workers' Compensation",#N/A,FALSE,"Benefits Info without WC Amount"}</definedName>
    <definedName name="x" localSheetId="17" hidden="1">{"Benefits Summary",#N/A,FALSE,"Benefits Info without WC Amount";"Medical and Dental Costs",#N/A,FALSE,"Benefits Info without WC Amount";"Workers' Compensation",#N/A,FALSE,"Benefits Info without WC Amount"}</definedName>
    <definedName name="x" localSheetId="18" hidden="1">{"Benefits Summary",#N/A,FALSE,"Benefits Info without WC Amount";"Medical and Dental Costs",#N/A,FALSE,"Benefits Info without WC Amount";"Workers' Compensation",#N/A,FALSE,"Benefits Info without WC Amount"}</definedName>
    <definedName name="x" localSheetId="0" hidden="1">{"Benefits Summary",#N/A,FALSE,"Benefits Info without WC Amount";"Medical and Dental Costs",#N/A,FALSE,"Benefits Info without WC Amount";"Workers' Compensation",#N/A,FALSE,"Benefits Info without WC Amount"}</definedName>
    <definedName name="x" localSheetId="1" hidden="1">{"Benefits Summary",#N/A,FALSE,"Benefits Info without WC Amount";"Medical and Dental Costs",#N/A,FALSE,"Benefits Info without WC Amount";"Workers' Compensation",#N/A,FALSE,"Benefits Info without WC Amount"}</definedName>
    <definedName name="x" localSheetId="27" hidden="1">{"Benefits Summary",#N/A,FALSE,"Benefits Info without WC Amount";"Medical and Dental Costs",#N/A,FALSE,"Benefits Info without WC Amount";"Workers' Compensation",#N/A,FALSE,"Benefits Info without WC Amount"}</definedName>
    <definedName name="x" localSheetId="21" hidden="1">{"Benefits Summary",#N/A,FALSE,"Benefits Info without WC Amount";"Medical and Dental Costs",#N/A,FALSE,"Benefits Info without WC Amount";"Workers' Compensation",#N/A,FALSE,"Benefits Info without WC Amount"}</definedName>
    <definedName name="x" localSheetId="19" hidden="1">{"Benefits Summary",#N/A,FALSE,"Benefits Info without WC Amount";"Medical and Dental Costs",#N/A,FALSE,"Benefits Info without WC Amount";"Workers' Compensation",#N/A,FALSE,"Benefits Info without WC Amount"}</definedName>
    <definedName name="x" localSheetId="20" hidden="1">{"Benefits Summary",#N/A,FALSE,"Benefits Info without WC Amount";"Medical and Dental Costs",#N/A,FALSE,"Benefits Info without WC Amount";"Workers' Compensation",#N/A,FALSE,"Benefits Info without WC Amount"}</definedName>
    <definedName name="x" hidden="1">{"Benefits Summary",#N/A,FALSE,"Benefits Info without WC Amount";"Medical and Dental Costs",#N/A,FALSE,"Benefits Info without WC Amount";"Workers' Compensation",#N/A,FALSE,"Benefits Info without WC Amount"}</definedName>
    <definedName name="YTD" localSheetId="17">#REF!</definedName>
    <definedName name="YTD">#REF!</definedName>
    <definedName name="Z_23F18827_7997_11D6_8750_00508BD3B3BA_.wvu.Cols" localSheetId="23" hidden="1">#REF!,#REF!</definedName>
    <definedName name="Z_23F18827_7997_11D6_8750_00508BD3B3BA_.wvu.Cols" localSheetId="25" hidden="1">#REF!,#REF!</definedName>
    <definedName name="Z_23F18827_7997_11D6_8750_00508BD3B3BA_.wvu.Cols" localSheetId="3" hidden="1">#REF!,#REF!</definedName>
    <definedName name="Z_23F18827_7997_11D6_8750_00508BD3B3BA_.wvu.Cols" localSheetId="4" hidden="1">#REF!,#REF!</definedName>
    <definedName name="Z_23F18827_7997_11D6_8750_00508BD3B3BA_.wvu.Cols" localSheetId="5" hidden="1">#REF!,#REF!</definedName>
    <definedName name="Z_23F18827_7997_11D6_8750_00508BD3B3BA_.wvu.Cols" localSheetId="7" hidden="1">#REF!,#REF!</definedName>
    <definedName name="Z_23F18827_7997_11D6_8750_00508BD3B3BA_.wvu.Cols" localSheetId="8" hidden="1">#REF!,#REF!</definedName>
    <definedName name="Z_23F18827_7997_11D6_8750_00508BD3B3BA_.wvu.Cols" localSheetId="9" hidden="1">#REF!,#REF!</definedName>
    <definedName name="Z_23F18827_7997_11D6_8750_00508BD3B3BA_.wvu.Cols" localSheetId="16" hidden="1">#REF!,#REF!</definedName>
    <definedName name="Z_23F18827_7997_11D6_8750_00508BD3B3BA_.wvu.Cols" localSheetId="17" hidden="1">#REF!,#REF!</definedName>
    <definedName name="Z_23F18827_7997_11D6_8750_00508BD3B3BA_.wvu.Cols" localSheetId="1" hidden="1">#REF!,#REF!</definedName>
    <definedName name="Z_23F18827_7997_11D6_8750_00508BD3B3BA_.wvu.Cols" hidden="1">#REF!,#REF!</definedName>
    <definedName name="Z_23F18827_7997_11D6_8750_00508BD3B3BA_.wvu.PrintArea" localSheetId="23" hidden="1">#REF!</definedName>
    <definedName name="Z_23F18827_7997_11D6_8750_00508BD3B3BA_.wvu.PrintArea" localSheetId="25" hidden="1">#REF!</definedName>
    <definedName name="Z_23F18827_7997_11D6_8750_00508BD3B3BA_.wvu.PrintArea" localSheetId="3" hidden="1">#REF!</definedName>
    <definedName name="Z_23F18827_7997_11D6_8750_00508BD3B3BA_.wvu.PrintArea" localSheetId="4" hidden="1">#REF!</definedName>
    <definedName name="Z_23F18827_7997_11D6_8750_00508BD3B3BA_.wvu.PrintArea" localSheetId="5" hidden="1">#REF!</definedName>
    <definedName name="Z_23F18827_7997_11D6_8750_00508BD3B3BA_.wvu.PrintArea" localSheetId="7" hidden="1">#REF!</definedName>
    <definedName name="Z_23F18827_7997_11D6_8750_00508BD3B3BA_.wvu.PrintArea" localSheetId="8" hidden="1">#REF!</definedName>
    <definedName name="Z_23F18827_7997_11D6_8750_00508BD3B3BA_.wvu.PrintArea" localSheetId="9" hidden="1">#REF!</definedName>
    <definedName name="Z_23F18827_7997_11D6_8750_00508BD3B3BA_.wvu.PrintArea" localSheetId="16" hidden="1">#REF!</definedName>
    <definedName name="Z_23F18827_7997_11D6_8750_00508BD3B3BA_.wvu.PrintArea" localSheetId="17" hidden="1">#REF!</definedName>
    <definedName name="Z_23F18827_7997_11D6_8750_00508BD3B3BA_.wvu.PrintArea" localSheetId="1" hidden="1">#REF!</definedName>
    <definedName name="Z_23F18827_7997_11D6_8750_00508BD3B3BA_.wvu.PrintArea" hidden="1">#REF!</definedName>
  </definedNames>
  <calcPr calcId="145621"/>
</workbook>
</file>

<file path=xl/calcChain.xml><?xml version="1.0" encoding="utf-8"?>
<calcChain xmlns="http://schemas.openxmlformats.org/spreadsheetml/2006/main">
  <c r="D12" i="2" l="1"/>
  <c r="D13" i="2"/>
  <c r="D14" i="2"/>
  <c r="D15" i="2"/>
  <c r="D16" i="2"/>
  <c r="D17" i="2"/>
  <c r="D20" i="2"/>
  <c r="D21" i="2"/>
  <c r="D23" i="2" s="1"/>
  <c r="D25" i="2" s="1"/>
  <c r="D13" i="17" l="1"/>
  <c r="I20" i="34" l="1"/>
  <c r="I19" i="3"/>
  <c r="H113" i="36" l="1"/>
  <c r="H113" i="1"/>
  <c r="K17" i="50"/>
  <c r="E99" i="36"/>
  <c r="E98" i="1"/>
  <c r="E86" i="16"/>
  <c r="G82" i="16"/>
  <c r="H82" i="16" s="1"/>
  <c r="B16" i="18" l="1"/>
  <c r="D12" i="17"/>
  <c r="L10" i="51"/>
  <c r="L14" i="51" s="1"/>
  <c r="L16" i="51" s="1"/>
  <c r="L17" i="51" s="1"/>
  <c r="F14" i="21"/>
  <c r="D12" i="35" s="1"/>
  <c r="D14" i="21"/>
  <c r="L18" i="51" l="1"/>
  <c r="J12" i="18"/>
  <c r="C19" i="24"/>
  <c r="A20" i="24"/>
  <c r="A19" i="24"/>
  <c r="A18" i="24"/>
  <c r="A17" i="24"/>
  <c r="A16" i="24"/>
  <c r="A15" i="24"/>
  <c r="A14" i="24"/>
  <c r="K57" i="50"/>
  <c r="K60" i="50" s="1"/>
  <c r="M17" i="50"/>
  <c r="K26" i="50" l="1"/>
  <c r="K27" i="50" s="1"/>
  <c r="K43" i="50"/>
  <c r="K44" i="50" s="1"/>
  <c r="K45" i="50" s="1"/>
  <c r="K47" i="50" s="1"/>
  <c r="K49" i="50" s="1"/>
  <c r="K19" i="50" s="1"/>
  <c r="K21" i="50" s="1"/>
  <c r="M26" i="50"/>
  <c r="M27" i="50" s="1"/>
  <c r="M43" i="50"/>
  <c r="M44" i="50" s="1"/>
  <c r="M45" i="50" s="1"/>
  <c r="M47" i="50" s="1"/>
  <c r="M49" i="50" s="1"/>
  <c r="M19" i="50" s="1"/>
  <c r="M21" i="50" s="1"/>
  <c r="K28" i="50" l="1"/>
  <c r="K30" i="50" s="1"/>
  <c r="K32" i="50" s="1"/>
  <c r="K34" i="50" s="1"/>
  <c r="K36" i="50" s="1"/>
  <c r="M28" i="50"/>
  <c r="M30" i="50" s="1"/>
  <c r="M32" i="50" s="1"/>
  <c r="M34" i="50" s="1"/>
  <c r="M36" i="50" s="1"/>
  <c r="L13" i="49" l="1"/>
  <c r="H13" i="49"/>
  <c r="L11" i="49"/>
  <c r="H11" i="49"/>
  <c r="R19" i="49"/>
  <c r="J104" i="48"/>
  <c r="N104" i="48" s="1"/>
  <c r="J103" i="48"/>
  <c r="J105" i="48" s="1"/>
  <c r="J100" i="48"/>
  <c r="N100" i="48" s="1"/>
  <c r="J99" i="48"/>
  <c r="J101" i="48" s="1"/>
  <c r="J96" i="48"/>
  <c r="N96" i="48" s="1"/>
  <c r="J95" i="48"/>
  <c r="J97" i="48" s="1"/>
  <c r="J92" i="48"/>
  <c r="J93" i="48" s="1"/>
  <c r="J91" i="48"/>
  <c r="N91" i="48" s="1"/>
  <c r="J88" i="48"/>
  <c r="N88" i="48" s="1"/>
  <c r="J87" i="48"/>
  <c r="N87" i="48" s="1"/>
  <c r="J84" i="48"/>
  <c r="J85" i="48" s="1"/>
  <c r="J83" i="48"/>
  <c r="N83" i="48" s="1"/>
  <c r="J80" i="48"/>
  <c r="N80" i="48" s="1"/>
  <c r="J79" i="48"/>
  <c r="N79" i="48" s="1"/>
  <c r="J76" i="48"/>
  <c r="N76" i="48" s="1"/>
  <c r="J75" i="48"/>
  <c r="J72" i="48"/>
  <c r="N72" i="48" s="1"/>
  <c r="J71" i="48"/>
  <c r="J68" i="48"/>
  <c r="N68" i="48" s="1"/>
  <c r="J67" i="48"/>
  <c r="J64" i="48"/>
  <c r="N64" i="48" s="1"/>
  <c r="J63" i="48"/>
  <c r="J60" i="48"/>
  <c r="J61" i="48" s="1"/>
  <c r="J59" i="48"/>
  <c r="N59" i="48" s="1"/>
  <c r="J56" i="48"/>
  <c r="N56" i="48" s="1"/>
  <c r="J55" i="48"/>
  <c r="J57" i="48" s="1"/>
  <c r="J52" i="48"/>
  <c r="N52" i="48" s="1"/>
  <c r="J51" i="48"/>
  <c r="J53" i="48" s="1"/>
  <c r="J44" i="48"/>
  <c r="N44" i="48" s="1"/>
  <c r="J43" i="48"/>
  <c r="J45" i="48" s="1"/>
  <c r="J40" i="48"/>
  <c r="N40" i="48" s="1"/>
  <c r="J39" i="48"/>
  <c r="J36" i="48"/>
  <c r="N36" i="48" s="1"/>
  <c r="J35" i="48"/>
  <c r="J37" i="48" s="1"/>
  <c r="J32" i="48"/>
  <c r="N32" i="48" s="1"/>
  <c r="J31" i="48"/>
  <c r="J28" i="48"/>
  <c r="N28" i="48" s="1"/>
  <c r="J27" i="48"/>
  <c r="J24" i="48"/>
  <c r="N24" i="48" s="1"/>
  <c r="J23" i="48"/>
  <c r="J20" i="48"/>
  <c r="N20" i="48" s="1"/>
  <c r="J19" i="48"/>
  <c r="J16" i="48"/>
  <c r="N16" i="48" s="1"/>
  <c r="J15" i="48"/>
  <c r="J12" i="48"/>
  <c r="N12" i="48" s="1"/>
  <c r="J11" i="48"/>
  <c r="J48" i="48"/>
  <c r="N48" i="48" s="1"/>
  <c r="J47" i="48"/>
  <c r="N47" i="48" s="1"/>
  <c r="J17" i="48" l="1"/>
  <c r="J65" i="48"/>
  <c r="J73" i="48"/>
  <c r="J49" i="48"/>
  <c r="N63" i="48"/>
  <c r="N13" i="49"/>
  <c r="P13" i="49" s="1"/>
  <c r="R13" i="49" s="1"/>
  <c r="N11" i="49"/>
  <c r="P11" i="49" s="1"/>
  <c r="R11" i="49" s="1"/>
  <c r="R17" i="49" s="1"/>
  <c r="J25" i="48"/>
  <c r="N103" i="48"/>
  <c r="N105" i="48" s="1"/>
  <c r="N99" i="48"/>
  <c r="N101" i="48" s="1"/>
  <c r="N95" i="48"/>
  <c r="N97" i="48" s="1"/>
  <c r="N92" i="48"/>
  <c r="N93" i="48"/>
  <c r="N89" i="48"/>
  <c r="J89" i="48"/>
  <c r="N84" i="48"/>
  <c r="N85" i="48" s="1"/>
  <c r="N81" i="48"/>
  <c r="J81" i="48"/>
  <c r="J77" i="48"/>
  <c r="N75" i="48"/>
  <c r="N77" i="48" s="1"/>
  <c r="N71" i="48"/>
  <c r="N73" i="48" s="1"/>
  <c r="J69" i="48"/>
  <c r="N67" i="48"/>
  <c r="N69" i="48" s="1"/>
  <c r="N65" i="48"/>
  <c r="N60" i="48"/>
  <c r="N61" i="48" s="1"/>
  <c r="N55" i="48"/>
  <c r="N57" i="48" s="1"/>
  <c r="N51" i="48"/>
  <c r="N53" i="48" s="1"/>
  <c r="N43" i="48"/>
  <c r="N45" i="48" s="1"/>
  <c r="J41" i="48"/>
  <c r="N39" i="48"/>
  <c r="N41" i="48" s="1"/>
  <c r="N35" i="48"/>
  <c r="N37" i="48" s="1"/>
  <c r="J33" i="48"/>
  <c r="N31" i="48"/>
  <c r="N33" i="48" s="1"/>
  <c r="J29" i="48"/>
  <c r="N27" i="48"/>
  <c r="N29" i="48" s="1"/>
  <c r="N23" i="48"/>
  <c r="N25" i="48" s="1"/>
  <c r="J21" i="48"/>
  <c r="N19" i="48"/>
  <c r="N21" i="48" s="1"/>
  <c r="N15" i="48"/>
  <c r="N17" i="48" s="1"/>
  <c r="J13" i="48"/>
  <c r="N11" i="48"/>
  <c r="N13" i="48" s="1"/>
  <c r="R21" i="49" l="1"/>
  <c r="J25" i="49" l="1"/>
  <c r="N25" i="49"/>
  <c r="N26" i="49" s="1"/>
  <c r="N27" i="49" s="1"/>
  <c r="X111" i="48"/>
  <c r="H105" i="48"/>
  <c r="F105" i="48"/>
  <c r="H101" i="48"/>
  <c r="F101" i="48"/>
  <c r="H97" i="48"/>
  <c r="F97" i="48"/>
  <c r="H93" i="48"/>
  <c r="F93" i="48"/>
  <c r="H89" i="48"/>
  <c r="F89" i="48"/>
  <c r="H85" i="48"/>
  <c r="F85" i="48"/>
  <c r="H81" i="48"/>
  <c r="F81" i="48"/>
  <c r="H77" i="48"/>
  <c r="F77" i="48"/>
  <c r="H73" i="48"/>
  <c r="F73" i="48"/>
  <c r="H69" i="48"/>
  <c r="F69" i="48"/>
  <c r="H65" i="48"/>
  <c r="F65" i="48"/>
  <c r="H61" i="48"/>
  <c r="F61" i="48"/>
  <c r="H57" i="48"/>
  <c r="F57" i="48"/>
  <c r="H53" i="48"/>
  <c r="F53" i="48"/>
  <c r="H49" i="48"/>
  <c r="F49" i="48"/>
  <c r="H45" i="48"/>
  <c r="F45" i="48"/>
  <c r="H41" i="48"/>
  <c r="F41" i="48"/>
  <c r="H37" i="48"/>
  <c r="F37" i="48"/>
  <c r="H33" i="48"/>
  <c r="F33" i="48"/>
  <c r="H29" i="48"/>
  <c r="F29" i="48"/>
  <c r="H25" i="48"/>
  <c r="F25" i="48"/>
  <c r="H21" i="48"/>
  <c r="F21" i="48"/>
  <c r="H17" i="48"/>
  <c r="F17" i="48"/>
  <c r="H13" i="48"/>
  <c r="F13" i="48"/>
  <c r="V111" i="46"/>
  <c r="H105" i="46"/>
  <c r="F105" i="46"/>
  <c r="P104" i="46"/>
  <c r="R104" i="46" s="1"/>
  <c r="L104" i="46"/>
  <c r="N104" i="46" s="1"/>
  <c r="P103" i="46"/>
  <c r="R103" i="46" s="1"/>
  <c r="L103" i="46"/>
  <c r="N103" i="46" s="1"/>
  <c r="H101" i="46"/>
  <c r="F101" i="46"/>
  <c r="P100" i="46"/>
  <c r="R100" i="46" s="1"/>
  <c r="L100" i="46"/>
  <c r="N100" i="46" s="1"/>
  <c r="P99" i="46"/>
  <c r="R99" i="46" s="1"/>
  <c r="L99" i="46"/>
  <c r="H97" i="46"/>
  <c r="F97" i="46"/>
  <c r="P96" i="46"/>
  <c r="R96" i="46" s="1"/>
  <c r="L96" i="46"/>
  <c r="N96" i="46" s="1"/>
  <c r="P95" i="46"/>
  <c r="R95" i="46" s="1"/>
  <c r="L95" i="46"/>
  <c r="N95" i="46" s="1"/>
  <c r="H93" i="46"/>
  <c r="F93" i="46"/>
  <c r="P92" i="46"/>
  <c r="R92" i="46" s="1"/>
  <c r="L92" i="46"/>
  <c r="N92" i="46" s="1"/>
  <c r="P91" i="46"/>
  <c r="R91" i="46" s="1"/>
  <c r="L91" i="46"/>
  <c r="H89" i="46"/>
  <c r="F89" i="46"/>
  <c r="P88" i="46"/>
  <c r="R88" i="46" s="1"/>
  <c r="L88" i="46"/>
  <c r="N88" i="46" s="1"/>
  <c r="P87" i="46"/>
  <c r="R87" i="46" s="1"/>
  <c r="L87" i="46"/>
  <c r="H85" i="46"/>
  <c r="F85" i="46"/>
  <c r="P84" i="46"/>
  <c r="R84" i="46" s="1"/>
  <c r="L84" i="46"/>
  <c r="N84" i="46" s="1"/>
  <c r="P83" i="46"/>
  <c r="R83" i="46" s="1"/>
  <c r="L83" i="46"/>
  <c r="N83" i="46" s="1"/>
  <c r="H81" i="46"/>
  <c r="F81" i="46"/>
  <c r="P80" i="46"/>
  <c r="R80" i="46" s="1"/>
  <c r="L80" i="46"/>
  <c r="N80" i="46" s="1"/>
  <c r="P79" i="46"/>
  <c r="R79" i="46" s="1"/>
  <c r="L79" i="46"/>
  <c r="H77" i="46"/>
  <c r="F77" i="46"/>
  <c r="P76" i="46"/>
  <c r="R76" i="46" s="1"/>
  <c r="L76" i="46"/>
  <c r="N76" i="46" s="1"/>
  <c r="P75" i="46"/>
  <c r="R75" i="46" s="1"/>
  <c r="L75" i="46"/>
  <c r="H73" i="46"/>
  <c r="F73" i="46"/>
  <c r="P72" i="46"/>
  <c r="R72" i="46" s="1"/>
  <c r="L72" i="46"/>
  <c r="N72" i="46" s="1"/>
  <c r="P71" i="46"/>
  <c r="R71" i="46" s="1"/>
  <c r="L71" i="46"/>
  <c r="N71" i="46" s="1"/>
  <c r="H69" i="46"/>
  <c r="F69" i="46"/>
  <c r="P68" i="46"/>
  <c r="R68" i="46" s="1"/>
  <c r="L68" i="46"/>
  <c r="N68" i="46" s="1"/>
  <c r="P67" i="46"/>
  <c r="R67" i="46" s="1"/>
  <c r="L67" i="46"/>
  <c r="H65" i="46"/>
  <c r="F65" i="46"/>
  <c r="P64" i="46"/>
  <c r="R64" i="46" s="1"/>
  <c r="L64" i="46"/>
  <c r="N64" i="46" s="1"/>
  <c r="P63" i="46"/>
  <c r="R63" i="46" s="1"/>
  <c r="L63" i="46"/>
  <c r="H61" i="46"/>
  <c r="F61" i="46"/>
  <c r="P60" i="46"/>
  <c r="R60" i="46" s="1"/>
  <c r="L60" i="46"/>
  <c r="N60" i="46" s="1"/>
  <c r="P59" i="46"/>
  <c r="R59" i="46" s="1"/>
  <c r="L59" i="46"/>
  <c r="H57" i="46"/>
  <c r="F57" i="46"/>
  <c r="P56" i="46"/>
  <c r="R56" i="46" s="1"/>
  <c r="L56" i="46"/>
  <c r="N56" i="46" s="1"/>
  <c r="P55" i="46"/>
  <c r="R55" i="46" s="1"/>
  <c r="L55" i="46"/>
  <c r="N55" i="46" s="1"/>
  <c r="H53" i="46"/>
  <c r="F53" i="46"/>
  <c r="P52" i="46"/>
  <c r="R52" i="46" s="1"/>
  <c r="L52" i="46"/>
  <c r="N52" i="46" s="1"/>
  <c r="P51" i="46"/>
  <c r="R51" i="46" s="1"/>
  <c r="L51" i="46"/>
  <c r="N51" i="46" s="1"/>
  <c r="H49" i="46"/>
  <c r="F49" i="46"/>
  <c r="P48" i="46"/>
  <c r="R48" i="46" s="1"/>
  <c r="L48" i="46"/>
  <c r="N48" i="46" s="1"/>
  <c r="P47" i="46"/>
  <c r="R47" i="46" s="1"/>
  <c r="L47" i="46"/>
  <c r="N47" i="46" s="1"/>
  <c r="H45" i="46"/>
  <c r="F45" i="46"/>
  <c r="P44" i="46"/>
  <c r="R44" i="46" s="1"/>
  <c r="L44" i="46"/>
  <c r="N44" i="46" s="1"/>
  <c r="P43" i="46"/>
  <c r="R43" i="46" s="1"/>
  <c r="L43" i="46"/>
  <c r="H41" i="46"/>
  <c r="F41" i="46"/>
  <c r="P40" i="46"/>
  <c r="R40" i="46" s="1"/>
  <c r="L40" i="46"/>
  <c r="N40" i="46" s="1"/>
  <c r="P39" i="46"/>
  <c r="R39" i="46" s="1"/>
  <c r="L39" i="46"/>
  <c r="N39" i="46" s="1"/>
  <c r="H37" i="46"/>
  <c r="F37" i="46"/>
  <c r="P36" i="46"/>
  <c r="R36" i="46" s="1"/>
  <c r="L36" i="46"/>
  <c r="N36" i="46" s="1"/>
  <c r="P35" i="46"/>
  <c r="R35" i="46" s="1"/>
  <c r="L35" i="46"/>
  <c r="H33" i="46"/>
  <c r="F33" i="46"/>
  <c r="P32" i="46"/>
  <c r="R32" i="46" s="1"/>
  <c r="L32" i="46"/>
  <c r="N32" i="46" s="1"/>
  <c r="P31" i="46"/>
  <c r="R31" i="46" s="1"/>
  <c r="L31" i="46"/>
  <c r="H29" i="46"/>
  <c r="F29" i="46"/>
  <c r="P28" i="46"/>
  <c r="R28" i="46" s="1"/>
  <c r="L28" i="46"/>
  <c r="N28" i="46" s="1"/>
  <c r="P27" i="46"/>
  <c r="R27" i="46" s="1"/>
  <c r="L27" i="46"/>
  <c r="N27" i="46" s="1"/>
  <c r="H25" i="46"/>
  <c r="F25" i="46"/>
  <c r="P24" i="46"/>
  <c r="R24" i="46" s="1"/>
  <c r="L24" i="46"/>
  <c r="N24" i="46" s="1"/>
  <c r="P23" i="46"/>
  <c r="R23" i="46" s="1"/>
  <c r="L23" i="46"/>
  <c r="H21" i="46"/>
  <c r="F21" i="46"/>
  <c r="P20" i="46"/>
  <c r="R20" i="46" s="1"/>
  <c r="L20" i="46"/>
  <c r="N20" i="46" s="1"/>
  <c r="P19" i="46"/>
  <c r="R19" i="46" s="1"/>
  <c r="L19" i="46"/>
  <c r="N19" i="46" s="1"/>
  <c r="H17" i="46"/>
  <c r="F17" i="46"/>
  <c r="P16" i="46"/>
  <c r="R16" i="46" s="1"/>
  <c r="L16" i="46"/>
  <c r="N16" i="46" s="1"/>
  <c r="P15" i="46"/>
  <c r="R15" i="46" s="1"/>
  <c r="L15" i="46"/>
  <c r="P12" i="46"/>
  <c r="R12" i="46" s="1"/>
  <c r="P11" i="46"/>
  <c r="R11" i="46" s="1"/>
  <c r="H13" i="46"/>
  <c r="F13" i="46"/>
  <c r="L12" i="46"/>
  <c r="N12" i="46" s="1"/>
  <c r="P12" i="48" l="1"/>
  <c r="P11" i="48"/>
  <c r="P13" i="48" s="1"/>
  <c r="P16" i="48"/>
  <c r="P15" i="48"/>
  <c r="P17" i="48" s="1"/>
  <c r="P20" i="48"/>
  <c r="P19" i="48"/>
  <c r="P21" i="48" s="1"/>
  <c r="P24" i="48"/>
  <c r="P23" i="48"/>
  <c r="P25" i="48" s="1"/>
  <c r="P28" i="48"/>
  <c r="P27" i="48"/>
  <c r="P29" i="48" s="1"/>
  <c r="P32" i="48"/>
  <c r="P31" i="48"/>
  <c r="P33" i="48" s="1"/>
  <c r="P36" i="48"/>
  <c r="P35" i="48"/>
  <c r="P37" i="48" s="1"/>
  <c r="P40" i="48"/>
  <c r="P39" i="48"/>
  <c r="P41" i="48" s="1"/>
  <c r="P44" i="48"/>
  <c r="P43" i="48"/>
  <c r="P45" i="48" s="1"/>
  <c r="P48" i="48"/>
  <c r="P47" i="48"/>
  <c r="P49" i="48" s="1"/>
  <c r="P52" i="48"/>
  <c r="P51" i="48"/>
  <c r="P53" i="48" s="1"/>
  <c r="P55" i="48"/>
  <c r="P56" i="48"/>
  <c r="P59" i="48"/>
  <c r="P60" i="48"/>
  <c r="P64" i="48"/>
  <c r="P63" i="48"/>
  <c r="P65" i="48" s="1"/>
  <c r="P68" i="48"/>
  <c r="P67" i="48"/>
  <c r="P69" i="48" s="1"/>
  <c r="P72" i="48"/>
  <c r="P71" i="48"/>
  <c r="P73" i="48" s="1"/>
  <c r="P76" i="48"/>
  <c r="P75" i="48"/>
  <c r="P77" i="48" s="1"/>
  <c r="P79" i="48"/>
  <c r="P80" i="48"/>
  <c r="P83" i="48"/>
  <c r="P84" i="48"/>
  <c r="P88" i="48"/>
  <c r="P87" i="48"/>
  <c r="P89" i="48" s="1"/>
  <c r="P91" i="48"/>
  <c r="P92" i="48"/>
  <c r="P96" i="48"/>
  <c r="P95" i="48"/>
  <c r="P97" i="48" s="1"/>
  <c r="P100" i="48"/>
  <c r="P99" i="48"/>
  <c r="P101" i="48" s="1"/>
  <c r="P104" i="48"/>
  <c r="P103" i="48"/>
  <c r="P105" i="48" s="1"/>
  <c r="J26" i="49"/>
  <c r="J27" i="49"/>
  <c r="R104" i="48"/>
  <c r="T104" i="48" s="1"/>
  <c r="V104" i="48" s="1"/>
  <c r="X104" i="48" s="1"/>
  <c r="R100" i="48"/>
  <c r="T100" i="48" s="1"/>
  <c r="V100" i="48" s="1"/>
  <c r="X100" i="48" s="1"/>
  <c r="R96" i="48"/>
  <c r="T96" i="48" s="1"/>
  <c r="V96" i="48" s="1"/>
  <c r="X96" i="48" s="1"/>
  <c r="R91" i="48"/>
  <c r="T91" i="48" s="1"/>
  <c r="R92" i="48"/>
  <c r="T92" i="48" s="1"/>
  <c r="V92" i="48" s="1"/>
  <c r="X92" i="48" s="1"/>
  <c r="R88" i="48"/>
  <c r="T88" i="48" s="1"/>
  <c r="V88" i="48" s="1"/>
  <c r="X88" i="48" s="1"/>
  <c r="R83" i="48"/>
  <c r="T83" i="48" s="1"/>
  <c r="R84" i="48"/>
  <c r="T84" i="48" s="1"/>
  <c r="V84" i="48" s="1"/>
  <c r="X84" i="48" s="1"/>
  <c r="R79" i="48"/>
  <c r="T79" i="48" s="1"/>
  <c r="R80" i="48"/>
  <c r="T80" i="48" s="1"/>
  <c r="V80" i="48" s="1"/>
  <c r="X80" i="48" s="1"/>
  <c r="R76" i="48"/>
  <c r="T76" i="48" s="1"/>
  <c r="V76" i="48" s="1"/>
  <c r="X76" i="48" s="1"/>
  <c r="R72" i="48"/>
  <c r="T72" i="48" s="1"/>
  <c r="V72" i="48" s="1"/>
  <c r="X72" i="48" s="1"/>
  <c r="R68" i="48"/>
  <c r="T68" i="48" s="1"/>
  <c r="V68" i="48" s="1"/>
  <c r="X68" i="48" s="1"/>
  <c r="R64" i="48"/>
  <c r="T64" i="48" s="1"/>
  <c r="V64" i="48" s="1"/>
  <c r="X64" i="48" s="1"/>
  <c r="R59" i="48"/>
  <c r="T59" i="48" s="1"/>
  <c r="R60" i="48"/>
  <c r="T60" i="48" s="1"/>
  <c r="V60" i="48" s="1"/>
  <c r="X60" i="48" s="1"/>
  <c r="R55" i="48"/>
  <c r="T55" i="48" s="1"/>
  <c r="R56" i="48"/>
  <c r="T56" i="48" s="1"/>
  <c r="V56" i="48" s="1"/>
  <c r="X56" i="48" s="1"/>
  <c r="R52" i="48"/>
  <c r="T52" i="48" s="1"/>
  <c r="V52" i="48" s="1"/>
  <c r="X52" i="48" s="1"/>
  <c r="R44" i="48"/>
  <c r="T44" i="48" s="1"/>
  <c r="V44" i="48" s="1"/>
  <c r="X44" i="48" s="1"/>
  <c r="R40" i="48"/>
  <c r="T40" i="48" s="1"/>
  <c r="V40" i="48" s="1"/>
  <c r="X40" i="48" s="1"/>
  <c r="R35" i="48"/>
  <c r="T35" i="48" s="1"/>
  <c r="R36" i="48"/>
  <c r="T36" i="48" s="1"/>
  <c r="V36" i="48" s="1"/>
  <c r="X36" i="48" s="1"/>
  <c r="R31" i="48"/>
  <c r="T31" i="48" s="1"/>
  <c r="R32" i="48"/>
  <c r="T32" i="48" s="1"/>
  <c r="V32" i="48" s="1"/>
  <c r="X32" i="48" s="1"/>
  <c r="R27" i="48"/>
  <c r="T27" i="48" s="1"/>
  <c r="R28" i="48"/>
  <c r="T28" i="48" s="1"/>
  <c r="V28" i="48" s="1"/>
  <c r="X28" i="48" s="1"/>
  <c r="R23" i="48"/>
  <c r="T23" i="48" s="1"/>
  <c r="R24" i="48"/>
  <c r="T24" i="48" s="1"/>
  <c r="V24" i="48" s="1"/>
  <c r="X24" i="48" s="1"/>
  <c r="R19" i="48"/>
  <c r="T19" i="48" s="1"/>
  <c r="R20" i="48"/>
  <c r="T20" i="48" s="1"/>
  <c r="V20" i="48" s="1"/>
  <c r="X20" i="48" s="1"/>
  <c r="R15" i="48"/>
  <c r="T15" i="48" s="1"/>
  <c r="R16" i="48"/>
  <c r="T16" i="48" s="1"/>
  <c r="V16" i="48" s="1"/>
  <c r="X16" i="48" s="1"/>
  <c r="R11" i="48"/>
  <c r="T11" i="48" s="1"/>
  <c r="R12" i="48"/>
  <c r="T12" i="48" s="1"/>
  <c r="V12" i="48" s="1"/>
  <c r="X12" i="48" s="1"/>
  <c r="R48" i="48"/>
  <c r="N49" i="48"/>
  <c r="L89" i="46"/>
  <c r="L65" i="46"/>
  <c r="L61" i="46"/>
  <c r="V72" i="46"/>
  <c r="V96" i="46"/>
  <c r="L25" i="46"/>
  <c r="L69" i="46"/>
  <c r="L93" i="46"/>
  <c r="V52" i="46"/>
  <c r="L45" i="46"/>
  <c r="V28" i="46"/>
  <c r="V104" i="46"/>
  <c r="T104" i="46"/>
  <c r="V103" i="46"/>
  <c r="T103" i="46"/>
  <c r="R105" i="46"/>
  <c r="T105" i="46" s="1"/>
  <c r="L105" i="46"/>
  <c r="V40" i="46"/>
  <c r="V56" i="46"/>
  <c r="V84" i="46"/>
  <c r="L33" i="46"/>
  <c r="L37" i="46"/>
  <c r="L77" i="46"/>
  <c r="L81" i="46"/>
  <c r="L101" i="46"/>
  <c r="V15" i="46"/>
  <c r="V35" i="46"/>
  <c r="V63" i="46"/>
  <c r="V67" i="46"/>
  <c r="V75" i="46"/>
  <c r="V79" i="46"/>
  <c r="V87" i="46"/>
  <c r="V91" i="46"/>
  <c r="V99" i="46"/>
  <c r="V23" i="46"/>
  <c r="V31" i="46"/>
  <c r="V43" i="46"/>
  <c r="V47" i="46"/>
  <c r="V59" i="46"/>
  <c r="V19" i="46"/>
  <c r="T92" i="46"/>
  <c r="V92" i="46"/>
  <c r="T100" i="46"/>
  <c r="V100" i="46"/>
  <c r="T95" i="46"/>
  <c r="R97" i="46"/>
  <c r="T97" i="46" s="1"/>
  <c r="V95" i="46"/>
  <c r="R93" i="46"/>
  <c r="T93" i="46" s="1"/>
  <c r="R101" i="46"/>
  <c r="T101" i="46" s="1"/>
  <c r="T91" i="46"/>
  <c r="T96" i="46"/>
  <c r="L97" i="46"/>
  <c r="T99" i="46"/>
  <c r="N91" i="46"/>
  <c r="N99" i="46"/>
  <c r="T80" i="46"/>
  <c r="V80" i="46"/>
  <c r="T88" i="46"/>
  <c r="V88" i="46"/>
  <c r="T83" i="46"/>
  <c r="R85" i="46"/>
  <c r="T85" i="46" s="1"/>
  <c r="V83" i="46"/>
  <c r="R81" i="46"/>
  <c r="T81" i="46" s="1"/>
  <c r="R89" i="46"/>
  <c r="T89" i="46" s="1"/>
  <c r="T79" i="46"/>
  <c r="T84" i="46"/>
  <c r="L85" i="46"/>
  <c r="T87" i="46"/>
  <c r="N79" i="46"/>
  <c r="N87" i="46"/>
  <c r="T68" i="46"/>
  <c r="V68" i="46"/>
  <c r="T76" i="46"/>
  <c r="V76" i="46"/>
  <c r="T71" i="46"/>
  <c r="R73" i="46"/>
  <c r="T73" i="46" s="1"/>
  <c r="V71" i="46"/>
  <c r="R69" i="46"/>
  <c r="T69" i="46" s="1"/>
  <c r="R77" i="46"/>
  <c r="T77" i="46" s="1"/>
  <c r="T67" i="46"/>
  <c r="T72" i="46"/>
  <c r="L73" i="46"/>
  <c r="T75" i="46"/>
  <c r="N67" i="46"/>
  <c r="N75" i="46"/>
  <c r="T64" i="46"/>
  <c r="V64" i="46"/>
  <c r="R65" i="46"/>
  <c r="T65" i="46" s="1"/>
  <c r="T63" i="46"/>
  <c r="N63" i="46"/>
  <c r="T60" i="46"/>
  <c r="V60" i="46"/>
  <c r="T55" i="46"/>
  <c r="R57" i="46"/>
  <c r="T57" i="46" s="1"/>
  <c r="V55" i="46"/>
  <c r="V57" i="46" s="1"/>
  <c r="R61" i="46"/>
  <c r="T61" i="46" s="1"/>
  <c r="T56" i="46"/>
  <c r="L57" i="46"/>
  <c r="T59" i="46"/>
  <c r="N59" i="46"/>
  <c r="T48" i="46"/>
  <c r="V48" i="46"/>
  <c r="R53" i="46"/>
  <c r="T53" i="46" s="1"/>
  <c r="T51" i="46"/>
  <c r="V51" i="46"/>
  <c r="V53" i="46" s="1"/>
  <c r="T47" i="46"/>
  <c r="T52" i="46"/>
  <c r="L49" i="46"/>
  <c r="R49" i="46"/>
  <c r="T49" i="46" s="1"/>
  <c r="L53" i="46"/>
  <c r="T36" i="46"/>
  <c r="V36" i="46"/>
  <c r="T44" i="46"/>
  <c r="V44" i="46"/>
  <c r="T39" i="46"/>
  <c r="R41" i="46"/>
  <c r="T41" i="46" s="1"/>
  <c r="V39" i="46"/>
  <c r="R37" i="46"/>
  <c r="T37" i="46" s="1"/>
  <c r="R45" i="46"/>
  <c r="T45" i="46" s="1"/>
  <c r="T35" i="46"/>
  <c r="T40" i="46"/>
  <c r="L41" i="46"/>
  <c r="T43" i="46"/>
  <c r="N35" i="46"/>
  <c r="N43" i="46"/>
  <c r="T24" i="46"/>
  <c r="V24" i="46"/>
  <c r="T32" i="46"/>
  <c r="V32" i="46"/>
  <c r="T27" i="46"/>
  <c r="R29" i="46"/>
  <c r="T29" i="46" s="1"/>
  <c r="V27" i="46"/>
  <c r="R25" i="46"/>
  <c r="T25" i="46" s="1"/>
  <c r="R33" i="46"/>
  <c r="T33" i="46" s="1"/>
  <c r="T23" i="46"/>
  <c r="T28" i="46"/>
  <c r="L29" i="46"/>
  <c r="T31" i="46"/>
  <c r="N23" i="46"/>
  <c r="N31" i="46"/>
  <c r="L17" i="46"/>
  <c r="V20" i="46"/>
  <c r="T20" i="46"/>
  <c r="R21" i="46"/>
  <c r="T21" i="46" s="1"/>
  <c r="T19" i="46"/>
  <c r="L21" i="46"/>
  <c r="T16" i="46"/>
  <c r="V16" i="46"/>
  <c r="R17" i="46"/>
  <c r="T17" i="46" s="1"/>
  <c r="T15" i="46"/>
  <c r="N15" i="46"/>
  <c r="T12" i="46"/>
  <c r="V12" i="46"/>
  <c r="R13" i="46"/>
  <c r="T13" i="46" s="1"/>
  <c r="T11" i="46"/>
  <c r="L11" i="46"/>
  <c r="V11" i="46" s="1"/>
  <c r="T48" i="48" l="1"/>
  <c r="V48" i="48" s="1"/>
  <c r="X48" i="48" s="1"/>
  <c r="V93" i="46"/>
  <c r="R47" i="48"/>
  <c r="T47" i="48" s="1"/>
  <c r="V47" i="48" s="1"/>
  <c r="R39" i="48"/>
  <c r="T39" i="48" s="1"/>
  <c r="R43" i="48"/>
  <c r="T43" i="48" s="1"/>
  <c r="V43" i="48" s="1"/>
  <c r="R51" i="48"/>
  <c r="T51" i="48" s="1"/>
  <c r="R63" i="48"/>
  <c r="T63" i="48" s="1"/>
  <c r="T65" i="48" s="1"/>
  <c r="R67" i="48"/>
  <c r="T67" i="48" s="1"/>
  <c r="R71" i="48"/>
  <c r="T71" i="48" s="1"/>
  <c r="V71" i="48" s="1"/>
  <c r="R75" i="48"/>
  <c r="T75" i="48" s="1"/>
  <c r="R87" i="48"/>
  <c r="T87" i="48" s="1"/>
  <c r="V87" i="48" s="1"/>
  <c r="R95" i="48"/>
  <c r="T95" i="48" s="1"/>
  <c r="R99" i="48"/>
  <c r="T99" i="48" s="1"/>
  <c r="V99" i="48" s="1"/>
  <c r="R103" i="48"/>
  <c r="T103" i="48" s="1"/>
  <c r="P93" i="48"/>
  <c r="P85" i="48"/>
  <c r="P81" i="48"/>
  <c r="P61" i="48"/>
  <c r="P57" i="48"/>
  <c r="J29" i="49"/>
  <c r="N29" i="49"/>
  <c r="T105" i="48"/>
  <c r="V103" i="48"/>
  <c r="T101" i="48"/>
  <c r="V95" i="48"/>
  <c r="T97" i="48"/>
  <c r="V91" i="48"/>
  <c r="T93" i="48"/>
  <c r="T89" i="48"/>
  <c r="V83" i="48"/>
  <c r="T85" i="48"/>
  <c r="V79" i="48"/>
  <c r="T81" i="48"/>
  <c r="V75" i="48"/>
  <c r="T77" i="48"/>
  <c r="T73" i="48"/>
  <c r="T69" i="48"/>
  <c r="V67" i="48"/>
  <c r="V63" i="48"/>
  <c r="V59" i="48"/>
  <c r="T61" i="48"/>
  <c r="V55" i="48"/>
  <c r="T57" i="48"/>
  <c r="V51" i="48"/>
  <c r="T53" i="48"/>
  <c r="T45" i="48"/>
  <c r="V39" i="48"/>
  <c r="T41" i="48"/>
  <c r="V35" i="48"/>
  <c r="T37" i="48"/>
  <c r="V31" i="48"/>
  <c r="T33" i="48"/>
  <c r="T29" i="48"/>
  <c r="V27" i="48"/>
  <c r="V23" i="48"/>
  <c r="T25" i="48"/>
  <c r="T21" i="48"/>
  <c r="V19" i="48"/>
  <c r="V15" i="48"/>
  <c r="T17" i="48"/>
  <c r="V11" i="48"/>
  <c r="T13" i="48"/>
  <c r="V29" i="46"/>
  <c r="V17" i="46"/>
  <c r="V69" i="46"/>
  <c r="V41" i="46"/>
  <c r="V97" i="46"/>
  <c r="V13" i="46"/>
  <c r="V89" i="46"/>
  <c r="V33" i="46"/>
  <c r="V73" i="46"/>
  <c r="V85" i="46"/>
  <c r="V101" i="46"/>
  <c r="V77" i="46"/>
  <c r="V105" i="46"/>
  <c r="V45" i="46"/>
  <c r="V21" i="46"/>
  <c r="V61" i="46"/>
  <c r="V37" i="46"/>
  <c r="V65" i="46"/>
  <c r="V81" i="46"/>
  <c r="V49" i="46"/>
  <c r="V25" i="46"/>
  <c r="N11" i="46"/>
  <c r="L13" i="46"/>
  <c r="I16" i="34"/>
  <c r="I32" i="45"/>
  <c r="I36" i="45" s="1"/>
  <c r="I40" i="45" s="1"/>
  <c r="I42" i="45" s="1"/>
  <c r="I46" i="45" s="1"/>
  <c r="G32" i="45"/>
  <c r="G36" i="45" s="1"/>
  <c r="I12" i="45"/>
  <c r="I16" i="45" s="1"/>
  <c r="G12" i="45"/>
  <c r="G16" i="45" s="1"/>
  <c r="J14" i="44"/>
  <c r="J16" i="44" s="1"/>
  <c r="J21" i="44" s="1"/>
  <c r="H14" i="44"/>
  <c r="H16" i="44" s="1"/>
  <c r="H21" i="44" s="1"/>
  <c r="B31" i="3"/>
  <c r="B30" i="3"/>
  <c r="B29" i="3"/>
  <c r="B28" i="3"/>
  <c r="B27" i="3"/>
  <c r="B26" i="3"/>
  <c r="B25" i="3"/>
  <c r="B24" i="3"/>
  <c r="B32" i="34"/>
  <c r="B31" i="34"/>
  <c r="B30" i="34"/>
  <c r="B29" i="34"/>
  <c r="B28" i="34"/>
  <c r="B27" i="34"/>
  <c r="B26" i="34"/>
  <c r="B25" i="34"/>
  <c r="D13" i="35"/>
  <c r="E14" i="24" s="1"/>
  <c r="C14" i="24"/>
  <c r="B23" i="3"/>
  <c r="H26" i="23"/>
  <c r="H30" i="23" s="1"/>
  <c r="H14" i="23"/>
  <c r="H18" i="23" s="1"/>
  <c r="J14" i="23"/>
  <c r="J18" i="23" s="1"/>
  <c r="J26" i="23"/>
  <c r="J30" i="23" s="1"/>
  <c r="H25" i="44" l="1"/>
  <c r="I15" i="3"/>
  <c r="X47" i="48"/>
  <c r="X49" i="48" s="1"/>
  <c r="V49" i="48"/>
  <c r="T49" i="48"/>
  <c r="V105" i="48"/>
  <c r="X103" i="48"/>
  <c r="X105" i="48" s="1"/>
  <c r="X99" i="48"/>
  <c r="X101" i="48" s="1"/>
  <c r="V101" i="48"/>
  <c r="V97" i="48"/>
  <c r="X95" i="48"/>
  <c r="X97" i="48" s="1"/>
  <c r="V93" i="48"/>
  <c r="X91" i="48"/>
  <c r="X93" i="48" s="1"/>
  <c r="X87" i="48"/>
  <c r="X89" i="48" s="1"/>
  <c r="V89" i="48"/>
  <c r="X83" i="48"/>
  <c r="X85" i="48" s="1"/>
  <c r="V85" i="48"/>
  <c r="V81" i="48"/>
  <c r="X79" i="48"/>
  <c r="X81" i="48" s="1"/>
  <c r="V77" i="48"/>
  <c r="X75" i="48"/>
  <c r="X77" i="48" s="1"/>
  <c r="X71" i="48"/>
  <c r="X73" i="48" s="1"/>
  <c r="V73" i="48"/>
  <c r="X67" i="48"/>
  <c r="X69" i="48" s="1"/>
  <c r="V69" i="48"/>
  <c r="X63" i="48"/>
  <c r="X65" i="48" s="1"/>
  <c r="V65" i="48"/>
  <c r="X59" i="48"/>
  <c r="X61" i="48" s="1"/>
  <c r="V61" i="48"/>
  <c r="X55" i="48"/>
  <c r="X57" i="48" s="1"/>
  <c r="V57" i="48"/>
  <c r="V53" i="48"/>
  <c r="X51" i="48"/>
  <c r="X53" i="48" s="1"/>
  <c r="V45" i="48"/>
  <c r="X43" i="48"/>
  <c r="X45" i="48" s="1"/>
  <c r="V41" i="48"/>
  <c r="X39" i="48"/>
  <c r="X41" i="48" s="1"/>
  <c r="V37" i="48"/>
  <c r="X35" i="48"/>
  <c r="X37" i="48" s="1"/>
  <c r="V33" i="48"/>
  <c r="X31" i="48"/>
  <c r="X33" i="48" s="1"/>
  <c r="V29" i="48"/>
  <c r="X27" i="48"/>
  <c r="X29" i="48" s="1"/>
  <c r="X23" i="48"/>
  <c r="X25" i="48" s="1"/>
  <c r="V25" i="48"/>
  <c r="V21" i="48"/>
  <c r="X19" i="48"/>
  <c r="X21" i="48" s="1"/>
  <c r="X15" i="48"/>
  <c r="X17" i="48" s="1"/>
  <c r="V17" i="48"/>
  <c r="X11" i="48"/>
  <c r="X13" i="48" s="1"/>
  <c r="V13" i="48"/>
  <c r="V109" i="46"/>
  <c r="V113" i="46" s="1"/>
  <c r="G40" i="45"/>
  <c r="G42" i="45" s="1"/>
  <c r="G46" i="45" s="1"/>
  <c r="I20" i="45"/>
  <c r="I22" i="45" s="1"/>
  <c r="I26" i="45" s="1"/>
  <c r="I48" i="45" s="1"/>
  <c r="G20" i="45"/>
  <c r="G22" i="45" s="1"/>
  <c r="G26" i="45" s="1"/>
  <c r="J25" i="44"/>
  <c r="J33" i="23"/>
  <c r="I18" i="34" s="1"/>
  <c r="H33" i="23"/>
  <c r="I17" i="3" s="1"/>
  <c r="I17" i="34" l="1"/>
  <c r="I52" i="45"/>
  <c r="D14" i="35" s="1"/>
  <c r="E15" i="24" s="1"/>
  <c r="G48" i="45"/>
  <c r="I16" i="3" s="1"/>
  <c r="G52" i="45"/>
  <c r="C15" i="24" s="1"/>
  <c r="X109" i="48"/>
  <c r="X113" i="48" s="1"/>
  <c r="T117" i="48" s="1"/>
  <c r="T118" i="48" s="1"/>
  <c r="T119" i="48" s="1"/>
  <c r="R117" i="46"/>
  <c r="R118" i="46" s="1"/>
  <c r="R119" i="46" s="1"/>
  <c r="N117" i="46"/>
  <c r="J36" i="23"/>
  <c r="H36" i="23"/>
  <c r="C16" i="24" s="1"/>
  <c r="P117" i="48" l="1"/>
  <c r="P118" i="48" s="1"/>
  <c r="P119" i="48" s="1"/>
  <c r="P121" i="48" s="1"/>
  <c r="N118" i="46"/>
  <c r="N119" i="46" s="1"/>
  <c r="D15" i="35"/>
  <c r="E16" i="24" s="1"/>
  <c r="I15" i="34"/>
  <c r="T121" i="48" l="1"/>
  <c r="R121" i="46"/>
  <c r="N121" i="46"/>
  <c r="E56" i="43"/>
  <c r="B56" i="43"/>
  <c r="H16" i="43" l="1"/>
  <c r="H20" i="43" s="1"/>
  <c r="H24" i="43" s="1"/>
  <c r="I13" i="3" s="1"/>
  <c r="J12" i="43"/>
  <c r="J16" i="43" s="1"/>
  <c r="J20" i="43" s="1"/>
  <c r="J24" i="43" s="1"/>
  <c r="I14" i="34" s="1"/>
  <c r="H12" i="43"/>
  <c r="B37" i="43" s="1"/>
  <c r="B38" i="43" l="1"/>
  <c r="B39" i="43" l="1"/>
  <c r="B40" i="43" s="1"/>
  <c r="B41" i="43" s="1"/>
  <c r="B42" i="43" s="1"/>
  <c r="B43" i="43" s="1"/>
  <c r="B44" i="43" s="1"/>
  <c r="B45" i="43" s="1"/>
  <c r="B46" i="43" s="1"/>
  <c r="B47" i="43" s="1"/>
  <c r="B48" i="43" s="1"/>
  <c r="B49" i="43" s="1"/>
  <c r="E37" i="43" s="1"/>
  <c r="C24" i="24"/>
  <c r="C64" i="42"/>
  <c r="C63" i="42"/>
  <c r="C62" i="42"/>
  <c r="C61" i="42"/>
  <c r="C60" i="42"/>
  <c r="C59" i="42"/>
  <c r="C58" i="42"/>
  <c r="C57" i="42"/>
  <c r="C56" i="42"/>
  <c r="C55" i="42"/>
  <c r="C54" i="42"/>
  <c r="C53" i="42"/>
  <c r="C52" i="42"/>
  <c r="C51" i="42"/>
  <c r="C50" i="42"/>
  <c r="C49" i="42"/>
  <c r="C48" i="42"/>
  <c r="C47" i="42"/>
  <c r="C46" i="42"/>
  <c r="C45" i="42"/>
  <c r="C44" i="42"/>
  <c r="C43" i="42"/>
  <c r="C42" i="42"/>
  <c r="C41" i="42"/>
  <c r="C40" i="42"/>
  <c r="C39" i="42"/>
  <c r="C38" i="42"/>
  <c r="C37" i="42"/>
  <c r="C36" i="42"/>
  <c r="C35" i="42"/>
  <c r="C34" i="42"/>
  <c r="C33" i="42"/>
  <c r="C32" i="42"/>
  <c r="C31" i="42"/>
  <c r="C30" i="42"/>
  <c r="C29" i="42"/>
  <c r="C28" i="42"/>
  <c r="C27" i="42"/>
  <c r="C26" i="42"/>
  <c r="C25" i="42"/>
  <c r="C24" i="42"/>
  <c r="C23" i="42"/>
  <c r="C22" i="42"/>
  <c r="C21" i="42"/>
  <c r="C20" i="42"/>
  <c r="C19" i="42"/>
  <c r="C18" i="42"/>
  <c r="B18" i="42"/>
  <c r="C17" i="42"/>
  <c r="E32" i="44" l="1"/>
  <c r="E43" i="23"/>
  <c r="E59" i="45"/>
  <c r="E38" i="43"/>
  <c r="E39" i="43" s="1"/>
  <c r="E40" i="43" s="1"/>
  <c r="E41" i="43" s="1"/>
  <c r="E42" i="43" s="1"/>
  <c r="E43" i="43" s="1"/>
  <c r="E44" i="43" s="1"/>
  <c r="E45" i="43" s="1"/>
  <c r="E46" i="43" s="1"/>
  <c r="E47" i="43" s="1"/>
  <c r="E48" i="43" s="1"/>
  <c r="E49" i="43" s="1"/>
  <c r="B51" i="43"/>
  <c r="H28" i="43" s="1"/>
  <c r="C18" i="24" s="1"/>
  <c r="B19" i="42"/>
  <c r="D64" i="42"/>
  <c r="G64" i="42" s="1"/>
  <c r="D22" i="42"/>
  <c r="E22" i="42" s="1"/>
  <c r="D18" i="42"/>
  <c r="E18" i="42" s="1"/>
  <c r="D26" i="42"/>
  <c r="D24" i="42"/>
  <c r="D20" i="42"/>
  <c r="D28" i="42"/>
  <c r="D29" i="42"/>
  <c r="D31" i="42"/>
  <c r="D33" i="42"/>
  <c r="D35" i="42"/>
  <c r="D37" i="42"/>
  <c r="D39" i="42"/>
  <c r="D42" i="42"/>
  <c r="D44" i="42"/>
  <c r="D46" i="42"/>
  <c r="D48" i="42"/>
  <c r="D50" i="42"/>
  <c r="D52" i="42"/>
  <c r="D53" i="42"/>
  <c r="D55" i="42"/>
  <c r="D57" i="42"/>
  <c r="D59" i="42"/>
  <c r="D61" i="42"/>
  <c r="D63" i="42"/>
  <c r="D17" i="42"/>
  <c r="D19" i="42"/>
  <c r="D21" i="42"/>
  <c r="D23" i="42"/>
  <c r="D25" i="42"/>
  <c r="D27" i="42"/>
  <c r="D30" i="42"/>
  <c r="D32" i="42"/>
  <c r="D34" i="42"/>
  <c r="D36" i="42"/>
  <c r="D38" i="42"/>
  <c r="D40" i="42"/>
  <c r="D41" i="42"/>
  <c r="D43" i="42"/>
  <c r="D45" i="42"/>
  <c r="D47" i="42"/>
  <c r="D49" i="42"/>
  <c r="D51" i="42"/>
  <c r="D54" i="42"/>
  <c r="D56" i="42"/>
  <c r="D58" i="42"/>
  <c r="D60" i="42"/>
  <c r="D62" i="42"/>
  <c r="G18" i="42" l="1"/>
  <c r="H18" i="42" s="1"/>
  <c r="E51" i="43"/>
  <c r="J28" i="43" s="1"/>
  <c r="D17" i="35" s="1"/>
  <c r="E18" i="24" s="1"/>
  <c r="G22" i="42"/>
  <c r="B20" i="42"/>
  <c r="E64" i="42"/>
  <c r="G62" i="42"/>
  <c r="E62" i="42"/>
  <c r="G45" i="42"/>
  <c r="E45" i="42"/>
  <c r="G30" i="42"/>
  <c r="E30" i="42"/>
  <c r="G21" i="42"/>
  <c r="E21" i="42"/>
  <c r="E53" i="42"/>
  <c r="G53" i="42"/>
  <c r="E37" i="42"/>
  <c r="G37" i="42"/>
  <c r="E26" i="42"/>
  <c r="G26" i="42"/>
  <c r="G60" i="42"/>
  <c r="E60" i="42"/>
  <c r="G43" i="42"/>
  <c r="E43" i="42"/>
  <c r="E59" i="42"/>
  <c r="G59" i="42"/>
  <c r="E44" i="42"/>
  <c r="G44" i="42"/>
  <c r="G56" i="42"/>
  <c r="E56" i="42"/>
  <c r="G47" i="42"/>
  <c r="E47" i="42"/>
  <c r="G40" i="42"/>
  <c r="E40" i="42"/>
  <c r="G32" i="42"/>
  <c r="E32" i="42"/>
  <c r="G23" i="42"/>
  <c r="E23" i="42"/>
  <c r="E63" i="42"/>
  <c r="G63" i="42"/>
  <c r="E55" i="42"/>
  <c r="G55" i="42"/>
  <c r="E48" i="42"/>
  <c r="G48" i="42"/>
  <c r="E39" i="42"/>
  <c r="G39" i="42"/>
  <c r="E31" i="42"/>
  <c r="G31" i="42"/>
  <c r="E24" i="42"/>
  <c r="G24" i="42"/>
  <c r="G54" i="42"/>
  <c r="E54" i="42"/>
  <c r="G38" i="42"/>
  <c r="E38" i="42"/>
  <c r="E61" i="42"/>
  <c r="G61" i="42"/>
  <c r="E46" i="42"/>
  <c r="G46" i="42"/>
  <c r="E29" i="42"/>
  <c r="G29" i="42"/>
  <c r="G51" i="42"/>
  <c r="E51" i="42"/>
  <c r="G36" i="42"/>
  <c r="E36" i="42"/>
  <c r="G27" i="42"/>
  <c r="E27" i="42"/>
  <c r="G19" i="42"/>
  <c r="H19" i="42" s="1"/>
  <c r="E19" i="42"/>
  <c r="E52" i="42"/>
  <c r="G52" i="42"/>
  <c r="E35" i="42"/>
  <c r="G35" i="42"/>
  <c r="E28" i="42"/>
  <c r="G28" i="42"/>
  <c r="G58" i="42"/>
  <c r="E58" i="42"/>
  <c r="G49" i="42"/>
  <c r="E49" i="42"/>
  <c r="G41" i="42"/>
  <c r="E41" i="42"/>
  <c r="G34" i="42"/>
  <c r="E34" i="42"/>
  <c r="G25" i="42"/>
  <c r="E25" i="42"/>
  <c r="G17" i="42"/>
  <c r="H17" i="42" s="1"/>
  <c r="E17" i="42"/>
  <c r="E57" i="42"/>
  <c r="G57" i="42"/>
  <c r="E50" i="42"/>
  <c r="G50" i="42"/>
  <c r="E42" i="42"/>
  <c r="G42" i="42"/>
  <c r="E33" i="42"/>
  <c r="G33" i="42"/>
  <c r="E20" i="42"/>
  <c r="G20" i="42"/>
  <c r="B21" i="42" l="1"/>
  <c r="H20" i="42"/>
  <c r="F22" i="42"/>
  <c r="F19" i="42"/>
  <c r="F20" i="42"/>
  <c r="F64" i="42"/>
  <c r="F42" i="42"/>
  <c r="F57" i="42"/>
  <c r="F36" i="42"/>
  <c r="F17" i="42"/>
  <c r="F49" i="42"/>
  <c r="F35" i="42"/>
  <c r="F29" i="42"/>
  <c r="F48" i="42"/>
  <c r="F63" i="42"/>
  <c r="F43" i="42"/>
  <c r="F30" i="42"/>
  <c r="F62" i="42"/>
  <c r="F33" i="42"/>
  <c r="F50" i="42"/>
  <c r="G65" i="42"/>
  <c r="F18" i="42"/>
  <c r="F27" i="42"/>
  <c r="F51" i="42"/>
  <c r="F38" i="42"/>
  <c r="F23" i="42"/>
  <c r="F40" i="42"/>
  <c r="F56" i="42"/>
  <c r="F44" i="42"/>
  <c r="F26" i="42"/>
  <c r="F53" i="42"/>
  <c r="F25" i="42"/>
  <c r="F41" i="42"/>
  <c r="F58" i="42"/>
  <c r="F28" i="42"/>
  <c r="F52" i="42"/>
  <c r="F46" i="42"/>
  <c r="F24" i="42"/>
  <c r="F39" i="42"/>
  <c r="F55" i="42"/>
  <c r="F60" i="42"/>
  <c r="F21" i="42"/>
  <c r="F45" i="42"/>
  <c r="F54" i="42"/>
  <c r="F32" i="42"/>
  <c r="F47" i="42"/>
  <c r="F59" i="42"/>
  <c r="F37" i="42"/>
  <c r="F34" i="42"/>
  <c r="F61" i="42"/>
  <c r="F31" i="42"/>
  <c r="B22" i="42" l="1"/>
  <c r="H21" i="42"/>
  <c r="B23" i="42" l="1"/>
  <c r="H22" i="42"/>
  <c r="I12" i="3"/>
  <c r="J13" i="22"/>
  <c r="J17" i="22" s="1"/>
  <c r="I13" i="34" s="1"/>
  <c r="H13" i="22"/>
  <c r="H17" i="22" s="1"/>
  <c r="I12" i="34"/>
  <c r="B31" i="22" l="1"/>
  <c r="B24" i="42"/>
  <c r="H23" i="42"/>
  <c r="B32" i="22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E30" i="22" s="1"/>
  <c r="C20" i="24"/>
  <c r="H74" i="36"/>
  <c r="R49" i="36"/>
  <c r="R49" i="1"/>
  <c r="D20" i="35"/>
  <c r="E20" i="24" s="1"/>
  <c r="B25" i="42" l="1"/>
  <c r="H24" i="42"/>
  <c r="E31" i="22"/>
  <c r="E32" i="22" s="1"/>
  <c r="E33" i="22" s="1"/>
  <c r="E34" i="22" s="1"/>
  <c r="E35" i="22" s="1"/>
  <c r="E36" i="22" s="1"/>
  <c r="E37" i="22" s="1"/>
  <c r="E38" i="22" s="1"/>
  <c r="E39" i="22" s="1"/>
  <c r="E40" i="22" s="1"/>
  <c r="E41" i="22" s="1"/>
  <c r="E42" i="22" s="1"/>
  <c r="E44" i="22"/>
  <c r="J21" i="22" s="1"/>
  <c r="D16" i="35" s="1"/>
  <c r="E17" i="24" s="1"/>
  <c r="B44" i="22"/>
  <c r="D19" i="35"/>
  <c r="E19" i="24" s="1"/>
  <c r="E22" i="24" l="1"/>
  <c r="B26" i="42"/>
  <c r="H25" i="42"/>
  <c r="H21" i="22"/>
  <c r="C17" i="24" s="1"/>
  <c r="C22" i="24" s="1"/>
  <c r="E137" i="36"/>
  <c r="E137" i="1"/>
  <c r="N21" i="41"/>
  <c r="N23" i="41"/>
  <c r="N14" i="41"/>
  <c r="F99" i="41"/>
  <c r="N19" i="41" s="1"/>
  <c r="F90" i="41"/>
  <c r="N13" i="41" s="1"/>
  <c r="N23" i="4"/>
  <c r="N21" i="4"/>
  <c r="N19" i="4"/>
  <c r="N14" i="4"/>
  <c r="F94" i="4"/>
  <c r="F85" i="4"/>
  <c r="N13" i="4" s="1"/>
  <c r="F84" i="16"/>
  <c r="G84" i="16" s="1"/>
  <c r="H84" i="16" s="1"/>
  <c r="B24" i="34"/>
  <c r="D55" i="41"/>
  <c r="N53" i="41"/>
  <c r="F53" i="41"/>
  <c r="H53" i="41" s="1"/>
  <c r="N52" i="41"/>
  <c r="F52" i="41"/>
  <c r="H52" i="41" s="1"/>
  <c r="N51" i="41"/>
  <c r="N55" i="41" s="1"/>
  <c r="L55" i="41" s="1"/>
  <c r="D19" i="41" s="1"/>
  <c r="F51" i="41"/>
  <c r="H51" i="41" s="1"/>
  <c r="H25" i="41"/>
  <c r="J25" i="41" s="1"/>
  <c r="L25" i="41" s="1"/>
  <c r="H23" i="41"/>
  <c r="J23" i="41" s="1"/>
  <c r="L23" i="41" s="1"/>
  <c r="H22" i="41"/>
  <c r="J22" i="41" s="1"/>
  <c r="L22" i="41" s="1"/>
  <c r="P22" i="41" s="1"/>
  <c r="T22" i="41" s="1"/>
  <c r="H21" i="41"/>
  <c r="J21" i="41" s="1"/>
  <c r="L21" i="41" s="1"/>
  <c r="T18" i="41"/>
  <c r="T17" i="41"/>
  <c r="T16" i="41"/>
  <c r="H14" i="41"/>
  <c r="J14" i="41" s="1"/>
  <c r="L14" i="41" s="1"/>
  <c r="H13" i="41"/>
  <c r="J13" i="41" s="1"/>
  <c r="L13" i="41" s="1"/>
  <c r="P13" i="41" s="1"/>
  <c r="N45" i="4"/>
  <c r="N44" i="4"/>
  <c r="N43" i="4"/>
  <c r="D47" i="4"/>
  <c r="F45" i="4"/>
  <c r="H45" i="4" s="1"/>
  <c r="F44" i="4"/>
  <c r="H44" i="4" s="1"/>
  <c r="F43" i="4"/>
  <c r="H43" i="4" s="1"/>
  <c r="F100" i="4" l="1"/>
  <c r="N57" i="4" s="1"/>
  <c r="N47" i="4"/>
  <c r="H47" i="4"/>
  <c r="F47" i="4" s="1"/>
  <c r="F19" i="4" s="1"/>
  <c r="H55" i="41"/>
  <c r="F55" i="41" s="1"/>
  <c r="F19" i="41" s="1"/>
  <c r="H19" i="41" s="1"/>
  <c r="B27" i="42"/>
  <c r="H26" i="42"/>
  <c r="P21" i="41"/>
  <c r="T21" i="41" s="1"/>
  <c r="P23" i="41"/>
  <c r="T23" i="41" s="1"/>
  <c r="P14" i="41"/>
  <c r="T14" i="41" s="1"/>
  <c r="N25" i="41"/>
  <c r="N60" i="41" s="1"/>
  <c r="N68" i="41" s="1"/>
  <c r="F105" i="41"/>
  <c r="N65" i="41" s="1"/>
  <c r="L47" i="4"/>
  <c r="D19" i="4" s="1"/>
  <c r="N25" i="4"/>
  <c r="N52" i="4" s="1"/>
  <c r="N60" i="4" s="1"/>
  <c r="T13" i="41"/>
  <c r="J19" i="41" l="1"/>
  <c r="L19" i="41" s="1"/>
  <c r="P19" i="41" s="1"/>
  <c r="T19" i="41" s="1"/>
  <c r="T25" i="41" s="1"/>
  <c r="N32" i="41" s="1"/>
  <c r="B28" i="42"/>
  <c r="H27" i="42"/>
  <c r="N33" i="41" l="1"/>
  <c r="N34" i="41"/>
  <c r="N36" i="41" s="1"/>
  <c r="P25" i="41"/>
  <c r="B29" i="42"/>
  <c r="H28" i="42"/>
  <c r="T18" i="4"/>
  <c r="T17" i="4"/>
  <c r="H25" i="4"/>
  <c r="J25" i="4" s="1"/>
  <c r="L25" i="4" s="1"/>
  <c r="H23" i="4"/>
  <c r="J23" i="4" s="1"/>
  <c r="L23" i="4" s="1"/>
  <c r="H22" i="4"/>
  <c r="J22" i="4" s="1"/>
  <c r="L22" i="4" s="1"/>
  <c r="H21" i="4"/>
  <c r="J21" i="4" s="1"/>
  <c r="L21" i="4" s="1"/>
  <c r="P21" i="4" s="1"/>
  <c r="H19" i="4"/>
  <c r="J19" i="4" s="1"/>
  <c r="L19" i="4" s="1"/>
  <c r="P19" i="4" s="1"/>
  <c r="H14" i="4"/>
  <c r="J14" i="4" s="1"/>
  <c r="L14" i="4" s="1"/>
  <c r="P14" i="4" s="1"/>
  <c r="H13" i="4"/>
  <c r="J13" i="4" s="1"/>
  <c r="L13" i="4" s="1"/>
  <c r="P13" i="4" s="1"/>
  <c r="T13" i="4" s="1"/>
  <c r="B30" i="42" l="1"/>
  <c r="H29" i="42"/>
  <c r="P22" i="4"/>
  <c r="T14" i="4"/>
  <c r="P23" i="4"/>
  <c r="T23" i="4" s="1"/>
  <c r="T16" i="4"/>
  <c r="T19" i="4"/>
  <c r="T21" i="4"/>
  <c r="K38" i="40"/>
  <c r="L38" i="40" s="1"/>
  <c r="K15" i="40"/>
  <c r="L15" i="40" s="1"/>
  <c r="K14" i="40"/>
  <c r="L14" i="40" s="1"/>
  <c r="K13" i="40"/>
  <c r="L13" i="40" s="1"/>
  <c r="H174" i="36"/>
  <c r="E156" i="36"/>
  <c r="E118" i="36"/>
  <c r="E79" i="36"/>
  <c r="H32" i="36"/>
  <c r="H56" i="36" s="1"/>
  <c r="H77" i="36" s="1"/>
  <c r="D32" i="36"/>
  <c r="F32" i="36" s="1"/>
  <c r="H31" i="36"/>
  <c r="H55" i="36" s="1"/>
  <c r="H76" i="36" s="1"/>
  <c r="D31" i="36"/>
  <c r="F31" i="36" s="1"/>
  <c r="D55" i="36" s="1"/>
  <c r="F55" i="36" s="1"/>
  <c r="D76" i="36" s="1"/>
  <c r="H30" i="36"/>
  <c r="H54" i="36" s="1"/>
  <c r="H75" i="36" s="1"/>
  <c r="D30" i="36"/>
  <c r="H29" i="36"/>
  <c r="H53" i="36" s="1"/>
  <c r="D29" i="36"/>
  <c r="F29" i="36" s="1"/>
  <c r="D53" i="36" s="1"/>
  <c r="H28" i="36"/>
  <c r="H52" i="36" s="1"/>
  <c r="H73" i="36" s="1"/>
  <c r="D28" i="36"/>
  <c r="F28" i="36" s="1"/>
  <c r="D52" i="36" s="1"/>
  <c r="F52" i="36" s="1"/>
  <c r="D73" i="36" s="1"/>
  <c r="H27" i="36"/>
  <c r="H51" i="36" s="1"/>
  <c r="H72" i="36" s="1"/>
  <c r="H92" i="36" s="1"/>
  <c r="D27" i="36"/>
  <c r="F27" i="36" s="1"/>
  <c r="D51" i="36" s="1"/>
  <c r="H174" i="1"/>
  <c r="E176" i="1"/>
  <c r="H132" i="1"/>
  <c r="H32" i="1"/>
  <c r="H31" i="1"/>
  <c r="H55" i="1" s="1"/>
  <c r="H30" i="1"/>
  <c r="H54" i="1" s="1"/>
  <c r="H29" i="1"/>
  <c r="H53" i="1" s="1"/>
  <c r="H28" i="1"/>
  <c r="H52" i="1" s="1"/>
  <c r="H27" i="1"/>
  <c r="H51" i="1" s="1"/>
  <c r="D32" i="1"/>
  <c r="F32" i="1" s="1"/>
  <c r="D31" i="1"/>
  <c r="F31" i="1" s="1"/>
  <c r="D30" i="1"/>
  <c r="D29" i="1"/>
  <c r="F29" i="1" s="1"/>
  <c r="D28" i="1"/>
  <c r="F28" i="1" s="1"/>
  <c r="D27" i="1"/>
  <c r="F27" i="1" s="1"/>
  <c r="H76" i="1"/>
  <c r="H96" i="1" s="1"/>
  <c r="H75" i="1"/>
  <c r="H95" i="1" s="1"/>
  <c r="H74" i="1"/>
  <c r="H94" i="1" s="1"/>
  <c r="H72" i="1"/>
  <c r="H71" i="1"/>
  <c r="H91" i="1" s="1"/>
  <c r="E118" i="1"/>
  <c r="E78" i="1"/>
  <c r="K14" i="39"/>
  <c r="L14" i="39" s="1"/>
  <c r="K13" i="39"/>
  <c r="L13" i="39" s="1"/>
  <c r="G69" i="40"/>
  <c r="N63" i="40"/>
  <c r="F65" i="40" s="1"/>
  <c r="G70" i="39"/>
  <c r="N64" i="39"/>
  <c r="F66" i="39" s="1"/>
  <c r="G70" i="38"/>
  <c r="N64" i="38"/>
  <c r="F66" i="38" s="1"/>
  <c r="L64" i="38"/>
  <c r="G75" i="38" s="1"/>
  <c r="G77" i="38" s="1"/>
  <c r="K64" i="38"/>
  <c r="G69" i="37"/>
  <c r="N63" i="37"/>
  <c r="F65" i="37" s="1"/>
  <c r="G70" i="37" s="1"/>
  <c r="L63" i="37"/>
  <c r="G74" i="37" s="1"/>
  <c r="G76" i="37" s="1"/>
  <c r="K63" i="37"/>
  <c r="H112" i="1" l="1"/>
  <c r="H92" i="1"/>
  <c r="H112" i="36"/>
  <c r="H93" i="36"/>
  <c r="H114" i="36"/>
  <c r="H152" i="36" s="1"/>
  <c r="H172" i="36" s="1"/>
  <c r="H95" i="36"/>
  <c r="H115" i="36"/>
  <c r="H96" i="36"/>
  <c r="H116" i="36"/>
  <c r="H97" i="36"/>
  <c r="H56" i="1"/>
  <c r="B31" i="42"/>
  <c r="H30" i="42"/>
  <c r="M52" i="36"/>
  <c r="M51" i="36"/>
  <c r="D56" i="36"/>
  <c r="M53" i="36" s="1"/>
  <c r="H150" i="1"/>
  <c r="H170" i="1" s="1"/>
  <c r="H131" i="1"/>
  <c r="D51" i="1"/>
  <c r="D53" i="1"/>
  <c r="H151" i="1"/>
  <c r="H171" i="1" s="1"/>
  <c r="D56" i="1"/>
  <c r="D52" i="1"/>
  <c r="F52" i="1" s="1"/>
  <c r="D72" i="1" s="1"/>
  <c r="F72" i="1" s="1"/>
  <c r="D55" i="1"/>
  <c r="F55" i="1" s="1"/>
  <c r="D75" i="1" s="1"/>
  <c r="F75" i="1" s="1"/>
  <c r="H153" i="36"/>
  <c r="H173" i="36" s="1"/>
  <c r="H134" i="36"/>
  <c r="H151" i="36"/>
  <c r="H171" i="36" s="1"/>
  <c r="H132" i="36"/>
  <c r="H150" i="36"/>
  <c r="H170" i="36" s="1"/>
  <c r="H131" i="36"/>
  <c r="H116" i="1"/>
  <c r="H114" i="1"/>
  <c r="H115" i="1"/>
  <c r="P25" i="4"/>
  <c r="T22" i="4"/>
  <c r="T25" i="4" s="1"/>
  <c r="K63" i="40"/>
  <c r="L63" i="40"/>
  <c r="G74" i="40" s="1"/>
  <c r="G76" i="40" s="1"/>
  <c r="F76" i="36"/>
  <c r="D96" i="36" s="1"/>
  <c r="F96" i="36" s="1"/>
  <c r="D115" i="36" s="1"/>
  <c r="D34" i="36"/>
  <c r="F73" i="36"/>
  <c r="D93" i="36" s="1"/>
  <c r="F93" i="36" s="1"/>
  <c r="D112" i="36" s="1"/>
  <c r="D34" i="1"/>
  <c r="L64" i="39"/>
  <c r="G75" i="39" s="1"/>
  <c r="G77" i="39" s="1"/>
  <c r="K64" i="39"/>
  <c r="G70" i="40"/>
  <c r="F66" i="40"/>
  <c r="G72" i="40"/>
  <c r="G71" i="39"/>
  <c r="F67" i="39"/>
  <c r="G73" i="39"/>
  <c r="G79" i="38"/>
  <c r="G71" i="38"/>
  <c r="F67" i="38"/>
  <c r="G73" i="38"/>
  <c r="G72" i="37"/>
  <c r="G78" i="37" s="1"/>
  <c r="F66" i="37"/>
  <c r="H133" i="36" l="1"/>
  <c r="P28" i="41"/>
  <c r="N28" i="4"/>
  <c r="D95" i="1"/>
  <c r="F95" i="1" s="1"/>
  <c r="D115" i="1" s="1"/>
  <c r="F115" i="1" s="1"/>
  <c r="D134" i="1" s="1"/>
  <c r="F134" i="1" s="1"/>
  <c r="D153" i="1" s="1"/>
  <c r="D92" i="1"/>
  <c r="B32" i="42"/>
  <c r="H31" i="42"/>
  <c r="M54" i="36"/>
  <c r="N52" i="36" s="1"/>
  <c r="P52" i="36" s="1"/>
  <c r="E51" i="36" s="1"/>
  <c r="H152" i="1"/>
  <c r="H172" i="1" s="1"/>
  <c r="H133" i="1"/>
  <c r="M51" i="1"/>
  <c r="M53" i="1"/>
  <c r="M52" i="1"/>
  <c r="H153" i="1"/>
  <c r="H173" i="1" s="1"/>
  <c r="H134" i="1"/>
  <c r="G78" i="40"/>
  <c r="H111" i="36" s="1"/>
  <c r="F112" i="36"/>
  <c r="D131" i="36" s="1"/>
  <c r="F131" i="36" s="1"/>
  <c r="F115" i="36"/>
  <c r="D134" i="36" s="1"/>
  <c r="F134" i="36" s="1"/>
  <c r="G79" i="39"/>
  <c r="H111" i="1" s="1"/>
  <c r="H149" i="1" l="1"/>
  <c r="H169" i="1" s="1"/>
  <c r="H130" i="1"/>
  <c r="N29" i="4"/>
  <c r="N30" i="4"/>
  <c r="N32" i="4" s="1"/>
  <c r="H130" i="36"/>
  <c r="H149" i="36"/>
  <c r="H169" i="36" s="1"/>
  <c r="F26" i="16"/>
  <c r="P29" i="41"/>
  <c r="P36" i="41" s="1"/>
  <c r="F92" i="1"/>
  <c r="D112" i="1" s="1"/>
  <c r="F112" i="1" s="1"/>
  <c r="D131" i="1" s="1"/>
  <c r="F131" i="1" s="1"/>
  <c r="D150" i="1" s="1"/>
  <c r="B33" i="42"/>
  <c r="H32" i="42"/>
  <c r="F51" i="36"/>
  <c r="D72" i="36" s="1"/>
  <c r="N53" i="36"/>
  <c r="P53" i="36" s="1"/>
  <c r="E56" i="36" s="1"/>
  <c r="F56" i="36" s="1"/>
  <c r="D77" i="36" s="1"/>
  <c r="F77" i="36" s="1"/>
  <c r="N51" i="36"/>
  <c r="P51" i="36" s="1"/>
  <c r="M54" i="1"/>
  <c r="N52" i="1" s="1"/>
  <c r="P52" i="1" s="1"/>
  <c r="E51" i="1" s="1"/>
  <c r="F51" i="1" s="1"/>
  <c r="D71" i="1" s="1"/>
  <c r="F71" i="1" s="1"/>
  <c r="D91" i="1" s="1"/>
  <c r="D153" i="36"/>
  <c r="F153" i="36" s="1"/>
  <c r="D150" i="36"/>
  <c r="F150" i="36" s="1"/>
  <c r="D97" i="36" l="1"/>
  <c r="F97" i="36" s="1"/>
  <c r="D116" i="36" s="1"/>
  <c r="F116" i="36" s="1"/>
  <c r="F64" i="16"/>
  <c r="F83" i="16" s="1"/>
  <c r="G83" i="16" s="1"/>
  <c r="F42" i="16"/>
  <c r="N51" i="1"/>
  <c r="P51" i="1" s="1"/>
  <c r="E53" i="1" s="1"/>
  <c r="N53" i="1"/>
  <c r="P53" i="1" s="1"/>
  <c r="E56" i="1" s="1"/>
  <c r="F56" i="1" s="1"/>
  <c r="D76" i="1" s="1"/>
  <c r="F76" i="1" s="1"/>
  <c r="B34" i="42"/>
  <c r="H33" i="42"/>
  <c r="E53" i="36"/>
  <c r="P54" i="36"/>
  <c r="F72" i="36"/>
  <c r="D92" i="36" s="1"/>
  <c r="F92" i="36" s="1"/>
  <c r="D111" i="36" s="1"/>
  <c r="P54" i="1"/>
  <c r="D170" i="36"/>
  <c r="D173" i="36"/>
  <c r="E24" i="24"/>
  <c r="D154" i="36" l="1"/>
  <c r="F154" i="36" s="1"/>
  <c r="D174" i="36" s="1"/>
  <c r="M171" i="36" s="1"/>
  <c r="D135" i="36"/>
  <c r="F135" i="36" s="1"/>
  <c r="G86" i="16"/>
  <c r="H83" i="16"/>
  <c r="H86" i="16" s="1"/>
  <c r="F91" i="1"/>
  <c r="D111" i="1" s="1"/>
  <c r="F111" i="1" s="1"/>
  <c r="D130" i="1" s="1"/>
  <c r="F130" i="1" s="1"/>
  <c r="D149" i="1" s="1"/>
  <c r="D96" i="1"/>
  <c r="F96" i="1" s="1"/>
  <c r="D116" i="1" s="1"/>
  <c r="F116" i="1" s="1"/>
  <c r="D135" i="1" s="1"/>
  <c r="F135" i="1" s="1"/>
  <c r="D154" i="1" s="1"/>
  <c r="B35" i="42"/>
  <c r="H34" i="42"/>
  <c r="F53" i="36"/>
  <c r="E58" i="36"/>
  <c r="F170" i="36"/>
  <c r="F173" i="36"/>
  <c r="E58" i="1"/>
  <c r="F53" i="1"/>
  <c r="F9" i="18"/>
  <c r="D12" i="18" s="1"/>
  <c r="F9" i="34"/>
  <c r="D20" i="34" s="1"/>
  <c r="F9" i="3"/>
  <c r="D19" i="3" s="1"/>
  <c r="F19" i="36"/>
  <c r="G17" i="36" s="1"/>
  <c r="I17" i="36" s="1"/>
  <c r="J17" i="36" s="1"/>
  <c r="D23" i="35"/>
  <c r="E26" i="24" s="1"/>
  <c r="E30" i="36" s="1"/>
  <c r="D16" i="16"/>
  <c r="E14" i="16" s="1"/>
  <c r="F19" i="1"/>
  <c r="G13" i="1" s="1"/>
  <c r="F150" i="1"/>
  <c r="D170" i="1" s="1"/>
  <c r="F153" i="1"/>
  <c r="D173" i="1" s="1"/>
  <c r="F173" i="1" s="1"/>
  <c r="E156" i="1"/>
  <c r="B15" i="18"/>
  <c r="D15" i="17"/>
  <c r="D17" i="17" s="1"/>
  <c r="H89" i="16" l="1"/>
  <c r="H48" i="16"/>
  <c r="D14" i="3"/>
  <c r="D15" i="3"/>
  <c r="D17" i="3"/>
  <c r="D16" i="3"/>
  <c r="D16" i="34"/>
  <c r="D18" i="34"/>
  <c r="D17" i="34"/>
  <c r="D15" i="34"/>
  <c r="D14" i="34"/>
  <c r="D13" i="34"/>
  <c r="D13" i="3"/>
  <c r="D12" i="3"/>
  <c r="B36" i="42"/>
  <c r="H35" i="42"/>
  <c r="D25" i="35"/>
  <c r="D12" i="34"/>
  <c r="F111" i="36"/>
  <c r="D74" i="36"/>
  <c r="D73" i="1"/>
  <c r="G14" i="36"/>
  <c r="I14" i="36" s="1"/>
  <c r="J14" i="36" s="1"/>
  <c r="G14" i="16"/>
  <c r="H14" i="16" s="1"/>
  <c r="E27" i="16"/>
  <c r="E43" i="16" s="1"/>
  <c r="G43" i="16" s="1"/>
  <c r="H43" i="16" s="1"/>
  <c r="F170" i="1"/>
  <c r="F154" i="1"/>
  <c r="D174" i="1" s="1"/>
  <c r="F149" i="1"/>
  <c r="D169" i="1" s="1"/>
  <c r="H32" i="16"/>
  <c r="H70" i="16"/>
  <c r="E13" i="16"/>
  <c r="E26" i="16" s="1"/>
  <c r="E42" i="16" s="1"/>
  <c r="G12" i="1"/>
  <c r="I12" i="1" s="1"/>
  <c r="J12" i="1" s="1"/>
  <c r="G16" i="1"/>
  <c r="I16" i="1" s="1"/>
  <c r="J16" i="1" s="1"/>
  <c r="G15" i="1"/>
  <c r="I15" i="1" s="1"/>
  <c r="J15" i="1" s="1"/>
  <c r="I13" i="1"/>
  <c r="J13" i="1" s="1"/>
  <c r="G14" i="1"/>
  <c r="I14" i="1" s="1"/>
  <c r="J14" i="1" s="1"/>
  <c r="G17" i="1"/>
  <c r="I17" i="1" s="1"/>
  <c r="J17" i="1" s="1"/>
  <c r="G12" i="36"/>
  <c r="G16" i="36"/>
  <c r="I16" i="36" s="1"/>
  <c r="J16" i="36" s="1"/>
  <c r="G15" i="36"/>
  <c r="I15" i="36" s="1"/>
  <c r="J15" i="36" s="1"/>
  <c r="G13" i="36"/>
  <c r="I13" i="36" s="1"/>
  <c r="J13" i="36" s="1"/>
  <c r="J61" i="36" l="1"/>
  <c r="J102" i="36"/>
  <c r="F174" i="1"/>
  <c r="M172" i="1"/>
  <c r="F169" i="1"/>
  <c r="M171" i="1"/>
  <c r="J37" i="36"/>
  <c r="J82" i="36"/>
  <c r="J121" i="36"/>
  <c r="J140" i="36"/>
  <c r="J159" i="36"/>
  <c r="J179" i="36"/>
  <c r="B37" i="42"/>
  <c r="H36" i="42"/>
  <c r="E34" i="36"/>
  <c r="F30" i="36"/>
  <c r="F74" i="36"/>
  <c r="D94" i="36" s="1"/>
  <c r="F94" i="36" s="1"/>
  <c r="D113" i="36" s="1"/>
  <c r="D130" i="36"/>
  <c r="D149" i="36"/>
  <c r="F73" i="1"/>
  <c r="D93" i="1" s="1"/>
  <c r="G42" i="16"/>
  <c r="E45" i="16"/>
  <c r="G26" i="16"/>
  <c r="E64" i="16"/>
  <c r="E29" i="16"/>
  <c r="G27" i="16"/>
  <c r="H27" i="16" s="1"/>
  <c r="E65" i="16"/>
  <c r="G65" i="16" s="1"/>
  <c r="H65" i="16" s="1"/>
  <c r="G13" i="16"/>
  <c r="E16" i="16"/>
  <c r="J19" i="1"/>
  <c r="I19" i="1"/>
  <c r="G19" i="1"/>
  <c r="I12" i="36"/>
  <c r="J12" i="36" s="1"/>
  <c r="G19" i="36"/>
  <c r="F93" i="1" l="1"/>
  <c r="D113" i="1" s="1"/>
  <c r="D16" i="21"/>
  <c r="D18" i="21" s="1"/>
  <c r="J30" i="49"/>
  <c r="J31" i="49" s="1"/>
  <c r="J33" i="49" s="1"/>
  <c r="N122" i="46"/>
  <c r="N123" i="46" s="1"/>
  <c r="N125" i="46" s="1"/>
  <c r="P122" i="48"/>
  <c r="P123" i="48" s="1"/>
  <c r="P125" i="48" s="1"/>
  <c r="H27" i="44"/>
  <c r="H29" i="44" s="1"/>
  <c r="H32" i="44" s="1"/>
  <c r="H34" i="44" s="1"/>
  <c r="D24" i="3"/>
  <c r="J24" i="3" s="1"/>
  <c r="P37" i="41"/>
  <c r="P38" i="41" s="1"/>
  <c r="N33" i="4"/>
  <c r="N34" i="4" s="1"/>
  <c r="N36" i="4" s="1"/>
  <c r="D30" i="3"/>
  <c r="D28" i="3"/>
  <c r="D26" i="3"/>
  <c r="D23" i="3"/>
  <c r="H38" i="23"/>
  <c r="H40" i="23" s="1"/>
  <c r="H43" i="23" s="1"/>
  <c r="H45" i="23" s="1"/>
  <c r="G54" i="45"/>
  <c r="G56" i="45" s="1"/>
  <c r="G59" i="45" s="1"/>
  <c r="G61" i="45" s="1"/>
  <c r="D31" i="3"/>
  <c r="D29" i="3"/>
  <c r="D27" i="3"/>
  <c r="N37" i="41"/>
  <c r="N38" i="41" s="1"/>
  <c r="D25" i="3"/>
  <c r="H30" i="43"/>
  <c r="H32" i="43" s="1"/>
  <c r="H23" i="22"/>
  <c r="H25" i="22" s="1"/>
  <c r="B38" i="42"/>
  <c r="H37" i="42"/>
  <c r="D54" i="36"/>
  <c r="F34" i="36"/>
  <c r="G30" i="36" s="1"/>
  <c r="I30" i="36" s="1"/>
  <c r="J30" i="36" s="1"/>
  <c r="F149" i="36"/>
  <c r="F130" i="36"/>
  <c r="G45" i="16"/>
  <c r="H42" i="16"/>
  <c r="H45" i="16" s="1"/>
  <c r="G64" i="16"/>
  <c r="E67" i="16"/>
  <c r="H26" i="16"/>
  <c r="H29" i="16" s="1"/>
  <c r="G29" i="16"/>
  <c r="H13" i="16"/>
  <c r="H16" i="16" s="1"/>
  <c r="G16" i="16"/>
  <c r="J19" i="36"/>
  <c r="I19" i="36"/>
  <c r="F16" i="21" l="1"/>
  <c r="F18" i="21" s="1"/>
  <c r="N30" i="49"/>
  <c r="N31" i="49" s="1"/>
  <c r="N33" i="49" s="1"/>
  <c r="T122" i="48"/>
  <c r="T123" i="48" s="1"/>
  <c r="T125" i="48" s="1"/>
  <c r="R122" i="46"/>
  <c r="R123" i="46" s="1"/>
  <c r="R125" i="46" s="1"/>
  <c r="D30" i="34"/>
  <c r="D25" i="34"/>
  <c r="K25" i="34" s="1"/>
  <c r="I54" i="45"/>
  <c r="I56" i="45" s="1"/>
  <c r="I59" i="45" s="1"/>
  <c r="I61" i="45" s="1"/>
  <c r="D29" i="34"/>
  <c r="J38" i="23"/>
  <c r="J40" i="23" s="1"/>
  <c r="J43" i="23" s="1"/>
  <c r="J45" i="23" s="1"/>
  <c r="D32" i="34"/>
  <c r="D28" i="34"/>
  <c r="J27" i="44"/>
  <c r="J29" i="44" s="1"/>
  <c r="J32" i="44" s="1"/>
  <c r="J34" i="44" s="1"/>
  <c r="D31" i="34"/>
  <c r="D26" i="34"/>
  <c r="D27" i="34"/>
  <c r="J30" i="43"/>
  <c r="J32" i="43" s="1"/>
  <c r="J23" i="22"/>
  <c r="J25" i="22" s="1"/>
  <c r="N40" i="41"/>
  <c r="D16" i="18"/>
  <c r="L19" i="51"/>
  <c r="L20" i="51" s="1"/>
  <c r="L22" i="51" s="1"/>
  <c r="B39" i="42"/>
  <c r="H38" i="42"/>
  <c r="G27" i="36"/>
  <c r="G32" i="36"/>
  <c r="I32" i="36" s="1"/>
  <c r="J32" i="36" s="1"/>
  <c r="G28" i="36"/>
  <c r="I28" i="36" s="1"/>
  <c r="J28" i="36" s="1"/>
  <c r="G31" i="36"/>
  <c r="I31" i="36" s="1"/>
  <c r="J31" i="36" s="1"/>
  <c r="G29" i="36"/>
  <c r="I29" i="36" s="1"/>
  <c r="J29" i="36" s="1"/>
  <c r="D58" i="36"/>
  <c r="F54" i="36"/>
  <c r="F113" i="36"/>
  <c r="D169" i="36"/>
  <c r="M170" i="36" s="1"/>
  <c r="D24" i="34"/>
  <c r="F113" i="1"/>
  <c r="H47" i="16"/>
  <c r="H50" i="16" s="1"/>
  <c r="D20" i="18" s="1"/>
  <c r="H64" i="16"/>
  <c r="H67" i="16" s="1"/>
  <c r="H69" i="16" s="1"/>
  <c r="G67" i="16"/>
  <c r="D15" i="18"/>
  <c r="H31" i="16"/>
  <c r="H34" i="16" s="1"/>
  <c r="D19" i="18" s="1"/>
  <c r="B40" i="42" l="1"/>
  <c r="H39" i="42"/>
  <c r="D75" i="36"/>
  <c r="F58" i="36"/>
  <c r="G54" i="36" s="1"/>
  <c r="I54" i="36" s="1"/>
  <c r="J54" i="36" s="1"/>
  <c r="I27" i="36"/>
  <c r="G34" i="36"/>
  <c r="D132" i="36"/>
  <c r="D151" i="36"/>
  <c r="D132" i="1"/>
  <c r="H88" i="16"/>
  <c r="H91" i="16" s="1"/>
  <c r="D22" i="18" s="1"/>
  <c r="H72" i="16"/>
  <c r="F73" i="16" s="1"/>
  <c r="B41" i="42" l="1"/>
  <c r="H40" i="42"/>
  <c r="I34" i="36"/>
  <c r="J27" i="36"/>
  <c r="J34" i="36" s="1"/>
  <c r="J36" i="36" s="1"/>
  <c r="J39" i="36" s="1"/>
  <c r="D35" i="34" s="1"/>
  <c r="G52" i="36"/>
  <c r="I52" i="36" s="1"/>
  <c r="J52" i="36" s="1"/>
  <c r="G56" i="36"/>
  <c r="I56" i="36" s="1"/>
  <c r="J56" i="36" s="1"/>
  <c r="G55" i="36"/>
  <c r="I55" i="36" s="1"/>
  <c r="J55" i="36" s="1"/>
  <c r="G51" i="36"/>
  <c r="G53" i="36"/>
  <c r="I53" i="36" s="1"/>
  <c r="J53" i="36" s="1"/>
  <c r="F75" i="36"/>
  <c r="D95" i="36" s="1"/>
  <c r="D79" i="36"/>
  <c r="F151" i="36"/>
  <c r="F132" i="36"/>
  <c r="F132" i="1"/>
  <c r="D21" i="18"/>
  <c r="H21" i="18" l="1"/>
  <c r="D25" i="18"/>
  <c r="D27" i="18" s="1"/>
  <c r="F95" i="36"/>
  <c r="D99" i="36"/>
  <c r="B42" i="42"/>
  <c r="H41" i="42"/>
  <c r="F79" i="36"/>
  <c r="G75" i="36" s="1"/>
  <c r="I75" i="36" s="1"/>
  <c r="J75" i="36" s="1"/>
  <c r="I51" i="36"/>
  <c r="G58" i="36"/>
  <c r="D171" i="36"/>
  <c r="M169" i="36" s="1"/>
  <c r="M172" i="36" s="1"/>
  <c r="D151" i="1"/>
  <c r="D114" i="36" l="1"/>
  <c r="F99" i="36"/>
  <c r="G95" i="36" s="1"/>
  <c r="I95" i="36" s="1"/>
  <c r="J95" i="36" s="1"/>
  <c r="N169" i="36"/>
  <c r="N171" i="36"/>
  <c r="P171" i="36"/>
  <c r="P169" i="36"/>
  <c r="N170" i="36"/>
  <c r="B43" i="42"/>
  <c r="H42" i="42"/>
  <c r="J51" i="36"/>
  <c r="J58" i="36" s="1"/>
  <c r="J60" i="36" s="1"/>
  <c r="J63" i="36" s="1"/>
  <c r="D36" i="34" s="1"/>
  <c r="I58" i="36"/>
  <c r="G74" i="36"/>
  <c r="I74" i="36" s="1"/>
  <c r="J74" i="36" s="1"/>
  <c r="G76" i="36"/>
  <c r="I76" i="36" s="1"/>
  <c r="J76" i="36" s="1"/>
  <c r="G73" i="36"/>
  <c r="I73" i="36" s="1"/>
  <c r="J73" i="36" s="1"/>
  <c r="G72" i="36"/>
  <c r="G77" i="36"/>
  <c r="I77" i="36" s="1"/>
  <c r="J77" i="36" s="1"/>
  <c r="F114" i="36"/>
  <c r="D118" i="36"/>
  <c r="F151" i="1"/>
  <c r="G92" i="36" l="1"/>
  <c r="G94" i="36"/>
  <c r="I94" i="36" s="1"/>
  <c r="J94" i="36" s="1"/>
  <c r="G97" i="36"/>
  <c r="I97" i="36" s="1"/>
  <c r="J97" i="36" s="1"/>
  <c r="G93" i="36"/>
  <c r="I93" i="36" s="1"/>
  <c r="J93" i="36" s="1"/>
  <c r="G96" i="36"/>
  <c r="I96" i="36" s="1"/>
  <c r="J96" i="36" s="1"/>
  <c r="Q169" i="36"/>
  <c r="E171" i="36"/>
  <c r="F171" i="36" s="1"/>
  <c r="E174" i="36"/>
  <c r="F174" i="36" s="1"/>
  <c r="Q171" i="36"/>
  <c r="P170" i="36"/>
  <c r="B44" i="42"/>
  <c r="H43" i="42"/>
  <c r="D133" i="36"/>
  <c r="D152" i="36"/>
  <c r="F118" i="36"/>
  <c r="G114" i="36" s="1"/>
  <c r="I114" i="36" s="1"/>
  <c r="J114" i="36" s="1"/>
  <c r="I72" i="36"/>
  <c r="G79" i="36"/>
  <c r="D171" i="1"/>
  <c r="M170" i="1" s="1"/>
  <c r="I92" i="36" l="1"/>
  <c r="G99" i="36"/>
  <c r="Q170" i="36"/>
  <c r="E169" i="36"/>
  <c r="Q172" i="36"/>
  <c r="R169" i="36" s="1"/>
  <c r="M173" i="1"/>
  <c r="N170" i="1" s="1"/>
  <c r="B45" i="42"/>
  <c r="H44" i="42"/>
  <c r="G113" i="36"/>
  <c r="I113" i="36" s="1"/>
  <c r="J113" i="36" s="1"/>
  <c r="G112" i="36"/>
  <c r="I112" i="36" s="1"/>
  <c r="J112" i="36" s="1"/>
  <c r="G111" i="36"/>
  <c r="G115" i="36"/>
  <c r="I115" i="36" s="1"/>
  <c r="J115" i="36" s="1"/>
  <c r="G116" i="36"/>
  <c r="I116" i="36" s="1"/>
  <c r="J116" i="36" s="1"/>
  <c r="F152" i="36"/>
  <c r="D156" i="36"/>
  <c r="I79" i="36"/>
  <c r="J72" i="36"/>
  <c r="J79" i="36" s="1"/>
  <c r="F133" i="36"/>
  <c r="D137" i="36"/>
  <c r="F171" i="1"/>
  <c r="J92" i="36" l="1"/>
  <c r="J99" i="36" s="1"/>
  <c r="I99" i="36"/>
  <c r="E176" i="36"/>
  <c r="F169" i="36"/>
  <c r="R170" i="36"/>
  <c r="R171" i="36"/>
  <c r="N172" i="1"/>
  <c r="P172" i="1"/>
  <c r="N171" i="1"/>
  <c r="P170" i="1"/>
  <c r="Q170" i="1" s="1"/>
  <c r="B46" i="42"/>
  <c r="H45" i="42"/>
  <c r="G118" i="36"/>
  <c r="I111" i="36"/>
  <c r="F137" i="36"/>
  <c r="G133" i="36" s="1"/>
  <c r="I133" i="36" s="1"/>
  <c r="J133" i="36" s="1"/>
  <c r="D172" i="36"/>
  <c r="F156" i="36"/>
  <c r="G152" i="36" s="1"/>
  <c r="I152" i="36" s="1"/>
  <c r="J152" i="36" s="1"/>
  <c r="J81" i="36"/>
  <c r="J84" i="36" s="1"/>
  <c r="D37" i="34" s="1"/>
  <c r="D19" i="34" s="1"/>
  <c r="J101" i="36" l="1"/>
  <c r="J104" i="36" s="1"/>
  <c r="D38" i="34" s="1"/>
  <c r="P171" i="1"/>
  <c r="Q171" i="1" s="1"/>
  <c r="Q172" i="1"/>
  <c r="B47" i="42"/>
  <c r="H46" i="42"/>
  <c r="G132" i="36"/>
  <c r="I132" i="36" s="1"/>
  <c r="J132" i="36" s="1"/>
  <c r="G135" i="36"/>
  <c r="I135" i="36" s="1"/>
  <c r="J135" i="36" s="1"/>
  <c r="G131" i="36"/>
  <c r="I131" i="36" s="1"/>
  <c r="J131" i="36" s="1"/>
  <c r="G130" i="36"/>
  <c r="G134" i="36"/>
  <c r="I134" i="36" s="1"/>
  <c r="J134" i="36" s="1"/>
  <c r="G151" i="36"/>
  <c r="I151" i="36" s="1"/>
  <c r="J151" i="36" s="1"/>
  <c r="G149" i="36"/>
  <c r="G153" i="36"/>
  <c r="I153" i="36" s="1"/>
  <c r="J153" i="36" s="1"/>
  <c r="G154" i="36"/>
  <c r="I154" i="36" s="1"/>
  <c r="J154" i="36" s="1"/>
  <c r="G150" i="36"/>
  <c r="I150" i="36" s="1"/>
  <c r="J150" i="36" s="1"/>
  <c r="J111" i="36"/>
  <c r="J118" i="36" s="1"/>
  <c r="J120" i="36" s="1"/>
  <c r="J123" i="36" s="1"/>
  <c r="D39" i="34" s="1"/>
  <c r="I118" i="36"/>
  <c r="F172" i="36"/>
  <c r="D176" i="36"/>
  <c r="Q173" i="1" l="1"/>
  <c r="R170" i="1" s="1"/>
  <c r="B48" i="42"/>
  <c r="H47" i="42"/>
  <c r="I130" i="36"/>
  <c r="G137" i="36"/>
  <c r="G156" i="36"/>
  <c r="I149" i="36"/>
  <c r="F176" i="36"/>
  <c r="G172" i="36" s="1"/>
  <c r="I172" i="36" s="1"/>
  <c r="J172" i="36" s="1"/>
  <c r="R171" i="1" l="1"/>
  <c r="R172" i="1"/>
  <c r="B49" i="42"/>
  <c r="H48" i="42"/>
  <c r="I156" i="36"/>
  <c r="J149" i="36"/>
  <c r="J156" i="36" s="1"/>
  <c r="G169" i="36"/>
  <c r="G173" i="36"/>
  <c r="I173" i="36" s="1"/>
  <c r="J173" i="36" s="1"/>
  <c r="G174" i="36"/>
  <c r="I174" i="36" s="1"/>
  <c r="J174" i="36" s="1"/>
  <c r="G170" i="36"/>
  <c r="I170" i="36" s="1"/>
  <c r="J170" i="36" s="1"/>
  <c r="G171" i="36"/>
  <c r="I171" i="36" s="1"/>
  <c r="J171" i="36" s="1"/>
  <c r="I137" i="36"/>
  <c r="J130" i="36"/>
  <c r="J137" i="36" s="1"/>
  <c r="J139" i="36" s="1"/>
  <c r="J142" i="36" s="1"/>
  <c r="D40" i="34" s="1"/>
  <c r="B50" i="42" l="1"/>
  <c r="H49" i="42"/>
  <c r="J158" i="36"/>
  <c r="J161" i="36" s="1"/>
  <c r="D41" i="34" s="1"/>
  <c r="H41" i="34" s="1"/>
  <c r="G176" i="36"/>
  <c r="I169" i="36"/>
  <c r="H162" i="36" l="1"/>
  <c r="B51" i="42"/>
  <c r="H50" i="42"/>
  <c r="I176" i="36"/>
  <c r="J169" i="36"/>
  <c r="J176" i="36" s="1"/>
  <c r="J178" i="36" s="1"/>
  <c r="J181" i="36" s="1"/>
  <c r="B52" i="42" l="1"/>
  <c r="H51" i="42"/>
  <c r="D42" i="34"/>
  <c r="J193" i="36"/>
  <c r="B53" i="42" l="1"/>
  <c r="H52" i="42"/>
  <c r="B54" i="42" l="1"/>
  <c r="H53" i="42"/>
  <c r="B55" i="42" l="1"/>
  <c r="H54" i="42"/>
  <c r="B56" i="42" l="1"/>
  <c r="H55" i="42"/>
  <c r="B57" i="42" l="1"/>
  <c r="H56" i="42"/>
  <c r="B58" i="42" l="1"/>
  <c r="H57" i="42"/>
  <c r="B59" i="42" l="1"/>
  <c r="H58" i="42"/>
  <c r="B60" i="42" l="1"/>
  <c r="H59" i="42"/>
  <c r="B61" i="42" l="1"/>
  <c r="H60" i="42"/>
  <c r="B62" i="42" l="1"/>
  <c r="H61" i="42"/>
  <c r="B63" i="42" l="1"/>
  <c r="H62" i="42"/>
  <c r="B64" i="42" l="1"/>
  <c r="H63" i="42"/>
  <c r="H64" i="42" l="1"/>
  <c r="H65" i="42"/>
  <c r="H67" i="42" s="1"/>
  <c r="O63" i="42" l="1"/>
  <c r="P63" i="42" s="1"/>
  <c r="O61" i="42"/>
  <c r="P61" i="42" s="1"/>
  <c r="O59" i="42"/>
  <c r="P59" i="42" s="1"/>
  <c r="O57" i="42"/>
  <c r="P57" i="42" s="1"/>
  <c r="O55" i="42"/>
  <c r="P55" i="42" s="1"/>
  <c r="O53" i="42"/>
  <c r="P53" i="42" s="1"/>
  <c r="O51" i="42"/>
  <c r="P51" i="42" s="1"/>
  <c r="O49" i="42"/>
  <c r="P49" i="42" s="1"/>
  <c r="O47" i="42"/>
  <c r="P47" i="42" s="1"/>
  <c r="O45" i="42"/>
  <c r="P45" i="42" s="1"/>
  <c r="O43" i="42"/>
  <c r="P43" i="42" s="1"/>
  <c r="O41" i="42"/>
  <c r="P41" i="42" s="1"/>
  <c r="O39" i="42"/>
  <c r="P39" i="42" s="1"/>
  <c r="O37" i="42"/>
  <c r="P37" i="42" s="1"/>
  <c r="O35" i="42"/>
  <c r="P35" i="42" s="1"/>
  <c r="O33" i="42"/>
  <c r="P33" i="42" s="1"/>
  <c r="O31" i="42"/>
  <c r="P31" i="42" s="1"/>
  <c r="O29" i="42"/>
  <c r="P29" i="42" s="1"/>
  <c r="O27" i="42"/>
  <c r="P27" i="42" s="1"/>
  <c r="O25" i="42"/>
  <c r="P25" i="42" s="1"/>
  <c r="O23" i="42"/>
  <c r="P23" i="42" s="1"/>
  <c r="O21" i="42"/>
  <c r="P21" i="42" s="1"/>
  <c r="O19" i="42"/>
  <c r="P19" i="42" s="1"/>
  <c r="O17" i="42"/>
  <c r="O64" i="42"/>
  <c r="P64" i="42" s="1"/>
  <c r="O60" i="42"/>
  <c r="P60" i="42" s="1"/>
  <c r="O56" i="42"/>
  <c r="P56" i="42" s="1"/>
  <c r="O52" i="42"/>
  <c r="P52" i="42" s="1"/>
  <c r="O48" i="42"/>
  <c r="P48" i="42" s="1"/>
  <c r="O44" i="42"/>
  <c r="P44" i="42" s="1"/>
  <c r="O40" i="42"/>
  <c r="P40" i="42" s="1"/>
  <c r="O36" i="42"/>
  <c r="P36" i="42" s="1"/>
  <c r="O32" i="42"/>
  <c r="P32" i="42" s="1"/>
  <c r="O28" i="42"/>
  <c r="P28" i="42" s="1"/>
  <c r="O24" i="42"/>
  <c r="P24" i="42" s="1"/>
  <c r="O20" i="42"/>
  <c r="P20" i="42" s="1"/>
  <c r="J17" i="42"/>
  <c r="O62" i="42"/>
  <c r="P62" i="42" s="1"/>
  <c r="O58" i="42"/>
  <c r="P58" i="42" s="1"/>
  <c r="O54" i="42"/>
  <c r="P54" i="42" s="1"/>
  <c r="O50" i="42"/>
  <c r="P50" i="42" s="1"/>
  <c r="O46" i="42"/>
  <c r="P46" i="42" s="1"/>
  <c r="O42" i="42"/>
  <c r="P42" i="42" s="1"/>
  <c r="O38" i="42"/>
  <c r="P38" i="42" s="1"/>
  <c r="O34" i="42"/>
  <c r="P34" i="42" s="1"/>
  <c r="O30" i="42"/>
  <c r="P30" i="42" s="1"/>
  <c r="O26" i="42"/>
  <c r="P26" i="42" s="1"/>
  <c r="O22" i="42"/>
  <c r="P22" i="42" s="1"/>
  <c r="O18" i="42"/>
  <c r="P18" i="42" s="1"/>
  <c r="J18" i="42"/>
  <c r="J19" i="42"/>
  <c r="J20" i="42"/>
  <c r="J21" i="42"/>
  <c r="J22" i="42"/>
  <c r="J23" i="42"/>
  <c r="J24" i="42"/>
  <c r="J25" i="42"/>
  <c r="J26" i="42"/>
  <c r="J27" i="42"/>
  <c r="J28" i="42"/>
  <c r="J29" i="42"/>
  <c r="J30" i="42"/>
  <c r="J31" i="42"/>
  <c r="J32" i="42"/>
  <c r="J33" i="42"/>
  <c r="J34" i="42"/>
  <c r="J35" i="42"/>
  <c r="J36" i="42"/>
  <c r="J37" i="42"/>
  <c r="J38" i="42"/>
  <c r="J39" i="42"/>
  <c r="J40" i="42"/>
  <c r="J41" i="42"/>
  <c r="J42" i="42"/>
  <c r="J43" i="42"/>
  <c r="J44" i="42"/>
  <c r="J45" i="42"/>
  <c r="J46" i="42"/>
  <c r="J47" i="42"/>
  <c r="J48" i="42"/>
  <c r="J49" i="42"/>
  <c r="J50" i="42"/>
  <c r="J51" i="42"/>
  <c r="J52" i="42"/>
  <c r="J53" i="42"/>
  <c r="J54" i="42"/>
  <c r="J55" i="42"/>
  <c r="J56" i="42"/>
  <c r="J57" i="42"/>
  <c r="J58" i="42"/>
  <c r="J59" i="42"/>
  <c r="J60" i="42"/>
  <c r="J61" i="42"/>
  <c r="J62" i="42"/>
  <c r="J63" i="42"/>
  <c r="J64" i="42"/>
  <c r="H69" i="42"/>
  <c r="L28" i="42" l="1"/>
  <c r="L64" i="42"/>
  <c r="M64" i="42" s="1"/>
  <c r="L52" i="42"/>
  <c r="M52" i="42" s="1"/>
  <c r="L40" i="42"/>
  <c r="M40" i="42" s="1"/>
  <c r="D21" i="34" s="1"/>
  <c r="O65" i="42"/>
  <c r="P17" i="42"/>
  <c r="P65" i="42" s="1"/>
  <c r="C26" i="24" l="1"/>
  <c r="E30" i="1" s="1"/>
  <c r="M28" i="42"/>
  <c r="D45" i="34"/>
  <c r="D47" i="34" s="1"/>
  <c r="E34" i="1" l="1"/>
  <c r="F30" i="1"/>
  <c r="M67" i="42"/>
  <c r="M68" i="42" s="1"/>
  <c r="D20" i="3"/>
  <c r="J61" i="1"/>
  <c r="J37" i="1"/>
  <c r="J81" i="1"/>
  <c r="J101" i="1"/>
  <c r="J179" i="1"/>
  <c r="J159" i="1"/>
  <c r="J121" i="1"/>
  <c r="J140" i="1"/>
  <c r="D54" i="1" l="1"/>
  <c r="F34" i="1"/>
  <c r="G30" i="1" l="1"/>
  <c r="I30" i="1" s="1"/>
  <c r="J30" i="1" s="1"/>
  <c r="G28" i="1"/>
  <c r="I28" i="1" s="1"/>
  <c r="J28" i="1" s="1"/>
  <c r="G27" i="1"/>
  <c r="G31" i="1"/>
  <c r="I31" i="1" s="1"/>
  <c r="J31" i="1" s="1"/>
  <c r="G29" i="1"/>
  <c r="I29" i="1" s="1"/>
  <c r="J29" i="1" s="1"/>
  <c r="G32" i="1"/>
  <c r="I32" i="1" s="1"/>
  <c r="J32" i="1" s="1"/>
  <c r="D58" i="1"/>
  <c r="F54" i="1"/>
  <c r="D74" i="1" l="1"/>
  <c r="F58" i="1"/>
  <c r="I27" i="1"/>
  <c r="G34" i="1"/>
  <c r="G54" i="1" l="1"/>
  <c r="I54" i="1" s="1"/>
  <c r="J54" i="1" s="1"/>
  <c r="G51" i="1"/>
  <c r="G52" i="1"/>
  <c r="I52" i="1" s="1"/>
  <c r="J52" i="1" s="1"/>
  <c r="G56" i="1"/>
  <c r="I56" i="1" s="1"/>
  <c r="J56" i="1" s="1"/>
  <c r="G53" i="1"/>
  <c r="I53" i="1" s="1"/>
  <c r="J53" i="1" s="1"/>
  <c r="G55" i="1"/>
  <c r="I55" i="1" s="1"/>
  <c r="J55" i="1" s="1"/>
  <c r="F74" i="1"/>
  <c r="D78" i="1"/>
  <c r="J27" i="1"/>
  <c r="J34" i="1" s="1"/>
  <c r="J36" i="1" s="1"/>
  <c r="J39" i="1" s="1"/>
  <c r="D34" i="3" s="1"/>
  <c r="I34" i="1"/>
  <c r="D94" i="1" l="1"/>
  <c r="F78" i="1"/>
  <c r="G58" i="1"/>
  <c r="I51" i="1"/>
  <c r="G74" i="1" l="1"/>
  <c r="I74" i="1" s="1"/>
  <c r="J74" i="1" s="1"/>
  <c r="G71" i="1"/>
  <c r="G73" i="1"/>
  <c r="I73" i="1" s="1"/>
  <c r="J73" i="1" s="1"/>
  <c r="G75" i="1"/>
  <c r="I75" i="1" s="1"/>
  <c r="J75" i="1" s="1"/>
  <c r="G76" i="1"/>
  <c r="I76" i="1" s="1"/>
  <c r="J76" i="1" s="1"/>
  <c r="G72" i="1"/>
  <c r="I72" i="1" s="1"/>
  <c r="J72" i="1" s="1"/>
  <c r="F94" i="1"/>
  <c r="D98" i="1"/>
  <c r="I58" i="1"/>
  <c r="J51" i="1"/>
  <c r="J58" i="1" s="1"/>
  <c r="J60" i="1" s="1"/>
  <c r="J63" i="1" s="1"/>
  <c r="D35" i="3" s="1"/>
  <c r="I71" i="1" l="1"/>
  <c r="G78" i="1"/>
  <c r="D114" i="1"/>
  <c r="F98" i="1"/>
  <c r="G94" i="1" s="1"/>
  <c r="I94" i="1" s="1"/>
  <c r="J94" i="1" s="1"/>
  <c r="I78" i="1" l="1"/>
  <c r="J71" i="1"/>
  <c r="J78" i="1" s="1"/>
  <c r="J80" i="1" s="1"/>
  <c r="J83" i="1" s="1"/>
  <c r="D36" i="3" s="1"/>
  <c r="D18" i="3" s="1"/>
  <c r="G95" i="1"/>
  <c r="I95" i="1" s="1"/>
  <c r="J95" i="1" s="1"/>
  <c r="G93" i="1"/>
  <c r="I93" i="1" s="1"/>
  <c r="J93" i="1" s="1"/>
  <c r="G92" i="1"/>
  <c r="I92" i="1" s="1"/>
  <c r="J92" i="1" s="1"/>
  <c r="G96" i="1"/>
  <c r="I96" i="1" s="1"/>
  <c r="J96" i="1" s="1"/>
  <c r="G91" i="1"/>
  <c r="F114" i="1"/>
  <c r="D118" i="1"/>
  <c r="D133" i="1" l="1"/>
  <c r="F118" i="1"/>
  <c r="G98" i="1"/>
  <c r="I91" i="1"/>
  <c r="F133" i="1" l="1"/>
  <c r="D137" i="1"/>
  <c r="I98" i="1"/>
  <c r="J91" i="1"/>
  <c r="J98" i="1" s="1"/>
  <c r="J100" i="1" s="1"/>
  <c r="J103" i="1" s="1"/>
  <c r="D37" i="3" s="1"/>
  <c r="G114" i="1"/>
  <c r="I114" i="1" s="1"/>
  <c r="J114" i="1" s="1"/>
  <c r="G116" i="1"/>
  <c r="I116" i="1" s="1"/>
  <c r="J116" i="1" s="1"/>
  <c r="G111" i="1"/>
  <c r="G112" i="1"/>
  <c r="I112" i="1" s="1"/>
  <c r="J112" i="1" s="1"/>
  <c r="G113" i="1"/>
  <c r="I113" i="1" s="1"/>
  <c r="J113" i="1" s="1"/>
  <c r="G115" i="1"/>
  <c r="I115" i="1" s="1"/>
  <c r="J115" i="1" s="1"/>
  <c r="F137" i="1" l="1"/>
  <c r="D152" i="1"/>
  <c r="G118" i="1"/>
  <c r="I111" i="1"/>
  <c r="F152" i="1" l="1"/>
  <c r="D156" i="1"/>
  <c r="I118" i="1"/>
  <c r="J111" i="1"/>
  <c r="J118" i="1" s="1"/>
  <c r="J120" i="1" s="1"/>
  <c r="J123" i="1" s="1"/>
  <c r="D38" i="3" s="1"/>
  <c r="G133" i="1"/>
  <c r="I133" i="1" s="1"/>
  <c r="J133" i="1" s="1"/>
  <c r="G135" i="1"/>
  <c r="I135" i="1" s="1"/>
  <c r="J135" i="1" s="1"/>
  <c r="G130" i="1"/>
  <c r="G131" i="1"/>
  <c r="I131" i="1" s="1"/>
  <c r="J131" i="1" s="1"/>
  <c r="G134" i="1"/>
  <c r="I134" i="1" s="1"/>
  <c r="J134" i="1" s="1"/>
  <c r="G132" i="1"/>
  <c r="I132" i="1" s="1"/>
  <c r="J132" i="1" s="1"/>
  <c r="D172" i="1" l="1"/>
  <c r="F156" i="1"/>
  <c r="I130" i="1"/>
  <c r="G137" i="1"/>
  <c r="G152" i="1" l="1"/>
  <c r="I152" i="1" s="1"/>
  <c r="J152" i="1" s="1"/>
  <c r="G153" i="1"/>
  <c r="I153" i="1" s="1"/>
  <c r="J153" i="1" s="1"/>
  <c r="G151" i="1"/>
  <c r="I151" i="1" s="1"/>
  <c r="J151" i="1" s="1"/>
  <c r="G149" i="1"/>
  <c r="G150" i="1"/>
  <c r="I150" i="1" s="1"/>
  <c r="J150" i="1" s="1"/>
  <c r="G154" i="1"/>
  <c r="I154" i="1" s="1"/>
  <c r="J154" i="1" s="1"/>
  <c r="J130" i="1"/>
  <c r="J137" i="1" s="1"/>
  <c r="J139" i="1" s="1"/>
  <c r="J142" i="1" s="1"/>
  <c r="D39" i="3" s="1"/>
  <c r="I137" i="1"/>
  <c r="F172" i="1"/>
  <c r="F176" i="1" s="1"/>
  <c r="D176" i="1"/>
  <c r="G172" i="1" l="1"/>
  <c r="I172" i="1" s="1"/>
  <c r="J172" i="1" s="1"/>
  <c r="G173" i="1"/>
  <c r="I173" i="1" s="1"/>
  <c r="J173" i="1" s="1"/>
  <c r="G171" i="1"/>
  <c r="I171" i="1" s="1"/>
  <c r="J171" i="1" s="1"/>
  <c r="G170" i="1"/>
  <c r="I170" i="1" s="1"/>
  <c r="J170" i="1" s="1"/>
  <c r="G174" i="1"/>
  <c r="I174" i="1" s="1"/>
  <c r="J174" i="1" s="1"/>
  <c r="G169" i="1"/>
  <c r="I149" i="1"/>
  <c r="G156" i="1"/>
  <c r="G176" i="1" l="1"/>
  <c r="I169" i="1"/>
  <c r="I156" i="1"/>
  <c r="J149" i="1"/>
  <c r="J156" i="1" s="1"/>
  <c r="J158" i="1" s="1"/>
  <c r="J161" i="1" s="1"/>
  <c r="I176" i="1" l="1"/>
  <c r="J169" i="1"/>
  <c r="J176" i="1" s="1"/>
  <c r="J178" i="1" s="1"/>
  <c r="J181" i="1" s="1"/>
  <c r="H162" i="1"/>
  <c r="D40" i="3"/>
  <c r="H40" i="3" s="1"/>
  <c r="J192" i="1" l="1"/>
  <c r="D41" i="3"/>
  <c r="D44" i="3" s="1"/>
  <c r="D46" i="3" s="1"/>
  <c r="D50" i="34" s="1"/>
  <c r="D52" i="34" s="1"/>
</calcChain>
</file>

<file path=xl/sharedStrings.xml><?xml version="1.0" encoding="utf-8"?>
<sst xmlns="http://schemas.openxmlformats.org/spreadsheetml/2006/main" count="2655" uniqueCount="603">
  <si>
    <t>Capital</t>
  </si>
  <si>
    <t>Weighted</t>
  </si>
  <si>
    <t>Grossed Up</t>
  </si>
  <si>
    <t>Ratio</t>
  </si>
  <si>
    <t>Avg Cost</t>
  </si>
  <si>
    <t>Cost</t>
  </si>
  <si>
    <t>Short Term Debt</t>
  </si>
  <si>
    <t>Long Term Debt</t>
  </si>
  <si>
    <t>Common Equity</t>
  </si>
  <si>
    <t>Total Capital</t>
  </si>
  <si>
    <t>FLORIDA POWER AND LIGHT COST OF CAPITAL</t>
  </si>
  <si>
    <t>I.  FPL Cost of Capital Per Filing</t>
  </si>
  <si>
    <t>SFHHA Rate Base</t>
  </si>
  <si>
    <t>Incremental Grossed Up ROR</t>
  </si>
  <si>
    <t>SFHHA Revenue Requirement Effect</t>
  </si>
  <si>
    <t>Amount</t>
  </si>
  <si>
    <t>Less:</t>
  </si>
  <si>
    <t>Net Change in Rate Base SFHHA Recommendation</t>
  </si>
  <si>
    <t>Adjusted Rate Base SFHHA Recommendation</t>
  </si>
  <si>
    <t>($ MILLIONS)</t>
  </si>
  <si>
    <t>Jurisdictional</t>
  </si>
  <si>
    <t>Customer Deposits</t>
  </si>
  <si>
    <t>Deferred Income Tax</t>
  </si>
  <si>
    <t>Investment Tax Credits</t>
  </si>
  <si>
    <t>Rate</t>
  </si>
  <si>
    <t>Adjusted</t>
  </si>
  <si>
    <t>Sch A-1 and C-44</t>
  </si>
  <si>
    <t>Capital Before</t>
  </si>
  <si>
    <t>Adjustment</t>
  </si>
  <si>
    <t>Jurisdictional Rate Base per FPL Filing</t>
  </si>
  <si>
    <t>Operating Income Adjustments:</t>
  </si>
  <si>
    <t>Rate Base Adjustments:</t>
  </si>
  <si>
    <t>Capital Structure and Rate of Return Adjustments:</t>
  </si>
  <si>
    <t>FLORIDA POWER AND LIGHT</t>
  </si>
  <si>
    <t>Gross-Up</t>
  </si>
  <si>
    <t>Factor</t>
  </si>
  <si>
    <t>See C-44</t>
  </si>
  <si>
    <t>(1)</t>
  </si>
  <si>
    <t>Federal Income Tax Rate</t>
  </si>
  <si>
    <t>State Income Tax Rate</t>
  </si>
  <si>
    <t xml:space="preserve">Bad Debt </t>
  </si>
  <si>
    <t>Regulatory Assessment Fee</t>
  </si>
  <si>
    <t>Grossed up costs include effects of federal and state income taxes, bad debt expense and regulatory assessment fee found on Schedule C-44.</t>
  </si>
  <si>
    <t>Incudes Gross Up Factor</t>
  </si>
  <si>
    <t>Total SFHHA Adjustments</t>
  </si>
  <si>
    <t>Sch C-44 and D-1a</t>
  </si>
  <si>
    <t>SFHHA Recommendation for Base Rate Change</t>
  </si>
  <si>
    <t>REVENUE REQUIREMENT RECOMMENDED BY SFHHA</t>
  </si>
  <si>
    <t>Base Rate Change per FP&amp;L Filing</t>
  </si>
  <si>
    <t>SFHHA Recommendation for Canaveral Step Increase</t>
  </si>
  <si>
    <t>SFHHA RECOMMENDED RATE BASE</t>
  </si>
  <si>
    <t>Eliminate Unamortized Rate Case Expense</t>
  </si>
  <si>
    <t>Adjust ADIT for Rate Base Adjustments</t>
  </si>
  <si>
    <t>Set Return on Equity at 9.0%</t>
  </si>
  <si>
    <t>Reflect Additional ADIT - Bonus Depreciation</t>
  </si>
  <si>
    <t>Grossed Up Rate of Return - As Filed</t>
  </si>
  <si>
    <t>Combined Federal and State Tax Rate - As Filed</t>
  </si>
  <si>
    <t>Balance</t>
  </si>
  <si>
    <t>Month</t>
  </si>
  <si>
    <t>ADIT</t>
  </si>
  <si>
    <t>Amounts</t>
  </si>
  <si>
    <t>Affecting</t>
  </si>
  <si>
    <t>SFHHA ADJUSTMENT IN LIABILITY ADIT IN THE CAPITAL STRUCTURE</t>
  </si>
  <si>
    <t>Every 1% Change</t>
  </si>
  <si>
    <t>BASED UPON CERTAIN RATE BASE CHANGES</t>
  </si>
  <si>
    <t>DOCKET NO. 160021-EI</t>
  </si>
  <si>
    <t>TEST YEAR ENDING DECEMBER 31, 2017</t>
  </si>
  <si>
    <t>TEST YEAR ENDING DECEMBER 31, 2018</t>
  </si>
  <si>
    <t>REVENUE REQUIREMENT RECOMMENDED BY SFHHA - OKEECHOBEE CLEAN ENERGY CENTER</t>
  </si>
  <si>
    <t>TEST YEAR ENDING MAY 31, 2020</t>
  </si>
  <si>
    <t>SFHHA RECOMMENDED RATE BASE - OKEECHOBEE CLEAN ENERGY CENTER</t>
  </si>
  <si>
    <t>SFHHA Recommendation for Base Rate Change (Incremental to 2017 Recommendation)</t>
  </si>
  <si>
    <t>FOR OKEECHOBEE CLEAN ENERGY CENTER</t>
  </si>
  <si>
    <t>1% ROE Change</t>
  </si>
  <si>
    <t>I.  FPL Cost of Capital Per Filing - Okeechobee Clean Energy Center</t>
  </si>
  <si>
    <t>SFHHA Rate Base - Okeechobee</t>
  </si>
  <si>
    <t>STD</t>
  </si>
  <si>
    <t>LTD</t>
  </si>
  <si>
    <t>C.E.</t>
  </si>
  <si>
    <t xml:space="preserve">As Filed </t>
  </si>
  <si>
    <t>Adj 5% To STD</t>
  </si>
  <si>
    <t>FLORIDA PUBLIC SERVICE COMMISSION</t>
  </si>
  <si>
    <t>EXPLANATION:    Provide the specified data on long-term debt</t>
  </si>
  <si>
    <t>Type of Data Shown:</t>
  </si>
  <si>
    <t>       issues on a 13-month average basis for the test year,</t>
  </si>
  <si>
    <r>
      <rPr>
        <u/>
        <sz val="10"/>
        <rFont val="Arial"/>
        <family val="2"/>
      </rPr>
      <t xml:space="preserve">    </t>
    </r>
    <r>
      <rPr>
        <sz val="10"/>
        <rFont val="Arial"/>
        <family val="2"/>
      </rPr>
      <t xml:space="preserve"> Projected Test Year Ended __/__/__</t>
    </r>
  </si>
  <si>
    <t>COMPANY: FLORIDA POWER &amp; LIGHT COMPANY</t>
  </si>
  <si>
    <t>       prior year, and historical base year.</t>
  </si>
  <si>
    <r>
      <rPr>
        <u/>
        <sz val="10"/>
        <rFont val="Arial"/>
        <family val="2"/>
      </rPr>
      <t xml:space="preserve">    </t>
    </r>
    <r>
      <rPr>
        <sz val="10"/>
        <rFont val="Arial"/>
        <family val="2"/>
      </rPr>
      <t xml:space="preserve"> Prior Year Ended __/__/__</t>
    </r>
  </si>
  <si>
    <t>         AND SUBSIDIARIES</t>
  </si>
  <si>
    <t>       Arrange by type of issue (i.e., first mortgage bonds)</t>
  </si>
  <si>
    <r>
      <rPr>
        <u/>
        <sz val="10"/>
        <rFont val="Arial"/>
        <family val="2"/>
      </rPr>
      <t xml:space="preserve">    </t>
    </r>
    <r>
      <rPr>
        <sz val="10"/>
        <rFont val="Arial"/>
        <family val="2"/>
      </rPr>
      <t xml:space="preserve"> Historical Test Year Ended __/__/__</t>
    </r>
  </si>
  <si>
    <r>
      <rPr>
        <u/>
        <sz val="10"/>
        <rFont val="Arial"/>
        <family val="2"/>
      </rPr>
      <t xml:space="preserve"> X </t>
    </r>
    <r>
      <rPr>
        <sz val="10"/>
        <rFont val="Arial"/>
        <family val="2"/>
      </rPr>
      <t xml:space="preserve"> Proj. Subsequent Yr Ended </t>
    </r>
    <r>
      <rPr>
        <u/>
        <sz val="10"/>
        <rFont val="Arial"/>
        <family val="2"/>
      </rPr>
      <t>12/31/18</t>
    </r>
  </si>
  <si>
    <t>DOCKET NO.: 160021-EI</t>
  </si>
  <si>
    <t>     ($000)</t>
  </si>
  <si>
    <t>Witness: Moray P. Dewhurst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</si>
  <si>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</si>
  <si>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</si>
  <si>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</si>
  <si>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</si>
  <si>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</si>
  <si>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</si>
  <si>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</si>
  <si>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</si>
  <si>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</si>
  <si>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</si>
  <si>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</si>
  <si>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</si>
  <si>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Line No.</t>
  </si>
  <si>
    <t>Description/Coupon Rate</t>
  </si>
  <si>
    <t>Issue Date</t>
  </si>
  <si>
    <t>Maturity Date</t>
  </si>
  <si>
    <t>Principal Amount Sold (Face Value)</t>
  </si>
  <si>
    <t>13-Month Average Principal Amt. Outstanding</t>
  </si>
  <si>
    <t>Discount (Premium) on Principal Amount Sold</t>
  </si>
  <si>
    <t>Issuing Expense on Principal Amount Sold</t>
  </si>
  <si>
    <t>Life (Years)</t>
  </si>
  <si>
    <t>Annual Amortization (6+7)/(8)</t>
  </si>
  <si>
    <t>Interest Expense (Coupon Rate) (1) x (5)</t>
  </si>
  <si>
    <t>Total Annual Cost (9)+(10)</t>
  </si>
  <si>
    <t>Unamortized Discount (Premium) Associated with (6)</t>
  </si>
  <si>
    <t>Unamort. Issuing Expense &amp; Loss on Reacquired Debt Associated with (7)</t>
  </si>
  <si>
    <t>1</t>
  </si>
  <si>
    <t>First Mortgage Bonds:</t>
  </si>
  <si>
    <t>2</t>
  </si>
  <si>
    <t>6.50%</t>
  </si>
  <si>
    <t>Nov 2018</t>
  </si>
  <si>
    <t>Nov 2048</t>
  </si>
  <si>
    <t>3</t>
  </si>
  <si>
    <t>6.16%</t>
  </si>
  <si>
    <t>Nov 2017</t>
  </si>
  <si>
    <t>Nov 2047</t>
  </si>
  <si>
    <t>4</t>
  </si>
  <si>
    <t>Mar 2017</t>
  </si>
  <si>
    <t>Mar 2047</t>
  </si>
  <si>
    <t>5</t>
  </si>
  <si>
    <t>2.75%</t>
  </si>
  <si>
    <t>Jun 2013</t>
  </si>
  <si>
    <t>Jun 2023</t>
  </si>
  <si>
    <t>6</t>
  </si>
  <si>
    <t>5.625%</t>
  </si>
  <si>
    <t>Apr 2003</t>
  </si>
  <si>
    <t>Apr 2034</t>
  </si>
  <si>
    <t>7</t>
  </si>
  <si>
    <t>5.4%</t>
  </si>
  <si>
    <t>Sep 2005</t>
  </si>
  <si>
    <t>Oct 2035</t>
  </si>
  <si>
    <t>8</t>
  </si>
  <si>
    <t>5.65%</t>
  </si>
  <si>
    <t>Jan 2006</t>
  </si>
  <si>
    <t>Feb 2037</t>
  </si>
  <si>
    <t>9</t>
  </si>
  <si>
    <t>6.2%</t>
  </si>
  <si>
    <t>Apr 2006</t>
  </si>
  <si>
    <t>Apr 2036</t>
  </si>
  <si>
    <t>10</t>
  </si>
  <si>
    <t>4.95%</t>
  </si>
  <si>
    <t>Jun 2005</t>
  </si>
  <si>
    <t>Jun 2035</t>
  </si>
  <si>
    <t>11</t>
  </si>
  <si>
    <t>5.85%</t>
  </si>
  <si>
    <t>Dec 2002</t>
  </si>
  <si>
    <t>Feb 2033</t>
  </si>
  <si>
    <t>12</t>
  </si>
  <si>
    <t>Apr 2007</t>
  </si>
  <si>
    <t>May 2037</t>
  </si>
  <si>
    <t>13</t>
  </si>
  <si>
    <t>5.95%</t>
  </si>
  <si>
    <t>Jan 2008</t>
  </si>
  <si>
    <t>Feb 2038</t>
  </si>
  <si>
    <t>14</t>
  </si>
  <si>
    <t>5.96%</t>
  </si>
  <si>
    <t>Mar 2009</t>
  </si>
  <si>
    <t>Apr 2039</t>
  </si>
  <si>
    <t>15</t>
  </si>
  <si>
    <t>5.25%</t>
  </si>
  <si>
    <t>Dec 2010</t>
  </si>
  <si>
    <t>Feb 2041</t>
  </si>
  <si>
    <t>16</t>
  </si>
  <si>
    <t>5.69%</t>
  </si>
  <si>
    <t>Feb 2010</t>
  </si>
  <si>
    <t>Feb 2040</t>
  </si>
  <si>
    <t>17</t>
  </si>
  <si>
    <t>5.125%</t>
  </si>
  <si>
    <t>Jun 2011</t>
  </si>
  <si>
    <t>Jun 2041</t>
  </si>
  <si>
    <t>18</t>
  </si>
  <si>
    <t>Jan 2004</t>
  </si>
  <si>
    <t>Feb 2035</t>
  </si>
  <si>
    <t>19</t>
  </si>
  <si>
    <t>Oct 2003</t>
  </si>
  <si>
    <t>Oct 2033</t>
  </si>
  <si>
    <t>20</t>
  </si>
  <si>
    <t>4.125%</t>
  </si>
  <si>
    <t>Dec 2011</t>
  </si>
  <si>
    <t>Feb 2042</t>
  </si>
  <si>
    <t>21</t>
  </si>
  <si>
    <t>3.8%</t>
  </si>
  <si>
    <t>Dec 2012</t>
  </si>
  <si>
    <t>Dec 2042</t>
  </si>
  <si>
    <t>22</t>
  </si>
  <si>
    <t>4.05%</t>
  </si>
  <si>
    <t>May 2012</t>
  </si>
  <si>
    <t>Jun 2042</t>
  </si>
  <si>
    <t>23</t>
  </si>
  <si>
    <t>Sep 2014</t>
  </si>
  <si>
    <t>Oct 2044</t>
  </si>
  <si>
    <t>24</t>
  </si>
  <si>
    <t>3.25%</t>
  </si>
  <si>
    <t>May 2014</t>
  </si>
  <si>
    <t>Jun 2024</t>
  </si>
  <si>
    <t>25</t>
  </si>
  <si>
    <t>3.85%</t>
  </si>
  <si>
    <t>Nov 2015</t>
  </si>
  <si>
    <t>Nov 2025</t>
  </si>
  <si>
    <t>26</t>
  </si>
  <si>
    <t>4.75%</t>
  </si>
  <si>
    <t>Mar 2016</t>
  </si>
  <si>
    <t>Mar 2046</t>
  </si>
  <si>
    <t>27</t>
  </si>
  <si>
    <t>6.69%</t>
  </si>
  <si>
    <t>Feb 2018</t>
  </si>
  <si>
    <t>Feb 2048</t>
  </si>
  <si>
    <t>28</t>
  </si>
  <si>
    <t>29</t>
  </si>
  <si>
    <t>Storm Securitization Bonds:</t>
  </si>
  <si>
    <t>30</t>
  </si>
  <si>
    <t>5.256%</t>
  </si>
  <si>
    <t>May 2007</t>
  </si>
  <si>
    <t>Aug 2019</t>
  </si>
  <si>
    <t>Supporting Schedules: D-4b</t>
  </si>
  <si>
    <t>Recap Schedules: D-1a</t>
  </si>
  <si>
    <t>Term Loans:</t>
  </si>
  <si>
    <t>Var Term Loan</t>
  </si>
  <si>
    <t>Unsecured Pollution Control and Industrial Development Bonds:</t>
  </si>
  <si>
    <t>Var Broward County</t>
  </si>
  <si>
    <t>Jun 2015</t>
  </si>
  <si>
    <t>Jun 2045</t>
  </si>
  <si>
    <t>Var Dade County</t>
  </si>
  <si>
    <t>Aug 1991</t>
  </si>
  <si>
    <t>Feb 2023</t>
  </si>
  <si>
    <t>Dec 1993</t>
  </si>
  <si>
    <t>Jun 2021</t>
  </si>
  <si>
    <t>Var Jacksonville</t>
  </si>
  <si>
    <t>Mar 1994</t>
  </si>
  <si>
    <t>Sep 2024</t>
  </si>
  <si>
    <t>Var Manatee</t>
  </si>
  <si>
    <t>Var Putnam</t>
  </si>
  <si>
    <t>May 1992</t>
  </si>
  <si>
    <t>May 2027</t>
  </si>
  <si>
    <t>Mar 1995</t>
  </si>
  <si>
    <t>Apr 2020</t>
  </si>
  <si>
    <t>Jun 1995</t>
  </si>
  <si>
    <t>May 2029</t>
  </si>
  <si>
    <t>Var Martin</t>
  </si>
  <si>
    <t>Apr 2000</t>
  </si>
  <si>
    <t>Jul 2022</t>
  </si>
  <si>
    <t>Var St. Lucie</t>
  </si>
  <si>
    <t>Sep 2000</t>
  </si>
  <si>
    <t>Sep 2028</t>
  </si>
  <si>
    <t>May 2003</t>
  </si>
  <si>
    <t>May 2024</t>
  </si>
  <si>
    <t>Gain/Loss on Reacquired Debt</t>
  </si>
  <si>
    <t/>
  </si>
  <si>
    <t>Total</t>
  </si>
  <si>
    <t>Less Unamortized Premium, Discount, Issue</t>
  </si>
  <si>
    <t>and Loss Col (12) + (13)</t>
  </si>
  <si>
    <t>Net</t>
  </si>
  <si>
    <t>Embedded Cost of Long-Term Debt Col (11)/Net</t>
  </si>
  <si>
    <t>See Response to Staff Int 4-27</t>
  </si>
  <si>
    <t>Outstanding Excl Storm Secur</t>
  </si>
  <si>
    <t>Unamortized Costs Excl Storm Secur</t>
  </si>
  <si>
    <t>Unamortized Prepaid Commitment Fees</t>
  </si>
  <si>
    <t>Annual Cost Excl Storm Secur</t>
  </si>
  <si>
    <t>Amort of Loss on Reacq Debt</t>
  </si>
  <si>
    <r>
      <rPr>
        <u/>
        <sz val="10"/>
        <rFont val="Arial"/>
        <family val="2"/>
      </rPr>
      <t xml:space="preserve"> X  </t>
    </r>
    <r>
      <rPr>
        <sz val="10"/>
        <rFont val="Arial"/>
        <family val="2"/>
      </rPr>
      <t xml:space="preserve"> Projected Test Year Ended  </t>
    </r>
    <r>
      <rPr>
        <u/>
        <sz val="10"/>
        <rFont val="Arial"/>
        <family val="2"/>
      </rPr>
      <t>12/31/17</t>
    </r>
  </si>
  <si>
    <r>
      <rPr>
        <u/>
        <sz val="10"/>
        <rFont val="Arial"/>
        <family val="2"/>
      </rPr>
      <t xml:space="preserve">     </t>
    </r>
    <r>
      <rPr>
        <sz val="10"/>
        <rFont val="Arial"/>
        <family val="2"/>
      </rPr>
      <t xml:space="preserve"> Prior Year Ended __/__/__</t>
    </r>
  </si>
  <si>
    <r>
      <rPr>
        <u/>
        <sz val="10"/>
        <rFont val="Arial"/>
        <family val="2"/>
      </rPr>
      <t xml:space="preserve">     </t>
    </r>
    <r>
      <rPr>
        <sz val="10"/>
        <rFont val="Arial"/>
        <family val="2"/>
      </rPr>
      <t xml:space="preserve"> Historical Test Year Ended __/__/__</t>
    </r>
  </si>
  <si>
    <t>5.55%</t>
  </si>
  <si>
    <t>Oct 2007</t>
  </si>
  <si>
    <t xml:space="preserve"> Supporting Schedules: D-4b</t>
  </si>
  <si>
    <t>II.  FPL Cost of Capital Adjusted to Reflect Updated ADIT</t>
  </si>
  <si>
    <t>Restate STD Commitment Fees as Operating Expense</t>
  </si>
  <si>
    <t>Adjust Capital Structure - 55% Common Equity</t>
  </si>
  <si>
    <t>Function</t>
  </si>
  <si>
    <t>SFHHA REDUCTION TO DEPRECIATION EXPENSE TO INCREASE REMAINING LIFE BY 1 YEAR</t>
  </si>
  <si>
    <t>Steam</t>
  </si>
  <si>
    <t>Nuclear</t>
  </si>
  <si>
    <t>Combined Cycle</t>
  </si>
  <si>
    <t>Peaker Plants</t>
  </si>
  <si>
    <t>Solar</t>
  </si>
  <si>
    <t>Proposed</t>
  </si>
  <si>
    <t>Depr Rate</t>
  </si>
  <si>
    <t>Transmission</t>
  </si>
  <si>
    <t>Distribution</t>
  </si>
  <si>
    <t>General</t>
  </si>
  <si>
    <t>Total All</t>
  </si>
  <si>
    <t xml:space="preserve">Composite </t>
  </si>
  <si>
    <t>Remaining Life</t>
  </si>
  <si>
    <t>FP&amp;L</t>
  </si>
  <si>
    <t>SFHHA</t>
  </si>
  <si>
    <t>Reduction</t>
  </si>
  <si>
    <t>Plant</t>
  </si>
  <si>
    <t>2017 TY</t>
  </si>
  <si>
    <t>Sch B-8</t>
  </si>
  <si>
    <t>Total Company</t>
  </si>
  <si>
    <t>Depr Expense</t>
  </si>
  <si>
    <t>Sch C-4</t>
  </si>
  <si>
    <t xml:space="preserve">Separation </t>
  </si>
  <si>
    <t xml:space="preserve">   Total Other Production</t>
  </si>
  <si>
    <t>Other Production</t>
  </si>
  <si>
    <t>Life</t>
  </si>
  <si>
    <t>Check on Sch B-8</t>
  </si>
  <si>
    <t>Dist - Clauses</t>
  </si>
  <si>
    <t>Intang</t>
  </si>
  <si>
    <t>Scherer Acq Adj</t>
  </si>
  <si>
    <t>Total Depr Plant</t>
  </si>
  <si>
    <t>Gen Plant ECCR</t>
  </si>
  <si>
    <t>Gen Plant Trans Clauses</t>
  </si>
  <si>
    <t>2018 TY</t>
  </si>
  <si>
    <t>Total Other Production</t>
  </si>
  <si>
    <t>Base Rate Change from Present Rates per FP&amp;L Filing - Includes YTD Costs</t>
  </si>
  <si>
    <t>SFHHA Recommendation for Base Rate Change Based on 2017 Test Year</t>
  </si>
  <si>
    <t>SFHHA Recommendation for Base Rate Change Based on 2018 Test Year</t>
  </si>
  <si>
    <t>Remove Accrued Revenues from Cash Working Capital</t>
  </si>
  <si>
    <t>Okeechobee Step Increase per FP&amp;L Filing</t>
  </si>
  <si>
    <t>Removal of ECRC Amounts by Function and Type of Production - See Schedule B-8</t>
  </si>
  <si>
    <t>Steam Production</t>
  </si>
  <si>
    <t xml:space="preserve">  Manatee Gas Reburn ECRC</t>
  </si>
  <si>
    <t xml:space="preserve">  Scherer Unit 4 Baghouse ECRC</t>
  </si>
  <si>
    <t>13 Month Avg</t>
  </si>
  <si>
    <t xml:space="preserve">  SJRPP Unit 1 SCR ECRC </t>
  </si>
  <si>
    <t xml:space="preserve">  SJRPP Unit 2 SCR ECRC </t>
  </si>
  <si>
    <t xml:space="preserve">  Steam Plant ECRC</t>
  </si>
  <si>
    <t>Source:  Gannett Fleming Depreciation Study page vi and VI 8-16, Sch B-8 - Plant Amounts exclude ECRC Costs</t>
  </si>
  <si>
    <t>Total Steam Production ECRC</t>
  </si>
  <si>
    <t>Nuclear Plant ECRC</t>
  </si>
  <si>
    <t xml:space="preserve">  Desoto Solar ECRC</t>
  </si>
  <si>
    <t xml:space="preserve">  Martin Solar ECRC</t>
  </si>
  <si>
    <t xml:space="preserve">  Other Production ECRC</t>
  </si>
  <si>
    <t xml:space="preserve">  Space Coast Solar ECRC</t>
  </si>
  <si>
    <t>Gas Reserves FCR - Depletion</t>
  </si>
  <si>
    <t>Transmission ECRC</t>
  </si>
  <si>
    <t xml:space="preserve">General Plant ECRC </t>
  </si>
  <si>
    <t>Total ECRC</t>
  </si>
  <si>
    <t>W/O</t>
  </si>
  <si>
    <t>Gross Up</t>
  </si>
  <si>
    <t>Reflect End of Life Nuclear Fuel and Materials and Supplies in Decommissiong</t>
  </si>
  <si>
    <t xml:space="preserve">Extend Capital Amortization Period for Retired Plant Costs to 10 Years </t>
  </si>
  <si>
    <t>Remove 0.50% Return on Equity Incentive</t>
  </si>
  <si>
    <t>III.  FPL Cost of Capital Adjusted to Remove FPL Request for an ROE Incentive of 0.50%</t>
  </si>
  <si>
    <t>for 2018 Test Year</t>
  </si>
  <si>
    <t>IV.  FPL Cost of Capital Adjusted to Restate ROE at 9.0% as Recommended by Mr. Baudino</t>
  </si>
  <si>
    <t>Base Revenue Requirement</t>
  </si>
  <si>
    <t xml:space="preserve">Grossed up costs include effects of federal and state income taxes, bad debt expense and regulatory assessment fee found </t>
  </si>
  <si>
    <t xml:space="preserve"> on Schedule C-44.</t>
  </si>
  <si>
    <t>Reduce Depreciation Expense</t>
  </si>
  <si>
    <t>See Schedule B-2  page 3 line 22  100% Jurisdictional</t>
  </si>
  <si>
    <t>See Schedule B-6  page 10 line 34 and SFHHA 5-132 and 5-133</t>
  </si>
  <si>
    <t>Jurisd % = 96.7454%</t>
  </si>
  <si>
    <t>See Schedule B-6  page 11 line 8 and SFHHA 5-132 and 5-133</t>
  </si>
  <si>
    <t>Jurisd % = 96.8204%</t>
  </si>
  <si>
    <t>II.  FPL Cost of Capital Adjusted to Reflect Updated ADIT for Changes to Rate Base</t>
  </si>
  <si>
    <t>Correct Company's Allocation Methodology for ADIT - Treasury Reg 1.67(l)-1(h)(6)</t>
  </si>
  <si>
    <t>Correct Company Admitted Error for Balance of Deferred Pension Debit</t>
  </si>
  <si>
    <t>III.  FPL Cost of Capital Adjusted to Correct Allocation Methodology for the Reduction of ADIT - Treasury Reg 1.167(l)-1(h)(6)</t>
  </si>
  <si>
    <t>IV.  FPL Cost of Capital Adjusted to Reflect STD Commitment Fees as Operating Expense</t>
  </si>
  <si>
    <t>ADIT Adjustment</t>
  </si>
  <si>
    <t>As Filed and Adjusted Above</t>
  </si>
  <si>
    <t>IV.  FPL Cost of Capital Adjusted to Reflect STD Commitment Fees as Operating Expense - Same as 2017</t>
  </si>
  <si>
    <t>Reduce Injuries and Damages Expense</t>
  </si>
  <si>
    <t>Testimony Describes Quantification</t>
  </si>
  <si>
    <t>Source:  Schedule B-21</t>
  </si>
  <si>
    <t>TEST YEAR ENDING DECEMBER 31, 2017 AND 2018</t>
  </si>
  <si>
    <t>Amortization Period in Years</t>
  </si>
  <si>
    <t>SFHHA REDUCTION IN INJURIES AND DAMAGES EXPENSE TO AMORTIZE EXCESS RESERVE BALANCE</t>
  </si>
  <si>
    <t>Total Company Reduction in Expense Due to Amortization of Excess Reserve</t>
  </si>
  <si>
    <t>Revenue Requirement Increase to Rate Base</t>
  </si>
  <si>
    <t>Jurisdictional Reduction in Expense Due to Amortization of Excess Reserve</t>
  </si>
  <si>
    <t>Increase in Rate Base - Jurisdictional</t>
  </si>
  <si>
    <t>Jurisdictional Percentage - Sch B-6 page 11 and C-4 page 9</t>
  </si>
  <si>
    <r>
      <t xml:space="preserve">Account 228.2 Injuries and Damages Excess Reserve </t>
    </r>
    <r>
      <rPr>
        <b/>
        <sz val="10"/>
        <rFont val="Arial"/>
        <family val="2"/>
      </rPr>
      <t>B</t>
    </r>
    <r>
      <rPr>
        <sz val="10"/>
        <rFont val="Arial"/>
        <family val="2"/>
      </rPr>
      <t>alance - Total Company</t>
    </r>
  </si>
  <si>
    <t>Total Co</t>
  </si>
  <si>
    <t xml:space="preserve">13 Month </t>
  </si>
  <si>
    <t>Avg</t>
  </si>
  <si>
    <t>Total Company As Filed 13 Month Rate Base - See Sch B-9</t>
  </si>
  <si>
    <t>See B-17 for Jurisdictional Amount in Account 173</t>
  </si>
  <si>
    <t>Amortize Injuries and Damages Excess Reserve Balance Over 4 Years</t>
  </si>
  <si>
    <t xml:space="preserve">Annual Expense Accrual </t>
  </si>
  <si>
    <t>Annual Wtd Cost of Capital</t>
  </si>
  <si>
    <t>Annual Grossed Up COC</t>
  </si>
  <si>
    <t>Incr In</t>
  </si>
  <si>
    <t>Net of Tx</t>
  </si>
  <si>
    <t>Reserve</t>
  </si>
  <si>
    <t>Monthly</t>
  </si>
  <si>
    <t>Increase</t>
  </si>
  <si>
    <t>Res + Prior</t>
  </si>
  <si>
    <t>Net of ADIT</t>
  </si>
  <si>
    <t>Return</t>
  </si>
  <si>
    <t>Amort</t>
  </si>
  <si>
    <t>In Reserve</t>
  </si>
  <si>
    <t>Month Ret</t>
  </si>
  <si>
    <t>13 Mo Avg</t>
  </si>
  <si>
    <t>On</t>
  </si>
  <si>
    <t>SFHHA ADJUSTMENT TO DISMANTLEMENT RESERVE</t>
  </si>
  <si>
    <t>NPV</t>
  </si>
  <si>
    <t>Year</t>
  </si>
  <si>
    <t>($ 000's)</t>
  </si>
  <si>
    <t>Levelize Return on Dismantlement Reserve Amortization</t>
  </si>
  <si>
    <t>SFHHA REDUCTION IN EOL MATERIALS &amp; SUPPLIES AND NUCLEAR FUEL LAST CORE EXPENSE</t>
  </si>
  <si>
    <t>INCLUDING AMORTIZATION OF EXCESS RESERVE BALANCE</t>
  </si>
  <si>
    <r>
      <t xml:space="preserve">Account 228.4 EOL M&amp;S Inventory Excess Reserve </t>
    </r>
    <r>
      <rPr>
        <b/>
        <sz val="10"/>
        <rFont val="Arial"/>
        <family val="2"/>
      </rPr>
      <t>B</t>
    </r>
    <r>
      <rPr>
        <sz val="10"/>
        <rFont val="Arial"/>
        <family val="2"/>
      </rPr>
      <t>alance - Total Company</t>
    </r>
  </si>
  <si>
    <r>
      <t xml:space="preserve">Account 228.4 Nuclear Last Core Excess Reserve </t>
    </r>
    <r>
      <rPr>
        <b/>
        <sz val="10"/>
        <rFont val="Arial"/>
        <family val="2"/>
      </rPr>
      <t>B</t>
    </r>
    <r>
      <rPr>
        <sz val="10"/>
        <rFont val="Arial"/>
        <family val="2"/>
      </rPr>
      <t>alance - Total Company</t>
    </r>
  </si>
  <si>
    <t>Remove Current Year Accrual - EOL M&amp;S Inventory - Total Company</t>
  </si>
  <si>
    <t>Remove Current Year Accrual - Nuclear Last Core - Total Company</t>
  </si>
  <si>
    <t>Total Expense Reduction - Total Company</t>
  </si>
  <si>
    <t>Jurisdictional Reduction in Expense</t>
  </si>
  <si>
    <t>Amortize End of Life M&amp;S Inv and Nuclear Last Core Excess Reserve Balance Over 4 Years</t>
  </si>
  <si>
    <t>Jurisdictional Percentage - Sch C-4 page 4</t>
  </si>
  <si>
    <t>Remove Depreciation Expense Increase Based on Depreciation Study Proposed Rates</t>
  </si>
  <si>
    <t>See Sch C-2</t>
  </si>
  <si>
    <t>See Schedule B-2 Page 3 Line 9</t>
  </si>
  <si>
    <t>Grossed Up rate of Return</t>
  </si>
  <si>
    <t>Return on Increased Rate Base</t>
  </si>
  <si>
    <t>Increase in Rate Base at End of 2017 - Accum Depr</t>
  </si>
  <si>
    <t>Estimated 13 Month Avg Using Midway Point</t>
  </si>
  <si>
    <t>Total Increase by End of 2017</t>
  </si>
  <si>
    <t>Estimated Revenue Requirement Effect</t>
  </si>
  <si>
    <t>Increase in Rate Base at End of 2018 - Accum Depr</t>
  </si>
  <si>
    <t>Increase in ADIT for 2017</t>
  </si>
  <si>
    <t>Total Increase by End of 2018</t>
  </si>
  <si>
    <t>Total 2017</t>
  </si>
  <si>
    <t xml:space="preserve">Estimated Revenue Requirement Effect </t>
  </si>
  <si>
    <t>Increase/(Reduction) in Liability ADIT in Capital Structure</t>
  </si>
  <si>
    <t>SFHHA REDUCTION IN CAPITAL RECOVERY AMORTIZATION TO AMORTIZE OVER 10 YEARS</t>
  </si>
  <si>
    <t>Total Company - Base Revenues - Total Unrecovered Costs</t>
  </si>
  <si>
    <t>As Filed - Total Company Amortization Over 4 Years</t>
  </si>
  <si>
    <t>As-Filed Amortization Period</t>
  </si>
  <si>
    <t xml:space="preserve">As Filed Jurisdictional Percentage </t>
  </si>
  <si>
    <t>As Filed Amortization For Adjustment</t>
  </si>
  <si>
    <t>Source:  Exhibit KF-3 - Sch C-2 and Sch C-3</t>
  </si>
  <si>
    <t>SFHHA Recommended Amortization Period</t>
  </si>
  <si>
    <t>SFHHA Recommended  - Total Company Amortization Over 10 Years</t>
  </si>
  <si>
    <t>SFHHA Recommended Reduction in Amortization Expense</t>
  </si>
  <si>
    <t xml:space="preserve">Increase Rate Base to Reflect Extended Amortization of Capital Recovery Costs </t>
  </si>
  <si>
    <t>Reduce Accumulated Depreciation to Reflect Depreciation Expense Reduction</t>
  </si>
  <si>
    <t>Reduce Accumulated Fossil Dismantling to Refect Dismantling Expense Reduction</t>
  </si>
  <si>
    <t>Total Revenue Requirement Reduction</t>
  </si>
  <si>
    <t>SFHHA REDUCTION IN DISMANTLING COSTS TO REMOVE 20% CONTIGENCY</t>
  </si>
  <si>
    <t xml:space="preserve">Source:  Exhibit KF-5 And Dismantling Study </t>
  </si>
  <si>
    <t>Total Proposed Accrual for 2017 and 2018</t>
  </si>
  <si>
    <t>SFHHA Recommended Accrual to Remove 20% Contingency</t>
  </si>
  <si>
    <t>Reduction in Contingency Accrual - Total Company</t>
  </si>
  <si>
    <t xml:space="preserve">Reduction in Contingency Accrual - Jurisdictional </t>
  </si>
  <si>
    <t>Total Proposed Accrual for 2017 and 2018 - Scherer</t>
  </si>
  <si>
    <t>Remove 20% Contingency Included for all Plants</t>
  </si>
  <si>
    <t>As-Filed 22 Years Recovery Period</t>
  </si>
  <si>
    <t>Total Expense Throughout Recovery Period</t>
  </si>
  <si>
    <t>Recommended Proposed Accrual</t>
  </si>
  <si>
    <t xml:space="preserve">Less 20% Contingency Removed in Separate Adjustment </t>
  </si>
  <si>
    <t>Reduction in Accrual - Total Company</t>
  </si>
  <si>
    <t xml:space="preserve">Reduction in Accrual - Jurisdictional </t>
  </si>
  <si>
    <t>St Johns River</t>
  </si>
  <si>
    <t>Reduce Fossil Dismantlement Expense to Remove 20% Contingency</t>
  </si>
  <si>
    <t>Reduce Fossil Dismantlement Expense to Extend Lives for Scherer 4 and St. Johns River</t>
  </si>
  <si>
    <t>Total Reduction in Annual Accrual</t>
  </si>
  <si>
    <t>Reduce Accumulated Fossil Dismantling to Reflect Dismantling Expense Reductions</t>
  </si>
  <si>
    <t>Depreciation - Primary</t>
  </si>
  <si>
    <t>Increase in ADIT at 38.575%</t>
  </si>
  <si>
    <t xml:space="preserve">SFHHA REDUCTION TO DEPRECIATION EXPENSE TO COMBINE ALL ACCOUNT 343 - PRIME MOVERS </t>
  </si>
  <si>
    <t>Lauderdale-Common</t>
  </si>
  <si>
    <t>Lauderdale-Unit 4</t>
  </si>
  <si>
    <t>Lauderdale-Unit 5</t>
  </si>
  <si>
    <t>Source: Depr Study VI-10 through VI-15</t>
  </si>
  <si>
    <t>Future</t>
  </si>
  <si>
    <t>Accruals</t>
  </si>
  <si>
    <t>Acct 343 - Prime Movers-General</t>
  </si>
  <si>
    <t>Rem</t>
  </si>
  <si>
    <t>Original</t>
  </si>
  <si>
    <t>Annual</t>
  </si>
  <si>
    <t>Depr</t>
  </si>
  <si>
    <t>As-Filed</t>
  </si>
  <si>
    <t xml:space="preserve">   Sub Total</t>
  </si>
  <si>
    <t>Account</t>
  </si>
  <si>
    <t>Total Acct 343</t>
  </si>
  <si>
    <t>Acct 343 - Prime Movers-Cap Spare Parts</t>
  </si>
  <si>
    <t>Accum</t>
  </si>
  <si>
    <t>NBV</t>
  </si>
  <si>
    <t>Ft Meyers-Common</t>
  </si>
  <si>
    <t>Ft Meyers-Unit 2</t>
  </si>
  <si>
    <t>Ft Meyers-Unit 3</t>
  </si>
  <si>
    <t>Manatee Unit 3</t>
  </si>
  <si>
    <t>Martin-Common</t>
  </si>
  <si>
    <t>Martin-Unit 3</t>
  </si>
  <si>
    <t>Martin-Unit 4</t>
  </si>
  <si>
    <t>Martin-Unit 8</t>
  </si>
  <si>
    <t>Sanford-Unit 4</t>
  </si>
  <si>
    <t>Sanford-Unit 5</t>
  </si>
  <si>
    <t>Turket Pt - Unit 5</t>
  </si>
  <si>
    <t>West County-Common</t>
  </si>
  <si>
    <t>West County-Unit 1</t>
  </si>
  <si>
    <t>West County-Unit 2</t>
  </si>
  <si>
    <t>West County-Unit 3</t>
  </si>
  <si>
    <t>Cape Canaveral</t>
  </si>
  <si>
    <t>Riviera</t>
  </si>
  <si>
    <t>Pt Everglades</t>
  </si>
  <si>
    <t>Lauderdale-GTS</t>
  </si>
  <si>
    <t>Peakers</t>
  </si>
  <si>
    <t>Ft Meyers GTS</t>
  </si>
  <si>
    <t>Lauder&amp; Ft Mey Peak</t>
  </si>
  <si>
    <t>Total Company Reduction in Expense</t>
  </si>
  <si>
    <t>Jurisdictional Allocation %</t>
  </si>
  <si>
    <t>Gross</t>
  </si>
  <si>
    <t xml:space="preserve">Allocation </t>
  </si>
  <si>
    <t xml:space="preserve">SFHHA REDUCTION TO DEPRECIATION EXPENSE TO REALLOCATE RESERVE BASED ON GROSS PLANT FOR ALL ACCOUNT 343 - PRIME MOVERS </t>
  </si>
  <si>
    <t>SFHHA REDUCTION TO DEPRECIATION EXPENSE TO RESTATE REMAINING LIVES FOR SCHERER UNIT 4 AND SJRPP STEAM PLANTS</t>
  </si>
  <si>
    <t>Source: Depr Study VI-6 through VI-8</t>
  </si>
  <si>
    <t>Scherer Unit 4</t>
  </si>
  <si>
    <t>Total All Accounts</t>
  </si>
  <si>
    <t>Composite</t>
  </si>
  <si>
    <t>Remaining</t>
  </si>
  <si>
    <t>Additional</t>
  </si>
  <si>
    <t>Years</t>
  </si>
  <si>
    <t>SJRPP - All Units</t>
  </si>
  <si>
    <t>Reduction In Depreciation Expense</t>
  </si>
  <si>
    <t>SFHHA Recommended Life Extension of 13 Years</t>
  </si>
  <si>
    <t>SFHHA Recommended Life Extension of 14 Years</t>
  </si>
  <si>
    <t>As</t>
  </si>
  <si>
    <t>Filed</t>
  </si>
  <si>
    <t>Using 9%</t>
  </si>
  <si>
    <t>By Company</t>
  </si>
  <si>
    <t>Sect 199</t>
  </si>
  <si>
    <t xml:space="preserve">Assume pre-tax income of </t>
  </si>
  <si>
    <t>Net Pretax Subtotal</t>
  </si>
  <si>
    <t>Taxable income for Federal income tax before production credit</t>
  </si>
  <si>
    <t xml:space="preserve">     Manufacturing Deduction Rate</t>
  </si>
  <si>
    <t xml:space="preserve">     Allocation to Production Inc.</t>
  </si>
  <si>
    <t xml:space="preserve">     Allocated Manaufacturing Deduction Rate</t>
  </si>
  <si>
    <t xml:space="preserve">Less: Manufacturing Deduction </t>
  </si>
  <si>
    <t>Taxable income for Federal income tax (Line 3 - Line 4)</t>
  </si>
  <si>
    <t>Regulatory Assessment</t>
  </si>
  <si>
    <t>Bad Debt Rate</t>
  </si>
  <si>
    <t xml:space="preserve">Federal income tax at 35% </t>
  </si>
  <si>
    <t>Revenue Expansion Factor</t>
  </si>
  <si>
    <t>Section 199 Production Tax Deduction</t>
  </si>
  <si>
    <t>State</t>
  </si>
  <si>
    <t>Taxable income for State Income Tax before Production Credit</t>
  </si>
  <si>
    <t>Plant in Service - Steam</t>
  </si>
  <si>
    <t>Plant in Service - Nuclear</t>
  </si>
  <si>
    <t>Plant in Service - Other Production</t>
  </si>
  <si>
    <t>Total Prodcution Net Plant</t>
  </si>
  <si>
    <t>Total Net Plant</t>
  </si>
  <si>
    <t>Accum Depr - Production Total</t>
  </si>
  <si>
    <t>$ Millions</t>
  </si>
  <si>
    <t>% Production</t>
  </si>
  <si>
    <t>Allocation to Production - See Schedule E-3a (Total Retail)</t>
  </si>
  <si>
    <t>Taxable income for State income tax (Line 3 - Line 4)</t>
  </si>
  <si>
    <t>State income tax  (See Below)</t>
  </si>
  <si>
    <t xml:space="preserve">State Income Tax Rate </t>
  </si>
  <si>
    <t xml:space="preserve">ALL TEST YEARS </t>
  </si>
  <si>
    <t>Okeechobee</t>
  </si>
  <si>
    <t>Applicable Rate Base Changes</t>
  </si>
  <si>
    <t>Total Applicable Rate Base Changes Recommended by SFHHA</t>
  </si>
  <si>
    <t>SFHHA REDUCTION IN RATE BASE TO REMOVE NUCLEAR FUEL IN PROCESS ACCT 120.1</t>
  </si>
  <si>
    <t>TEST YEARS ENDING DECEMBER 31, 2017 AND 2018</t>
  </si>
  <si>
    <t>Source:  Schedules B-1 and B-16</t>
  </si>
  <si>
    <t>Total Nuclear Fuel in Process - Acct 120.1 - 13 Month Avg.</t>
  </si>
  <si>
    <t>Jurisdictional %</t>
  </si>
  <si>
    <t>Jurisdictional NFIP to Remove from Rate Base</t>
  </si>
  <si>
    <t>Remove Nuclear Fuel in Process From Rate Base</t>
  </si>
  <si>
    <t>SFHHA REDUCTION TO DEPRECIATION EXPENSE FOR OKEECHOBEE CLEAN ENERGY CENTER</t>
  </si>
  <si>
    <t>Total Plant in Service as Filed - Jurisdictional</t>
  </si>
  <si>
    <t xml:space="preserve">Depreciation Expense </t>
  </si>
  <si>
    <t>As Filed Depreciation Expense - Jurisdictional</t>
  </si>
  <si>
    <t>Reduction in Depreciation Expense</t>
  </si>
  <si>
    <t>Decrease in Accumulated Depreciation and Increase in Rate Base</t>
  </si>
  <si>
    <t>Reflect Accum Depr and ADIT Effects of Depreciation Expense Reduction</t>
  </si>
  <si>
    <t xml:space="preserve">V.  FPL Cost of Capital Adjusted to Reflect Capital Structure Recommended by SFHHA in </t>
  </si>
  <si>
    <t>Adjust Capital Structure - 55% Common Equity and Add Short Term Debt</t>
  </si>
  <si>
    <t>Adjust STD Rate to 0.56%</t>
  </si>
  <si>
    <t>VII.  FPL Cost of Capital Adjusted to Remove FPL Request for an ROE Incentive of 0.50%</t>
  </si>
  <si>
    <t>VIII.  FPL Cost of Capital Adjusted to Restate ROE at 9.0% as Recommended by Mr. Baudino</t>
  </si>
  <si>
    <t xml:space="preserve">IX.  FPL Cost of Capital Adjusted to Reflect 55% Common Equity </t>
  </si>
  <si>
    <t xml:space="preserve">V.  FPL Cost of Capital Adjusted to Reflect STD Rate of 0.56% </t>
  </si>
  <si>
    <t>Revenue Req. Reduction for SFHHA Recommended Removal of NFIP</t>
  </si>
  <si>
    <t>Rate Base</t>
  </si>
  <si>
    <t>Remove Rate Case Expense Amortization</t>
  </si>
  <si>
    <t>See Sch C-10</t>
  </si>
  <si>
    <t>Correct ADIT for Woodford Project and Other Gas Reserves - FPL Third Notice</t>
  </si>
  <si>
    <t>SFHHA CORRECTION OF REVENUE EXPANSION FACTOR TO INCLUDE SECTION 199 MANUFACTURER'S DEDUCTION</t>
  </si>
  <si>
    <t xml:space="preserve">2.5% Based on 40 Year Life Span </t>
  </si>
  <si>
    <t>48 Levelized Monthly Payments</t>
  </si>
  <si>
    <t>Annual Payment</t>
  </si>
  <si>
    <t>Nominal</t>
  </si>
  <si>
    <t>Incr in Res</t>
  </si>
  <si>
    <t>Compared</t>
  </si>
  <si>
    <t>to</t>
  </si>
  <si>
    <t>Filing</t>
  </si>
  <si>
    <t>VI.  FPL Cost of Capital Adjusted to Reflect LTD New Issues at 4.1%</t>
  </si>
  <si>
    <t>Adjust LTD Rate to 4.1% for New Issues</t>
  </si>
  <si>
    <t xml:space="preserve">II.  FPL Cost of Capital Adjusted to Reflect LTD New Issues at 4.1% - Matches LTD Debt Cost Computed </t>
  </si>
  <si>
    <t>SFHHA REDUCTION IN DISMANTLING COSTS TO EXTEND LIVES FOR SHERER 4 and SJRPP</t>
  </si>
  <si>
    <t>Scherer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</si>
</sst>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#,##0.0"/>
    <numFmt numFmtId="166" formatCode="General;;"/>
    <numFmt numFmtId="167" formatCode="_(* #,##0.00000_);_(* \(#,##0.00000\);_(* &quot;-&quot;??_);_(@_)"/>
    <numFmt numFmtId="168" formatCode="0.00000%"/>
    <numFmt numFmtId="169" formatCode="&quot;$&quot;#,##0.000_);\(&quot;$&quot;#,##0.000\)"/>
    <numFmt numFmtId="170" formatCode="_(* #,##0.000_);_(* \(#,##0.000\);_(* &quot;-&quot;??_);_(@_)"/>
    <numFmt numFmtId="171" formatCode="_(&quot;$&quot;* #,##0.000_);_(&quot;$&quot;* \(#,##0.000\);_(&quot;$&quot;* &quot;-&quot;??_);_(@_)"/>
    <numFmt numFmtId="172" formatCode="&quot;$&quot;#,##0\ ;\(&quot;$&quot;#,##0\)"/>
    <numFmt numFmtId="173" formatCode="_([$€-2]* #,##0.00_);_([$€-2]* \(#,##0.00\);_([$€-2]* &quot;-&quot;??_)"/>
    <numFmt numFmtId="174" formatCode="#,##0_);[Red]\(#,##0\);&quot; &quot;"/>
    <numFmt numFmtId="175" formatCode="\$#,##0_);[Red]\(\$#,##0\);&quot; &quot;"/>
    <numFmt numFmtId="176" formatCode="\$#,##0_);\(\$#,##0\);\-;"/>
    <numFmt numFmtId="177" formatCode="#,##0.00_);[Red]\(#,##0.00\);&quot; &quot;"/>
    <numFmt numFmtId="178" formatCode="_(* #,##0_);_(* \(#,##0\);_(* &quot;-&quot;??_);_(@_)"/>
    <numFmt numFmtId="179" formatCode="#,##0.00%_);[Red]\(#,##0.00%\);&quot; &quot;"/>
    <numFmt numFmtId="180" formatCode="0.0000%"/>
    <numFmt numFmtId="181" formatCode="_(&quot;$&quot;* #,##0_);_(&quot;$&quot;* \(#,##0\);_(&quot;$&quot;* &quot;-&quot;??_);_(@_)"/>
    <numFmt numFmtId="182" formatCode="0.000"/>
    <numFmt numFmtId="183" formatCode="_(* #,##0.0000_);_(* \(#,##0.0000\);_(* &quot;-&quot;??_);_(@_)"/>
    <numFmt numFmtId="184" formatCode="_(* #,##0.000000_);_(* \(#,##0.000000\);_(* &quot;-&quot;??_);_(@_)"/>
    <numFmt numFmtId="185" formatCode="#,##0.000_);\(#,##0.000\)"/>
    <numFmt numFmtId="186" formatCode="_(&quot;$&quot;* #,##0.000000_);_(&quot;$&quot;* \(#,##0.000000\);_(&quot;$&quot;* &quot;-&quot;??_);_(@_)"/>
    <numFmt numFmtId="187" formatCode="#,##0.00000_);\(#,##0.00000\)"/>
    <numFmt numFmtId="188" formatCode="0.0%"/>
  </numFmts>
  <fonts count="5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 MT"/>
      <family val="2"/>
    </font>
    <font>
      <b/>
      <sz val="10"/>
      <name val="Arial"/>
      <family val="2"/>
    </font>
    <font>
      <sz val="10"/>
      <color indexed="18"/>
      <name val="Arial"/>
      <family val="2"/>
    </font>
    <font>
      <sz val="12"/>
      <name val="Tms Rmn"/>
    </font>
    <font>
      <b/>
      <sz val="11"/>
      <color indexed="12"/>
      <name val="Arial"/>
      <family val="2"/>
    </font>
    <font>
      <sz val="11"/>
      <color indexed="12"/>
      <name val="Book Antiqua"/>
      <family val="1"/>
    </font>
    <font>
      <sz val="11"/>
      <name val="??"/>
      <family val="3"/>
      <charset val="129"/>
    </font>
    <font>
      <sz val="8"/>
      <name val="Arial"/>
      <family val="2"/>
    </font>
    <font>
      <b/>
      <sz val="10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</font>
    <font>
      <b/>
      <sz val="8"/>
      <name val="Palatino"/>
    </font>
    <font>
      <sz val="10"/>
      <color indexed="12"/>
      <name val="Arial"/>
      <family val="2"/>
    </font>
    <font>
      <b/>
      <sz val="12"/>
      <name val="Tms Rmn"/>
    </font>
    <font>
      <b/>
      <sz val="22"/>
      <color indexed="16"/>
      <name val="Arial"/>
      <family val="2"/>
    </font>
    <font>
      <sz val="7"/>
      <name val="Small Fonts"/>
      <family val="2"/>
    </font>
    <font>
      <sz val="12"/>
      <color indexed="62"/>
      <name val="Arial"/>
      <family val="2"/>
    </font>
    <font>
      <sz val="10"/>
      <color indexed="8"/>
      <name val="Arial"/>
      <family val="2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name val="MS Sans Serif"/>
      <family val="2"/>
    </font>
    <font>
      <b/>
      <sz val="16"/>
      <color indexed="16"/>
      <name val="Arial"/>
      <family val="2"/>
    </font>
    <font>
      <sz val="12"/>
      <color indexed="13"/>
      <name val="Tms Rmn"/>
    </font>
    <font>
      <b/>
      <sz val="18"/>
      <name val="Palatino"/>
    </font>
    <font>
      <sz val="8"/>
      <name val="Arial"/>
      <family val="2"/>
    </font>
    <font>
      <sz val="8"/>
      <color indexed="12"/>
      <name val="Arial"/>
      <family val="2"/>
    </font>
    <font>
      <sz val="12"/>
      <name val="新細明體"/>
      <family val="1"/>
      <charset val="136"/>
    </font>
    <font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sz val="10"/>
      <name val="Times New Roman"/>
      <family val="1"/>
    </font>
    <font>
      <b/>
      <sz val="14"/>
      <name val="Arial"/>
      <family val="2"/>
    </font>
    <font>
      <sz val="6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8"/>
      <color indexed="8"/>
      <name val="Wingdings"/>
      <charset val="2"/>
    </font>
    <font>
      <sz val="11"/>
      <color indexed="8"/>
      <name val="Calibri"/>
      <family val="2"/>
      <scheme val="minor"/>
    </font>
    <font>
      <u/>
      <sz val="1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sz val="10"/>
      <name val="Courier"/>
      <family val="3"/>
    </font>
    <font>
      <sz val="12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9"/>
      </patternFill>
    </fill>
    <fill>
      <patternFill patternType="solid">
        <fgColor indexed="12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8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24">
    <xf numFmtId="0" fontId="0" fillId="0" borderId="0"/>
    <xf numFmtId="0" fontId="4" fillId="0" borderId="0"/>
    <xf numFmtId="0" fontId="5" fillId="3" borderId="1">
      <alignment horizontal="center" vertical="center"/>
    </xf>
    <xf numFmtId="3" fontId="6" fillId="4" borderId="0" applyBorder="0">
      <alignment horizontal="right"/>
      <protection locked="0"/>
    </xf>
    <xf numFmtId="0" fontId="7" fillId="0" borderId="0" applyNumberFormat="0" applyFill="0" applyBorder="0" applyAlignment="0" applyProtection="0"/>
    <xf numFmtId="0" fontId="34" fillId="5" borderId="0">
      <alignment horizontal="left"/>
    </xf>
    <xf numFmtId="0" fontId="35" fillId="5" borderId="0">
      <alignment horizontal="right"/>
    </xf>
    <xf numFmtId="0" fontId="36" fillId="4" borderId="0">
      <alignment horizontal="center"/>
    </xf>
    <xf numFmtId="0" fontId="35" fillId="5" borderId="0">
      <alignment horizontal="right"/>
    </xf>
    <xf numFmtId="0" fontId="37" fillId="4" borderId="0">
      <alignment horizontal="left"/>
    </xf>
    <xf numFmtId="43" fontId="3" fillId="0" borderId="0" applyFont="0" applyFill="0" applyBorder="0" applyAlignment="0" applyProtection="0"/>
    <xf numFmtId="43" fontId="32" fillId="0" borderId="0" applyFont="0" applyFill="0" applyBorder="0" applyAlignment="0" applyProtection="0"/>
    <xf numFmtId="3" fontId="32" fillId="0" borderId="0" applyFont="0" applyFill="0" applyBorder="0" applyAlignment="0" applyProtection="0"/>
    <xf numFmtId="0" fontId="8" fillId="0" borderId="0">
      <alignment horizontal="left" vertical="center" indent="1"/>
    </xf>
    <xf numFmtId="44" fontId="3" fillId="0" borderId="0" applyFont="0" applyFill="0" applyBorder="0" applyAlignment="0" applyProtection="0"/>
    <xf numFmtId="8" fontId="9" fillId="0" borderId="2">
      <protection locked="0"/>
    </xf>
    <xf numFmtId="44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3"/>
    <xf numFmtId="6" fontId="10" fillId="0" borderId="0">
      <protection locked="0"/>
    </xf>
    <xf numFmtId="0" fontId="11" fillId="0" borderId="0" applyNumberFormat="0">
      <protection locked="0"/>
    </xf>
    <xf numFmtId="165" fontId="12" fillId="6" borderId="0" applyFill="0" applyBorder="0" applyProtection="0"/>
    <xf numFmtId="173" fontId="32" fillId="0" borderId="0" applyFont="0" applyFill="0" applyBorder="0" applyAlignment="0" applyProtection="0"/>
    <xf numFmtId="0" fontId="5" fillId="0" borderId="0" applyProtection="0"/>
    <xf numFmtId="0" fontId="38" fillId="0" borderId="0" applyProtection="0"/>
    <xf numFmtId="0" fontId="39" fillId="0" borderId="0" applyProtection="0"/>
    <xf numFmtId="0" fontId="11" fillId="0" borderId="0" applyProtection="0"/>
    <xf numFmtId="0" fontId="32" fillId="0" borderId="0" applyProtection="0"/>
    <xf numFmtId="0" fontId="5" fillId="0" borderId="0" applyProtection="0"/>
    <xf numFmtId="0" fontId="40" fillId="0" borderId="0" applyProtection="0"/>
    <xf numFmtId="0" fontId="3" fillId="0" borderId="0">
      <protection locked="0"/>
    </xf>
    <xf numFmtId="38" fontId="11" fillId="7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4" applyNumberFormat="0" applyAlignment="0" applyProtection="0">
      <alignment horizontal="left" vertical="center"/>
    </xf>
    <xf numFmtId="0" fontId="14" fillId="0" borderId="5">
      <alignment horizontal="left" vertical="center"/>
    </xf>
    <xf numFmtId="0" fontId="15" fillId="0" borderId="0">
      <alignment horizontal="center"/>
    </xf>
    <xf numFmtId="0" fontId="3" fillId="0" borderId="0">
      <protection locked="0"/>
    </xf>
    <xf numFmtId="0" fontId="3" fillId="0" borderId="0">
      <protection locked="0"/>
    </xf>
    <xf numFmtId="0" fontId="16" fillId="0" borderId="6" applyNumberFormat="0" applyFill="0" applyAlignment="0" applyProtection="0"/>
    <xf numFmtId="10" fontId="11" fillId="8" borderId="7" applyNumberFormat="0" applyBorder="0" applyAlignment="0" applyProtection="0"/>
    <xf numFmtId="0" fontId="17" fillId="9" borderId="3"/>
    <xf numFmtId="0" fontId="18" fillId="0" borderId="0" applyNumberFormat="0">
      <alignment horizontal="left"/>
    </xf>
    <xf numFmtId="0" fontId="34" fillId="5" borderId="0">
      <alignment horizontal="left"/>
    </xf>
    <xf numFmtId="0" fontId="41" fillId="4" borderId="0">
      <alignment horizontal="left"/>
    </xf>
    <xf numFmtId="37" fontId="19" fillId="0" borderId="0"/>
    <xf numFmtId="3" fontId="11" fillId="7" borderId="0" applyNumberFormat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2" fillId="0" borderId="0"/>
    <xf numFmtId="43" fontId="20" fillId="0" borderId="0"/>
    <xf numFmtId="4" fontId="21" fillId="11" borderId="0">
      <alignment horizontal="right"/>
    </xf>
    <xf numFmtId="0" fontId="22" fillId="11" borderId="0">
      <alignment horizontal="right"/>
    </xf>
    <xf numFmtId="0" fontId="23" fillId="11" borderId="8"/>
    <xf numFmtId="0" fontId="23" fillId="0" borderId="0" applyBorder="0">
      <alignment horizontal="centerContinuous"/>
    </xf>
    <xf numFmtId="0" fontId="24" fillId="0" borderId="0" applyBorder="0">
      <alignment horizontal="centerContinuous"/>
    </xf>
    <xf numFmtId="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25" fillId="0" borderId="0" applyNumberFormat="0" applyFont="0" applyFill="0" applyBorder="0" applyAlignment="0" applyProtection="0">
      <alignment horizontal="left"/>
    </xf>
    <xf numFmtId="0" fontId="41" fillId="10" borderId="0">
      <alignment horizontal="center"/>
    </xf>
    <xf numFmtId="49" fontId="42" fillId="4" borderId="0">
      <alignment horizontal="center"/>
    </xf>
    <xf numFmtId="0" fontId="7" fillId="0" borderId="0"/>
    <xf numFmtId="0" fontId="7" fillId="0" borderId="0"/>
    <xf numFmtId="0" fontId="35" fillId="5" borderId="0">
      <alignment horizontal="center"/>
    </xf>
    <xf numFmtId="0" fontId="35" fillId="5" borderId="0">
      <alignment horizontal="centerContinuous"/>
    </xf>
    <xf numFmtId="0" fontId="43" fillId="4" borderId="0">
      <alignment horizontal="left"/>
    </xf>
    <xf numFmtId="49" fontId="43" fillId="4" borderId="0">
      <alignment horizontal="center"/>
    </xf>
    <xf numFmtId="0" fontId="34" fillId="5" borderId="0">
      <alignment horizontal="left"/>
    </xf>
    <xf numFmtId="49" fontId="43" fillId="4" borderId="0">
      <alignment horizontal="left"/>
    </xf>
    <xf numFmtId="0" fontId="34" fillId="5" borderId="0">
      <alignment horizontal="centerContinuous"/>
    </xf>
    <xf numFmtId="0" fontId="34" fillId="5" borderId="0">
      <alignment horizontal="right"/>
    </xf>
    <xf numFmtId="49" fontId="41" fillId="4" borderId="0">
      <alignment horizontal="left"/>
    </xf>
    <xf numFmtId="0" fontId="35" fillId="5" borderId="0">
      <alignment horizontal="right"/>
    </xf>
    <xf numFmtId="0" fontId="43" fillId="2" borderId="0">
      <alignment horizontal="center"/>
    </xf>
    <xf numFmtId="0" fontId="30" fillId="2" borderId="0">
      <alignment horizontal="center"/>
    </xf>
    <xf numFmtId="0" fontId="26" fillId="0" borderId="0" applyNumberFormat="0">
      <alignment horizontal="left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7" fillId="0" borderId="3"/>
    <xf numFmtId="0" fontId="7" fillId="0" borderId="3"/>
    <xf numFmtId="0" fontId="27" fillId="5" borderId="0"/>
    <xf numFmtId="0" fontId="27" fillId="5" borderId="0"/>
    <xf numFmtId="166" fontId="28" fillId="0" borderId="0">
      <alignment horizontal="center"/>
    </xf>
    <xf numFmtId="0" fontId="3" fillId="0" borderId="9">
      <protection locked="0"/>
    </xf>
    <xf numFmtId="0" fontId="17" fillId="0" borderId="10"/>
    <xf numFmtId="0" fontId="17" fillId="0" borderId="10"/>
    <xf numFmtId="0" fontId="17" fillId="0" borderId="3"/>
    <xf numFmtId="0" fontId="17" fillId="0" borderId="3"/>
    <xf numFmtId="37" fontId="11" fillId="12" borderId="0" applyNumberFormat="0" applyBorder="0" applyAlignment="0" applyProtection="0"/>
    <xf numFmtId="37" fontId="29" fillId="0" borderId="0"/>
    <xf numFmtId="3" fontId="30" fillId="0" borderId="6" applyProtection="0"/>
    <xf numFmtId="0" fontId="44" fillId="4" borderId="0">
      <alignment horizontal="center"/>
    </xf>
    <xf numFmtId="0" fontId="31" fillId="0" borderId="0"/>
    <xf numFmtId="0" fontId="45" fillId="0" borderId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2" fillId="0" borderId="0"/>
    <xf numFmtId="0" fontId="3" fillId="0" borderId="0"/>
    <xf numFmtId="37" fontId="50" fillId="0" borderId="0"/>
    <xf numFmtId="41" fontId="3" fillId="0" borderId="0" applyFont="0" applyFill="0" applyBorder="0" applyAlignment="0" applyProtection="0"/>
    <xf numFmtId="43" fontId="51" fillId="0" borderId="0" applyFont="0" applyFill="0" applyBorder="0" applyAlignment="0" applyProtection="0"/>
    <xf numFmtId="4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9" fontId="51" fillId="0" borderId="0" applyFont="0" applyFill="0" applyBorder="0" applyAlignment="0" applyProtection="0"/>
  </cellStyleXfs>
  <cellXfs count="378">
    <xf numFmtId="0" fontId="0" fillId="0" borderId="0" xfId="0"/>
    <xf numFmtId="0" fontId="12" fillId="0" borderId="0" xfId="0" applyFont="1" applyAlignment="1">
      <alignment horizontal="center"/>
    </xf>
    <xf numFmtId="0" fontId="12" fillId="0" borderId="0" xfId="0" quotePrefix="1" applyFont="1" applyAlignment="1">
      <alignment horizontal="left"/>
    </xf>
    <xf numFmtId="0" fontId="12" fillId="0" borderId="0" xfId="0" applyFont="1"/>
    <xf numFmtId="0" fontId="32" fillId="0" borderId="0" xfId="0" applyFont="1"/>
    <xf numFmtId="0" fontId="32" fillId="0" borderId="0" xfId="0" applyFont="1" applyAlignment="1">
      <alignment horizontal="center"/>
    </xf>
    <xf numFmtId="10" fontId="32" fillId="0" borderId="0" xfId="0" applyNumberFormat="1" applyFont="1"/>
    <xf numFmtId="0" fontId="32" fillId="0" borderId="0" xfId="0" quotePrefix="1" applyFont="1" applyAlignment="1">
      <alignment horizontal="left"/>
    </xf>
    <xf numFmtId="0" fontId="32" fillId="0" borderId="0" xfId="0" applyFont="1" applyAlignment="1">
      <alignment horizontal="left"/>
    </xf>
    <xf numFmtId="0" fontId="12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32" fillId="0" borderId="0" xfId="0" applyFont="1" applyFill="1"/>
    <xf numFmtId="170" fontId="32" fillId="0" borderId="0" xfId="10" applyNumberFormat="1" applyFont="1"/>
    <xf numFmtId="171" fontId="32" fillId="0" borderId="0" xfId="14" applyNumberFormat="1" applyFont="1"/>
    <xf numFmtId="169" fontId="32" fillId="0" borderId="0" xfId="0" applyNumberFormat="1" applyFont="1"/>
    <xf numFmtId="169" fontId="32" fillId="0" borderId="0" xfId="10" applyNumberFormat="1" applyFont="1"/>
    <xf numFmtId="169" fontId="32" fillId="0" borderId="12" xfId="14" applyNumberFormat="1" applyFont="1" applyBorder="1"/>
    <xf numFmtId="167" fontId="32" fillId="0" borderId="0" xfId="10" applyNumberFormat="1" applyFont="1"/>
    <xf numFmtId="0" fontId="32" fillId="0" borderId="0" xfId="0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0" fontId="32" fillId="0" borderId="11" xfId="0" quotePrefix="1" applyFont="1" applyBorder="1" applyAlignment="1">
      <alignment horizontal="center"/>
    </xf>
    <xf numFmtId="170" fontId="32" fillId="0" borderId="11" xfId="10" applyNumberFormat="1" applyFont="1" applyBorder="1"/>
    <xf numFmtId="170" fontId="32" fillId="0" borderId="12" xfId="10" applyNumberFormat="1" applyFont="1" applyBorder="1"/>
    <xf numFmtId="10" fontId="32" fillId="0" borderId="12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171" fontId="12" fillId="0" borderId="0" xfId="14" applyNumberFormat="1" applyFont="1"/>
    <xf numFmtId="170" fontId="32" fillId="0" borderId="0" xfId="10" applyNumberFormat="1" applyFont="1" applyFill="1"/>
    <xf numFmtId="0" fontId="0" fillId="0" borderId="0" xfId="0" applyFill="1"/>
    <xf numFmtId="0" fontId="11" fillId="0" borderId="0" xfId="0" quotePrefix="1" applyFont="1" applyAlignment="1">
      <alignment horizontal="center"/>
    </xf>
    <xf numFmtId="169" fontId="12" fillId="0" borderId="11" xfId="14" applyNumberFormat="1" applyFont="1" applyBorder="1"/>
    <xf numFmtId="169" fontId="12" fillId="0" borderId="12" xfId="14" applyNumberFormat="1" applyFont="1" applyBorder="1"/>
    <xf numFmtId="10" fontId="32" fillId="0" borderId="0" xfId="0" applyNumberFormat="1" applyFont="1" applyFill="1"/>
    <xf numFmtId="0" fontId="5" fillId="0" borderId="0" xfId="0" applyFont="1" applyAlignment="1">
      <alignment horizontal="centerContinuous"/>
    </xf>
    <xf numFmtId="170" fontId="32" fillId="0" borderId="0" xfId="10" applyNumberFormat="1" applyFont="1" applyBorder="1"/>
    <xf numFmtId="10" fontId="32" fillId="0" borderId="0" xfId="0" applyNumberFormat="1" applyFont="1" applyBorder="1"/>
    <xf numFmtId="0" fontId="12" fillId="0" borderId="0" xfId="0" applyFont="1" applyFill="1" applyAlignment="1">
      <alignment horizontal="center"/>
    </xf>
    <xf numFmtId="0" fontId="32" fillId="0" borderId="0" xfId="0" applyFont="1" applyFill="1" applyAlignment="1">
      <alignment horizontal="left"/>
    </xf>
    <xf numFmtId="0" fontId="32" fillId="0" borderId="0" xfId="0" applyFont="1" applyFill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Border="1"/>
    <xf numFmtId="0" fontId="0" fillId="0" borderId="0" xfId="0" applyFill="1" applyBorder="1"/>
    <xf numFmtId="170" fontId="32" fillId="0" borderId="0" xfId="10" applyNumberFormat="1" applyFont="1" applyFill="1" applyBorder="1"/>
    <xf numFmtId="170" fontId="32" fillId="0" borderId="0" xfId="0" applyNumberFormat="1" applyFont="1" applyFill="1" applyBorder="1"/>
    <xf numFmtId="170" fontId="0" fillId="0" borderId="0" xfId="10" applyNumberFormat="1" applyFont="1" applyFill="1" applyBorder="1"/>
    <xf numFmtId="170" fontId="0" fillId="0" borderId="0" xfId="0" applyNumberFormat="1" applyFill="1" applyBorder="1"/>
    <xf numFmtId="10" fontId="32" fillId="0" borderId="0" xfId="63" applyNumberFormat="1" applyFont="1" applyFill="1"/>
    <xf numFmtId="10" fontId="32" fillId="0" borderId="0" xfId="0" applyNumberFormat="1" applyFont="1" applyFill="1" applyBorder="1"/>
    <xf numFmtId="10" fontId="32" fillId="0" borderId="0" xfId="63" applyNumberFormat="1" applyFont="1" applyFill="1" applyBorder="1"/>
    <xf numFmtId="170" fontId="32" fillId="0" borderId="11" xfId="10" applyNumberFormat="1" applyFont="1" applyFill="1" applyBorder="1"/>
    <xf numFmtId="10" fontId="32" fillId="0" borderId="11" xfId="0" applyNumberFormat="1" applyFont="1" applyFill="1" applyBorder="1"/>
    <xf numFmtId="10" fontId="32" fillId="0" borderId="11" xfId="63" applyNumberFormat="1" applyFont="1" applyFill="1" applyBorder="1"/>
    <xf numFmtId="0" fontId="5" fillId="0" borderId="0" xfId="0" applyFont="1"/>
    <xf numFmtId="0" fontId="5" fillId="0" borderId="0" xfId="0" quotePrefix="1" applyFont="1" applyAlignment="1">
      <alignment horizontal="left"/>
    </xf>
    <xf numFmtId="43" fontId="32" fillId="0" borderId="0" xfId="0" applyNumberFormat="1" applyFont="1"/>
    <xf numFmtId="0" fontId="5" fillId="0" borderId="0" xfId="0" applyFont="1" applyFill="1"/>
    <xf numFmtId="0" fontId="32" fillId="0" borderId="0" xfId="0" applyFont="1" applyFill="1" applyBorder="1" applyAlignment="1">
      <alignment horizontal="left"/>
    </xf>
    <xf numFmtId="170" fontId="32" fillId="0" borderId="12" xfId="0" applyNumberFormat="1" applyFont="1" applyFill="1" applyBorder="1"/>
    <xf numFmtId="170" fontId="32" fillId="0" borderId="0" xfId="10" applyNumberFormat="1" applyFont="1" applyFill="1" applyBorder="1" applyAlignment="1">
      <alignment horizontal="center"/>
    </xf>
    <xf numFmtId="0" fontId="32" fillId="0" borderId="11" xfId="0" applyFont="1" applyFill="1" applyBorder="1" applyAlignment="1">
      <alignment horizontal="center"/>
    </xf>
    <xf numFmtId="0" fontId="32" fillId="0" borderId="11" xfId="0" applyFont="1" applyFill="1" applyBorder="1"/>
    <xf numFmtId="0" fontId="11" fillId="0" borderId="0" xfId="0" quotePrefix="1" applyFont="1" applyFill="1" applyAlignment="1">
      <alignment horizontal="center"/>
    </xf>
    <xf numFmtId="0" fontId="32" fillId="0" borderId="11" xfId="0" quotePrefix="1" applyFont="1" applyFill="1" applyBorder="1" applyAlignment="1">
      <alignment horizontal="center"/>
    </xf>
    <xf numFmtId="10" fontId="32" fillId="0" borderId="12" xfId="0" applyNumberFormat="1" applyFont="1" applyFill="1" applyBorder="1"/>
    <xf numFmtId="170" fontId="33" fillId="0" borderId="11" xfId="10" applyNumberFormat="1" applyFont="1" applyFill="1" applyBorder="1"/>
    <xf numFmtId="170" fontId="33" fillId="0" borderId="0" xfId="10" applyNumberFormat="1" applyFont="1" applyFill="1" applyBorder="1"/>
    <xf numFmtId="0" fontId="5" fillId="0" borderId="0" xfId="0" quotePrefix="1" applyFont="1" applyFill="1" applyAlignment="1">
      <alignment horizontal="left"/>
    </xf>
    <xf numFmtId="10" fontId="0" fillId="0" borderId="0" xfId="0" applyNumberFormat="1" applyFill="1"/>
    <xf numFmtId="0" fontId="12" fillId="0" borderId="0" xfId="0" quotePrefix="1" applyFont="1" applyFill="1" applyAlignment="1">
      <alignment horizontal="left"/>
    </xf>
    <xf numFmtId="170" fontId="32" fillId="0" borderId="0" xfId="0" applyNumberFormat="1" applyFont="1" applyFill="1"/>
    <xf numFmtId="170" fontId="32" fillId="0" borderId="11" xfId="0" applyNumberFormat="1" applyFont="1" applyFill="1" applyBorder="1"/>
    <xf numFmtId="167" fontId="32" fillId="0" borderId="0" xfId="10" applyNumberFormat="1" applyFont="1" applyFill="1"/>
    <xf numFmtId="0" fontId="32" fillId="0" borderId="13" xfId="0" applyFont="1" applyFill="1" applyBorder="1"/>
    <xf numFmtId="10" fontId="32" fillId="0" borderId="13" xfId="0" applyNumberFormat="1" applyFont="1" applyFill="1" applyBorder="1"/>
    <xf numFmtId="0" fontId="32" fillId="0" borderId="0" xfId="0" quotePrefix="1" applyFont="1" applyFill="1" applyAlignment="1">
      <alignment horizontal="left"/>
    </xf>
    <xf numFmtId="170" fontId="32" fillId="0" borderId="12" xfId="0" quotePrefix="1" applyNumberFormat="1" applyFont="1" applyFill="1" applyBorder="1" applyAlignment="1">
      <alignment horizontal="left"/>
    </xf>
    <xf numFmtId="170" fontId="32" fillId="0" borderId="12" xfId="10" applyNumberFormat="1" applyFont="1" applyFill="1" applyBorder="1"/>
    <xf numFmtId="0" fontId="12" fillId="0" borderId="0" xfId="0" applyFont="1" applyFill="1"/>
    <xf numFmtId="10" fontId="32" fillId="0" borderId="0" xfId="0" applyNumberFormat="1" applyFont="1" applyFill="1" applyAlignment="1">
      <alignment horizontal="center"/>
    </xf>
    <xf numFmtId="170" fontId="32" fillId="0" borderId="12" xfId="10" applyNumberFormat="1" applyFont="1" applyFill="1" applyBorder="1" applyAlignment="1">
      <alignment horizontal="center"/>
    </xf>
    <xf numFmtId="10" fontId="0" fillId="0" borderId="0" xfId="0" applyNumberFormat="1" applyFill="1" applyBorder="1"/>
    <xf numFmtId="10" fontId="32" fillId="0" borderId="0" xfId="0" applyNumberFormat="1" applyFont="1" applyFill="1" applyBorder="1" applyAlignment="1">
      <alignment horizontal="center"/>
    </xf>
    <xf numFmtId="0" fontId="29" fillId="0" borderId="0" xfId="0" applyFont="1" applyFill="1"/>
    <xf numFmtId="164" fontId="29" fillId="0" borderId="0" xfId="63" applyNumberFormat="1" applyFont="1" applyFill="1"/>
    <xf numFmtId="168" fontId="0" fillId="0" borderId="0" xfId="0" applyNumberFormat="1" applyFill="1"/>
    <xf numFmtId="167" fontId="32" fillId="0" borderId="0" xfId="10" applyNumberFormat="1" applyFont="1" applyFill="1" applyBorder="1"/>
    <xf numFmtId="170" fontId="32" fillId="0" borderId="0" xfId="0" quotePrefix="1" applyNumberFormat="1" applyFont="1" applyFill="1" applyBorder="1" applyAlignment="1">
      <alignment horizontal="left"/>
    </xf>
    <xf numFmtId="170" fontId="0" fillId="0" borderId="0" xfId="10" applyNumberFormat="1" applyFont="1"/>
    <xf numFmtId="169" fontId="12" fillId="0" borderId="0" xfId="14" applyNumberFormat="1" applyFont="1"/>
    <xf numFmtId="169" fontId="5" fillId="0" borderId="12" xfId="0" applyNumberFormat="1" applyFont="1" applyBorder="1"/>
    <xf numFmtId="0" fontId="0" fillId="0" borderId="0" xfId="0" applyFont="1" applyFill="1"/>
    <xf numFmtId="170" fontId="32" fillId="0" borderId="12" xfId="0" applyNumberFormat="1" applyFont="1" applyFill="1" applyBorder="1" applyAlignment="1">
      <alignment horizontal="center"/>
    </xf>
    <xf numFmtId="170" fontId="32" fillId="0" borderId="0" xfId="0" applyNumberFormat="1" applyFont="1" applyFill="1" applyBorder="1" applyAlignment="1">
      <alignment horizontal="center"/>
    </xf>
    <xf numFmtId="10" fontId="32" fillId="0" borderId="0" xfId="65" applyNumberFormat="1" applyFont="1" applyFill="1"/>
    <xf numFmtId="170" fontId="32" fillId="0" borderId="0" xfId="11" applyNumberFormat="1" applyFont="1" applyFill="1"/>
    <xf numFmtId="170" fontId="32" fillId="0" borderId="0" xfId="11" applyNumberFormat="1" applyFont="1" applyFill="1" applyBorder="1"/>
    <xf numFmtId="170" fontId="32" fillId="0" borderId="11" xfId="11" applyNumberFormat="1" applyFont="1" applyFill="1" applyBorder="1"/>
    <xf numFmtId="0" fontId="3" fillId="14" borderId="0" xfId="0" applyFont="1" applyFill="1" applyBorder="1" applyAlignment="1">
      <alignment horizontal="center"/>
    </xf>
    <xf numFmtId="0" fontId="32" fillId="14" borderId="0" xfId="0" applyFont="1" applyFill="1"/>
    <xf numFmtId="0" fontId="0" fillId="14" borderId="0" xfId="0" applyFill="1"/>
    <xf numFmtId="0" fontId="3" fillId="14" borderId="0" xfId="0" applyFont="1" applyFill="1"/>
    <xf numFmtId="170" fontId="32" fillId="14" borderId="0" xfId="0" applyNumberFormat="1" applyFont="1" applyFill="1"/>
    <xf numFmtId="10" fontId="0" fillId="14" borderId="0" xfId="63" applyNumberFormat="1" applyFont="1" applyFill="1"/>
    <xf numFmtId="0" fontId="12" fillId="0" borderId="0" xfId="0" applyFont="1" applyFill="1" applyAlignment="1">
      <alignment horizontal="center"/>
    </xf>
    <xf numFmtId="0" fontId="45" fillId="0" borderId="14" xfId="105" applyBorder="1"/>
    <xf numFmtId="0" fontId="45" fillId="0" borderId="0" xfId="105"/>
    <xf numFmtId="0" fontId="3" fillId="0" borderId="0" xfId="105" applyFont="1"/>
    <xf numFmtId="0" fontId="3" fillId="0" borderId="0" xfId="105" applyFont="1" applyAlignment="1">
      <alignment horizontal="center"/>
    </xf>
    <xf numFmtId="0" fontId="45" fillId="0" borderId="0" xfId="105" applyBorder="1"/>
    <xf numFmtId="0" fontId="3" fillId="0" borderId="15" xfId="105" applyFont="1" applyBorder="1" applyAlignment="1">
      <alignment horizontal="center" vertical="center" wrapText="1"/>
    </xf>
    <xf numFmtId="0" fontId="3" fillId="0" borderId="0" xfId="105" applyFont="1" applyAlignment="1">
      <alignment horizontal="center" vertical="top"/>
    </xf>
    <xf numFmtId="0" fontId="3" fillId="0" borderId="0" xfId="105" applyFont="1" applyAlignment="1">
      <alignment horizontal="left" vertical="top"/>
    </xf>
    <xf numFmtId="174" fontId="47" fillId="0" borderId="0" xfId="105" applyNumberFormat="1" applyFont="1" applyAlignment="1">
      <alignment horizontal="right" vertical="top"/>
    </xf>
    <xf numFmtId="175" fontId="3" fillId="0" borderId="0" xfId="105" applyNumberFormat="1" applyFont="1" applyAlignment="1">
      <alignment horizontal="right" vertical="top"/>
    </xf>
    <xf numFmtId="0" fontId="3" fillId="0" borderId="0" xfId="105" applyFont="1" applyAlignment="1">
      <alignment horizontal="left" vertical="top" indent="1"/>
    </xf>
    <xf numFmtId="0" fontId="3" fillId="0" borderId="0" xfId="105" applyNumberFormat="1" applyFont="1" applyAlignment="1">
      <alignment horizontal="right" vertical="top"/>
    </xf>
    <xf numFmtId="176" fontId="3" fillId="0" borderId="0" xfId="105" applyNumberFormat="1" applyFont="1" applyAlignment="1">
      <alignment horizontal="right" vertical="top"/>
    </xf>
    <xf numFmtId="177" fontId="3" fillId="0" borderId="0" xfId="105" applyNumberFormat="1" applyFont="1" applyAlignment="1">
      <alignment horizontal="right" vertical="top"/>
    </xf>
    <xf numFmtId="0" fontId="21" fillId="0" borderId="0" xfId="105" applyFont="1"/>
    <xf numFmtId="0" fontId="3" fillId="0" borderId="15" xfId="105" applyFont="1" applyBorder="1" applyAlignment="1">
      <alignment horizontal="center" vertical="top"/>
    </xf>
    <xf numFmtId="0" fontId="3" fillId="0" borderId="15" xfId="105" applyFont="1" applyBorder="1" applyAlignment="1">
      <alignment horizontal="left" vertical="top" indent="1"/>
    </xf>
    <xf numFmtId="0" fontId="3" fillId="0" borderId="15" xfId="105" applyNumberFormat="1" applyFont="1" applyBorder="1" applyAlignment="1">
      <alignment horizontal="right" vertical="top"/>
    </xf>
    <xf numFmtId="175" fontId="3" fillId="0" borderId="15" xfId="105" applyNumberFormat="1" applyFont="1" applyBorder="1" applyAlignment="1">
      <alignment horizontal="right" vertical="top"/>
    </xf>
    <xf numFmtId="176" fontId="3" fillId="0" borderId="15" xfId="105" applyNumberFormat="1" applyFont="1" applyBorder="1" applyAlignment="1">
      <alignment horizontal="right" vertical="top"/>
    </xf>
    <xf numFmtId="177" fontId="3" fillId="0" borderId="15" xfId="105" applyNumberFormat="1" applyFont="1" applyBorder="1" applyAlignment="1">
      <alignment horizontal="right" vertical="top"/>
    </xf>
    <xf numFmtId="0" fontId="3" fillId="0" borderId="0" xfId="105" applyFont="1" applyBorder="1" applyAlignment="1">
      <alignment horizontal="center" vertical="top"/>
    </xf>
    <xf numFmtId="0" fontId="3" fillId="0" borderId="0" xfId="105" applyFont="1" applyBorder="1" applyAlignment="1">
      <alignment horizontal="left" vertical="top" indent="1"/>
    </xf>
    <xf numFmtId="0" fontId="3" fillId="0" borderId="0" xfId="105" applyNumberFormat="1" applyFont="1" applyBorder="1" applyAlignment="1">
      <alignment horizontal="right" vertical="top"/>
    </xf>
    <xf numFmtId="175" fontId="3" fillId="0" borderId="0" xfId="105" applyNumberFormat="1" applyFont="1" applyBorder="1" applyAlignment="1">
      <alignment horizontal="right" vertical="top"/>
    </xf>
    <xf numFmtId="176" fontId="3" fillId="0" borderId="0" xfId="105" applyNumberFormat="1" applyFont="1" applyBorder="1" applyAlignment="1">
      <alignment horizontal="right" vertical="top"/>
    </xf>
    <xf numFmtId="177" fontId="3" fillId="0" borderId="0" xfId="105" applyNumberFormat="1" applyFont="1" applyBorder="1" applyAlignment="1">
      <alignment horizontal="right" vertical="top"/>
    </xf>
    <xf numFmtId="175" fontId="3" fillId="0" borderId="16" xfId="105" applyNumberFormat="1" applyFont="1" applyBorder="1" applyAlignment="1">
      <alignment horizontal="right" vertical="top"/>
    </xf>
    <xf numFmtId="175" fontId="3" fillId="13" borderId="16" xfId="105" applyNumberFormat="1" applyFont="1" applyFill="1" applyBorder="1" applyAlignment="1">
      <alignment horizontal="right" vertical="top"/>
    </xf>
    <xf numFmtId="174" fontId="3" fillId="0" borderId="0" xfId="105" applyNumberFormat="1" applyFont="1" applyAlignment="1">
      <alignment horizontal="right" vertical="top"/>
    </xf>
    <xf numFmtId="176" fontId="3" fillId="0" borderId="0" xfId="105" applyNumberFormat="1" applyFont="1" applyFill="1" applyAlignment="1">
      <alignment horizontal="right" vertical="top"/>
    </xf>
    <xf numFmtId="176" fontId="3" fillId="0" borderId="16" xfId="105" applyNumberFormat="1" applyFont="1" applyBorder="1" applyAlignment="1">
      <alignment horizontal="right" vertical="top"/>
    </xf>
    <xf numFmtId="179" fontId="3" fillId="0" borderId="17" xfId="105" applyNumberFormat="1" applyFont="1" applyBorder="1" applyAlignment="1">
      <alignment horizontal="right" vertical="top"/>
    </xf>
    <xf numFmtId="0" fontId="5" fillId="0" borderId="0" xfId="105" applyFont="1" applyAlignment="1">
      <alignment horizontal="left" vertical="top"/>
    </xf>
    <xf numFmtId="175" fontId="21" fillId="0" borderId="0" xfId="105" applyNumberFormat="1" applyFont="1"/>
    <xf numFmtId="176" fontId="21" fillId="0" borderId="0" xfId="105" applyNumberFormat="1" applyFont="1"/>
    <xf numFmtId="178" fontId="21" fillId="0" borderId="11" xfId="106" applyNumberFormat="1" applyFont="1" applyBorder="1"/>
    <xf numFmtId="10" fontId="21" fillId="0" borderId="12" xfId="107" applyNumberFormat="1" applyFont="1" applyBorder="1"/>
    <xf numFmtId="175" fontId="45" fillId="0" borderId="0" xfId="105" applyNumberFormat="1"/>
    <xf numFmtId="178" fontId="0" fillId="0" borderId="0" xfId="106" applyNumberFormat="1" applyFont="1"/>
    <xf numFmtId="0" fontId="21" fillId="0" borderId="14" xfId="105" applyFont="1" applyBorder="1"/>
    <xf numFmtId="175" fontId="3" fillId="13" borderId="0" xfId="105" applyNumberFormat="1" applyFont="1" applyFill="1" applyAlignment="1">
      <alignment horizontal="right" vertical="top"/>
    </xf>
    <xf numFmtId="10" fontId="3" fillId="13" borderId="0" xfId="63" applyNumberFormat="1" applyFont="1" applyFill="1" applyAlignment="1">
      <alignment horizontal="left" vertical="top" indent="1"/>
    </xf>
    <xf numFmtId="170" fontId="32" fillId="0" borderId="12" xfId="10" quotePrefix="1" applyNumberFormat="1" applyFont="1" applyFill="1" applyBorder="1" applyAlignment="1">
      <alignment horizontal="left"/>
    </xf>
    <xf numFmtId="170" fontId="0" fillId="14" borderId="0" xfId="0" applyNumberFormat="1" applyFill="1"/>
    <xf numFmtId="170" fontId="3" fillId="14" borderId="0" xfId="0" applyNumberFormat="1" applyFont="1" applyFill="1"/>
    <xf numFmtId="170" fontId="0" fillId="0" borderId="0" xfId="0" applyNumberFormat="1" applyFill="1"/>
    <xf numFmtId="0" fontId="3" fillId="0" borderId="0" xfId="0" applyFont="1" applyFill="1"/>
    <xf numFmtId="10" fontId="0" fillId="0" borderId="0" xfId="63" applyNumberFormat="1" applyFont="1" applyFill="1"/>
    <xf numFmtId="43" fontId="0" fillId="0" borderId="0" xfId="0" applyNumberFormat="1" applyFill="1"/>
    <xf numFmtId="0" fontId="3" fillId="0" borderId="0" xfId="0" applyFont="1" applyFill="1" applyBorder="1" applyAlignment="1">
      <alignment horizontal="center"/>
    </xf>
    <xf numFmtId="170" fontId="3" fillId="0" borderId="0" xfId="0" applyNumberFormat="1" applyFont="1" applyFill="1"/>
    <xf numFmtId="0" fontId="3" fillId="0" borderId="0" xfId="0" applyFont="1" applyAlignment="1">
      <alignment horizontal="left"/>
    </xf>
    <xf numFmtId="0" fontId="3" fillId="0" borderId="0" xfId="0" applyFont="1"/>
    <xf numFmtId="178" fontId="21" fillId="0" borderId="0" xfId="106" applyNumberFormat="1" applyFont="1" applyFill="1"/>
    <xf numFmtId="0" fontId="21" fillId="0" borderId="0" xfId="105" applyFont="1" applyFill="1"/>
    <xf numFmtId="0" fontId="45" fillId="0" borderId="0" xfId="105" applyFill="1"/>
    <xf numFmtId="10" fontId="3" fillId="13" borderId="0" xfId="105" applyNumberFormat="1" applyFont="1" applyFill="1" applyAlignment="1">
      <alignment horizontal="left" vertical="top" indent="1"/>
    </xf>
    <xf numFmtId="0" fontId="12" fillId="0" borderId="0" xfId="0" applyFont="1" applyFill="1" applyAlignment="1">
      <alignment horizontal="center"/>
    </xf>
    <xf numFmtId="175" fontId="45" fillId="0" borderId="0" xfId="105" applyNumberFormat="1" applyFill="1"/>
    <xf numFmtId="178" fontId="0" fillId="0" borderId="0" xfId="106" applyNumberFormat="1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Border="1"/>
    <xf numFmtId="0" fontId="3" fillId="0" borderId="11" xfId="0" applyFont="1" applyFill="1" applyBorder="1"/>
    <xf numFmtId="0" fontId="3" fillId="0" borderId="11" xfId="0" applyFont="1" applyFill="1" applyBorder="1" applyAlignment="1">
      <alignment horizontal="center"/>
    </xf>
    <xf numFmtId="0" fontId="0" fillId="0" borderId="0" xfId="0" applyFont="1" applyFill="1" applyBorder="1"/>
    <xf numFmtId="2" fontId="32" fillId="0" borderId="0" xfId="0" applyNumberFormat="1" applyFont="1" applyFill="1" applyBorder="1" applyAlignment="1">
      <alignment horizontal="center"/>
    </xf>
    <xf numFmtId="2" fontId="32" fillId="0" borderId="0" xfId="1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3" fillId="0" borderId="11" xfId="0" applyNumberFormat="1" applyFont="1" applyFill="1" applyBorder="1" applyAlignment="1">
      <alignment horizontal="center"/>
    </xf>
    <xf numFmtId="2" fontId="0" fillId="0" borderId="0" xfId="1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2" fontId="0" fillId="0" borderId="0" xfId="0" applyNumberFormat="1" applyFill="1" applyBorder="1" applyAlignment="1"/>
    <xf numFmtId="2" fontId="32" fillId="0" borderId="11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0" fillId="0" borderId="11" xfId="1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2" fontId="0" fillId="0" borderId="12" xfId="10" applyNumberFormat="1" applyFont="1" applyFill="1" applyBorder="1" applyAlignment="1">
      <alignment horizontal="center"/>
    </xf>
    <xf numFmtId="2" fontId="3" fillId="0" borderId="12" xfId="0" applyNumberFormat="1" applyFont="1" applyFill="1" applyBorder="1" applyAlignment="1">
      <alignment horizontal="center"/>
    </xf>
    <xf numFmtId="2" fontId="32" fillId="0" borderId="12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0" fillId="0" borderId="0" xfId="63" applyNumberFormat="1" applyFont="1"/>
    <xf numFmtId="180" fontId="0" fillId="0" borderId="0" xfId="63" applyNumberFormat="1" applyFont="1"/>
    <xf numFmtId="0" fontId="0" fillId="0" borderId="11" xfId="0" applyBorder="1"/>
    <xf numFmtId="43" fontId="0" fillId="0" borderId="0" xfId="0" applyNumberFormat="1" applyFill="1" applyBorder="1"/>
    <xf numFmtId="0" fontId="3" fillId="0" borderId="0" xfId="0" applyFont="1" applyFill="1" applyBorder="1" applyAlignment="1">
      <alignment horizontal="right"/>
    </xf>
    <xf numFmtId="170" fontId="0" fillId="0" borderId="11" xfId="10" applyNumberFormat="1" applyFont="1" applyBorder="1"/>
    <xf numFmtId="170" fontId="0" fillId="0" borderId="12" xfId="10" applyNumberFormat="1" applyFont="1" applyBorder="1"/>
    <xf numFmtId="170" fontId="0" fillId="0" borderId="11" xfId="10" applyNumberFormat="1" applyFont="1" applyFill="1" applyBorder="1"/>
    <xf numFmtId="43" fontId="0" fillId="0" borderId="11" xfId="0" applyNumberFormat="1" applyFill="1" applyBorder="1"/>
    <xf numFmtId="2" fontId="32" fillId="0" borderId="0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2" fontId="3" fillId="0" borderId="11" xfId="0" applyNumberFormat="1" applyFont="1" applyFill="1" applyBorder="1" applyAlignment="1">
      <alignment horizontal="right"/>
    </xf>
    <xf numFmtId="170" fontId="0" fillId="0" borderId="12" xfId="10" applyNumberFormat="1" applyFont="1" applyFill="1" applyBorder="1"/>
    <xf numFmtId="170" fontId="0" fillId="0" borderId="0" xfId="0" applyNumberFormat="1"/>
    <xf numFmtId="43" fontId="0" fillId="0" borderId="12" xfId="0" applyNumberFormat="1" applyFill="1" applyBorder="1"/>
    <xf numFmtId="43" fontId="0" fillId="0" borderId="12" xfId="10" applyNumberFormat="1" applyFont="1" applyBorder="1" applyAlignment="1"/>
    <xf numFmtId="43" fontId="0" fillId="0" borderId="12" xfId="10" applyNumberFormat="1" applyFont="1" applyBorder="1" applyAlignment="1">
      <alignment horizontal="right"/>
    </xf>
    <xf numFmtId="170" fontId="0" fillId="0" borderId="9" xfId="0" applyNumberFormat="1" applyBorder="1"/>
    <xf numFmtId="170" fontId="0" fillId="0" borderId="12" xfId="0" applyNumberFormat="1" applyBorder="1"/>
    <xf numFmtId="169" fontId="12" fillId="0" borderId="0" xfId="14" applyNumberFormat="1" applyFont="1" applyBorder="1"/>
    <xf numFmtId="170" fontId="5" fillId="0" borderId="11" xfId="10" applyNumberFormat="1" applyFont="1" applyBorder="1"/>
    <xf numFmtId="0" fontId="3" fillId="0" borderId="0" xfId="0" applyFont="1" applyBorder="1"/>
    <xf numFmtId="0" fontId="3" fillId="0" borderId="0" xfId="0" quotePrefix="1" applyFont="1" applyBorder="1"/>
    <xf numFmtId="0" fontId="3" fillId="0" borderId="0" xfId="0" quotePrefix="1" applyFont="1" applyFill="1" applyBorder="1"/>
    <xf numFmtId="170" fontId="0" fillId="0" borderId="0" xfId="10" applyNumberFormat="1" applyFont="1" applyBorder="1"/>
    <xf numFmtId="0" fontId="0" fillId="0" borderId="0" xfId="0" quotePrefix="1" applyFont="1" applyFill="1" applyBorder="1"/>
    <xf numFmtId="170" fontId="0" fillId="0" borderId="0" xfId="10" applyNumberFormat="1" applyFont="1" applyAlignment="1">
      <alignment horizontal="right"/>
    </xf>
    <xf numFmtId="0" fontId="3" fillId="0" borderId="0" xfId="0" quotePrefix="1" applyFont="1" applyAlignment="1">
      <alignment horizontal="left"/>
    </xf>
    <xf numFmtId="0" fontId="11" fillId="0" borderId="0" xfId="0" applyFont="1" applyFill="1"/>
    <xf numFmtId="181" fontId="0" fillId="0" borderId="0" xfId="14" applyNumberFormat="1" applyFont="1"/>
    <xf numFmtId="181" fontId="3" fillId="0" borderId="0" xfId="14" applyNumberFormat="1" applyFont="1"/>
    <xf numFmtId="164" fontId="32" fillId="0" borderId="0" xfId="0" applyNumberFormat="1" applyFont="1" applyFill="1"/>
    <xf numFmtId="170" fontId="0" fillId="14" borderId="0" xfId="10" applyNumberFormat="1" applyFont="1" applyFill="1"/>
    <xf numFmtId="0" fontId="3" fillId="14" borderId="0" xfId="0" applyFont="1" applyFill="1" applyBorder="1" applyAlignment="1">
      <alignment horizontal="left"/>
    </xf>
    <xf numFmtId="43" fontId="3" fillId="0" borderId="0" xfId="0" applyNumberFormat="1" applyFont="1" applyFill="1"/>
    <xf numFmtId="170" fontId="0" fillId="0" borderId="0" xfId="10" applyNumberFormat="1" applyFont="1" applyFill="1"/>
    <xf numFmtId="170" fontId="32" fillId="0" borderId="0" xfId="10" applyNumberFormat="1" applyFont="1" applyFill="1" applyAlignment="1">
      <alignment horizontal="center"/>
    </xf>
    <xf numFmtId="0" fontId="32" fillId="0" borderId="11" xfId="0" applyFont="1" applyFill="1" applyBorder="1" applyAlignment="1">
      <alignment horizontal="right"/>
    </xf>
    <xf numFmtId="170" fontId="32" fillId="0" borderId="0" xfId="10" applyNumberFormat="1" applyFont="1" applyFill="1" applyAlignment="1">
      <alignment horizontal="right"/>
    </xf>
    <xf numFmtId="170" fontId="32" fillId="0" borderId="12" xfId="10" applyNumberFormat="1" applyFont="1" applyFill="1" applyBorder="1" applyAlignment="1">
      <alignment horizontal="right"/>
    </xf>
    <xf numFmtId="170" fontId="32" fillId="0" borderId="0" xfId="0" applyNumberFormat="1" applyFont="1" applyFill="1" applyAlignment="1">
      <alignment horizontal="center"/>
    </xf>
    <xf numFmtId="164" fontId="32" fillId="0" borderId="0" xfId="63" applyNumberFormat="1" applyFont="1" applyFill="1" applyAlignment="1">
      <alignment horizontal="right"/>
    </xf>
    <xf numFmtId="164" fontId="32" fillId="0" borderId="11" xfId="63" applyNumberFormat="1" applyFont="1" applyFill="1" applyBorder="1" applyAlignment="1">
      <alignment horizontal="right"/>
    </xf>
    <xf numFmtId="17" fontId="0" fillId="0" borderId="0" xfId="0" applyNumberFormat="1" applyFill="1"/>
    <xf numFmtId="17" fontId="3" fillId="0" borderId="0" xfId="0" applyNumberFormat="1" applyFont="1" applyFill="1"/>
    <xf numFmtId="170" fontId="3" fillId="0" borderId="0" xfId="10" applyNumberFormat="1" applyFont="1" applyFill="1" applyBorder="1"/>
    <xf numFmtId="170" fontId="3" fillId="0" borderId="0" xfId="0" applyNumberFormat="1" applyFont="1" applyFill="1" applyBorder="1"/>
    <xf numFmtId="0" fontId="2" fillId="0" borderId="0" xfId="108"/>
    <xf numFmtId="0" fontId="48" fillId="0" borderId="0" xfId="108" applyFont="1"/>
    <xf numFmtId="10" fontId="48" fillId="0" borderId="0" xfId="108" applyNumberFormat="1" applyFont="1"/>
    <xf numFmtId="0" fontId="48" fillId="0" borderId="0" xfId="108" applyFont="1" applyAlignment="1">
      <alignment horizontal="center"/>
    </xf>
    <xf numFmtId="3" fontId="48" fillId="0" borderId="0" xfId="108" applyNumberFormat="1" applyFont="1"/>
    <xf numFmtId="8" fontId="48" fillId="0" borderId="0" xfId="108" applyNumberFormat="1" applyFont="1"/>
    <xf numFmtId="0" fontId="48" fillId="0" borderId="11" xfId="108" applyFont="1" applyBorder="1"/>
    <xf numFmtId="178" fontId="3" fillId="0" borderId="0" xfId="10" applyNumberFormat="1" applyFont="1" applyProtection="1"/>
    <xf numFmtId="0" fontId="48" fillId="0" borderId="11" xfId="108" applyFont="1" applyBorder="1" applyAlignment="1">
      <alignment horizontal="center"/>
    </xf>
    <xf numFmtId="6" fontId="3" fillId="0" borderId="12" xfId="0" applyNumberFormat="1" applyFont="1" applyBorder="1" applyProtection="1"/>
    <xf numFmtId="170" fontId="48" fillId="0" borderId="0" xfId="10" applyNumberFormat="1" applyFont="1"/>
    <xf numFmtId="3" fontId="48" fillId="0" borderId="11" xfId="108" applyNumberFormat="1" applyFont="1" applyBorder="1"/>
    <xf numFmtId="178" fontId="3" fillId="0" borderId="11" xfId="10" applyNumberFormat="1" applyFont="1" applyBorder="1" applyProtection="1"/>
    <xf numFmtId="3" fontId="48" fillId="0" borderId="9" xfId="108" applyNumberFormat="1" applyFont="1" applyBorder="1"/>
    <xf numFmtId="178" fontId="48" fillId="0" borderId="9" xfId="108" applyNumberFormat="1" applyFont="1" applyBorder="1"/>
    <xf numFmtId="6" fontId="48" fillId="0" borderId="12" xfId="108" applyNumberFormat="1" applyFont="1" applyBorder="1"/>
    <xf numFmtId="170" fontId="48" fillId="0" borderId="11" xfId="10" applyNumberFormat="1" applyFont="1" applyBorder="1"/>
    <xf numFmtId="170" fontId="48" fillId="0" borderId="12" xfId="10" applyNumberFormat="1" applyFont="1" applyBorder="1"/>
    <xf numFmtId="170" fontId="48" fillId="0" borderId="18" xfId="10" applyNumberFormat="1" applyFont="1" applyBorder="1"/>
    <xf numFmtId="0" fontId="12" fillId="0" borderId="0" xfId="0" applyFont="1" applyFill="1" applyAlignment="1">
      <alignment horizontal="center"/>
    </xf>
    <xf numFmtId="170" fontId="32" fillId="0" borderId="11" xfId="10" applyNumberFormat="1" applyFont="1" applyFill="1" applyBorder="1" applyAlignment="1">
      <alignment horizontal="center"/>
    </xf>
    <xf numFmtId="10" fontId="0" fillId="0" borderId="0" xfId="63" applyNumberFormat="1" applyFont="1" applyFill="1" applyBorder="1"/>
    <xf numFmtId="10" fontId="0" fillId="0" borderId="11" xfId="63" applyNumberFormat="1" applyFont="1" applyFill="1" applyBorder="1"/>
    <xf numFmtId="170" fontId="0" fillId="0" borderId="9" xfId="10" applyNumberFormat="1" applyFont="1" applyFill="1" applyBorder="1"/>
    <xf numFmtId="170" fontId="0" fillId="0" borderId="0" xfId="0" applyNumberFormat="1" applyBorder="1"/>
    <xf numFmtId="170" fontId="0" fillId="0" borderId="12" xfId="0" applyNumberFormat="1" applyFill="1" applyBorder="1"/>
    <xf numFmtId="182" fontId="32" fillId="0" borderId="0" xfId="0" applyNumberFormat="1" applyFont="1" applyFill="1" applyAlignment="1">
      <alignment horizontal="right"/>
    </xf>
    <xf numFmtId="170" fontId="3" fillId="0" borderId="12" xfId="10" applyNumberFormat="1" applyFont="1" applyFill="1" applyBorder="1"/>
    <xf numFmtId="170" fontId="32" fillId="0" borderId="0" xfId="10" applyNumberFormat="1" applyFont="1" applyFill="1" applyBorder="1" applyAlignment="1">
      <alignment horizontal="right"/>
    </xf>
    <xf numFmtId="178" fontId="32" fillId="0" borderId="11" xfId="10" applyNumberFormat="1" applyFont="1" applyFill="1" applyBorder="1" applyAlignment="1">
      <alignment horizontal="right"/>
    </xf>
    <xf numFmtId="164" fontId="32" fillId="0" borderId="11" xfId="63" applyNumberFormat="1" applyFont="1" applyFill="1" applyBorder="1"/>
    <xf numFmtId="9" fontId="32" fillId="0" borderId="11" xfId="63" applyFont="1" applyFill="1" applyBorder="1" applyAlignment="1">
      <alignment horizontal="right"/>
    </xf>
    <xf numFmtId="178" fontId="32" fillId="0" borderId="0" xfId="10" applyNumberFormat="1" applyFont="1" applyFill="1" applyBorder="1" applyAlignment="1">
      <alignment horizontal="center"/>
    </xf>
    <xf numFmtId="178" fontId="32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/>
    </xf>
    <xf numFmtId="43" fontId="0" fillId="0" borderId="0" xfId="0" applyNumberFormat="1"/>
    <xf numFmtId="43" fontId="3" fillId="0" borderId="0" xfId="10" applyFont="1" applyFill="1" applyAlignment="1">
      <alignment horizontal="center"/>
    </xf>
    <xf numFmtId="170" fontId="3" fillId="0" borderId="0" xfId="10" applyNumberFormat="1" applyFont="1" applyFill="1" applyAlignment="1">
      <alignment horizontal="center"/>
    </xf>
    <xf numFmtId="43" fontId="3" fillId="0" borderId="0" xfId="10" applyFont="1"/>
    <xf numFmtId="170" fontId="3" fillId="0" borderId="0" xfId="10" applyNumberFormat="1" applyFont="1"/>
    <xf numFmtId="170" fontId="3" fillId="0" borderId="11" xfId="10" applyNumberFormat="1" applyFont="1" applyFill="1" applyBorder="1" applyAlignment="1">
      <alignment horizontal="center"/>
    </xf>
    <xf numFmtId="43" fontId="3" fillId="0" borderId="11" xfId="10" applyFont="1" applyFill="1" applyBorder="1" applyAlignment="1">
      <alignment horizontal="center"/>
    </xf>
    <xf numFmtId="170" fontId="3" fillId="0" borderId="11" xfId="10" applyNumberFormat="1" applyFont="1" applyBorder="1"/>
    <xf numFmtId="43" fontId="3" fillId="0" borderId="0" xfId="10" applyNumberFormat="1" applyFont="1"/>
    <xf numFmtId="10" fontId="3" fillId="0" borderId="0" xfId="63" applyNumberFormat="1" applyFont="1"/>
    <xf numFmtId="10" fontId="3" fillId="0" borderId="11" xfId="63" applyNumberFormat="1" applyFont="1" applyBorder="1"/>
    <xf numFmtId="170" fontId="3" fillId="0" borderId="0" xfId="10" applyNumberFormat="1" applyFont="1" applyFill="1"/>
    <xf numFmtId="10" fontId="3" fillId="0" borderId="0" xfId="63" applyNumberFormat="1" applyFont="1" applyFill="1"/>
    <xf numFmtId="43" fontId="3" fillId="0" borderId="0" xfId="10" applyFont="1" applyFill="1"/>
    <xf numFmtId="170" fontId="3" fillId="0" borderId="11" xfId="10" applyNumberFormat="1" applyFont="1" applyFill="1" applyBorder="1"/>
    <xf numFmtId="10" fontId="3" fillId="0" borderId="11" xfId="63" applyNumberFormat="1" applyFont="1" applyFill="1" applyBorder="1"/>
    <xf numFmtId="43" fontId="3" fillId="0" borderId="0" xfId="10" applyNumberFormat="1" applyFont="1" applyFill="1"/>
    <xf numFmtId="184" fontId="3" fillId="0" borderId="0" xfId="10" applyNumberFormat="1" applyFont="1" applyFill="1"/>
    <xf numFmtId="180" fontId="3" fillId="0" borderId="0" xfId="63" applyNumberFormat="1" applyFont="1"/>
    <xf numFmtId="180" fontId="3" fillId="0" borderId="11" xfId="63" applyNumberFormat="1" applyFont="1" applyBorder="1"/>
    <xf numFmtId="170" fontId="3" fillId="0" borderId="12" xfId="10" applyNumberFormat="1" applyFont="1" applyBorder="1"/>
    <xf numFmtId="10" fontId="0" fillId="0" borderId="11" xfId="63" applyNumberFormat="1" applyFont="1" applyBorder="1"/>
    <xf numFmtId="170" fontId="0" fillId="0" borderId="9" xfId="10" applyNumberFormat="1" applyFont="1" applyBorder="1"/>
    <xf numFmtId="10" fontId="3" fillId="0" borderId="0" xfId="63" applyNumberFormat="1" applyFont="1" applyFill="1" applyAlignment="1">
      <alignment horizontal="right"/>
    </xf>
    <xf numFmtId="170" fontId="3" fillId="0" borderId="0" xfId="63" applyNumberFormat="1" applyFont="1" applyFill="1"/>
    <xf numFmtId="43" fontId="3" fillId="0" borderId="0" xfId="10" applyNumberFormat="1" applyFont="1" applyFill="1" applyAlignment="1">
      <alignment horizontal="center"/>
    </xf>
    <xf numFmtId="178" fontId="3" fillId="0" borderId="0" xfId="10" applyNumberFormat="1" applyFont="1" applyFill="1" applyAlignment="1">
      <alignment horizontal="center"/>
    </xf>
    <xf numFmtId="170" fontId="3" fillId="0" borderId="0" xfId="10" applyNumberFormat="1" applyFont="1" applyFill="1" applyAlignment="1">
      <alignment horizontal="left"/>
    </xf>
    <xf numFmtId="0" fontId="3" fillId="0" borderId="0" xfId="109"/>
    <xf numFmtId="0" fontId="3" fillId="0" borderId="0" xfId="109" applyAlignment="1">
      <alignment horizontal="center"/>
    </xf>
    <xf numFmtId="0" fontId="49" fillId="0" borderId="0" xfId="109" applyFont="1" applyAlignment="1">
      <alignment horizontal="centerContinuous"/>
    </xf>
    <xf numFmtId="0" fontId="3" fillId="0" borderId="0" xfId="109" applyFont="1" applyAlignment="1">
      <alignment horizontal="centerContinuous"/>
    </xf>
    <xf numFmtId="185" fontId="3" fillId="0" borderId="0" xfId="109" applyNumberFormat="1" applyFont="1" applyAlignment="1">
      <alignment horizontal="center"/>
    </xf>
    <xf numFmtId="0" fontId="3" fillId="0" borderId="0" xfId="109" applyBorder="1" applyAlignment="1">
      <alignment horizontal="center"/>
    </xf>
    <xf numFmtId="0" fontId="3" fillId="0" borderId="0" xfId="109" applyFont="1" applyBorder="1"/>
    <xf numFmtId="178" fontId="3" fillId="0" borderId="0" xfId="10" applyNumberFormat="1" applyFont="1" applyBorder="1" applyAlignment="1">
      <alignment horizontal="centerContinuous"/>
    </xf>
    <xf numFmtId="178" fontId="46" fillId="0" borderId="0" xfId="10" applyNumberFormat="1" applyFont="1" applyBorder="1" applyAlignment="1">
      <alignment horizontal="centerContinuous"/>
    </xf>
    <xf numFmtId="178" fontId="3" fillId="0" borderId="0" xfId="10" applyNumberFormat="1" applyFont="1" applyBorder="1"/>
    <xf numFmtId="185" fontId="3" fillId="0" borderId="11" xfId="109" applyNumberFormat="1" applyFont="1" applyBorder="1" applyAlignment="1">
      <alignment horizontal="center"/>
    </xf>
    <xf numFmtId="0" fontId="3" fillId="0" borderId="11" xfId="109" applyBorder="1" applyAlignment="1">
      <alignment horizontal="center"/>
    </xf>
    <xf numFmtId="181" fontId="3" fillId="0" borderId="0" xfId="14" applyNumberFormat="1" applyFont="1" applyBorder="1" applyAlignment="1">
      <alignment horizontal="left"/>
    </xf>
    <xf numFmtId="181" fontId="3" fillId="0" borderId="0" xfId="14" applyNumberFormat="1" applyFont="1" applyBorder="1" applyAlignment="1">
      <alignment horizontal="fill"/>
    </xf>
    <xf numFmtId="181" fontId="3" fillId="0" borderId="0" xfId="14" applyNumberFormat="1" applyFont="1" applyBorder="1"/>
    <xf numFmtId="0" fontId="3" fillId="0" borderId="0" xfId="109" quotePrefix="1" applyFont="1" applyBorder="1" applyAlignment="1">
      <alignment horizontal="left"/>
    </xf>
    <xf numFmtId="180" fontId="3" fillId="0" borderId="0" xfId="63" applyNumberFormat="1" applyFont="1" applyBorder="1"/>
    <xf numFmtId="0" fontId="3" fillId="0" borderId="0" xfId="109" applyFont="1" applyBorder="1" applyAlignment="1">
      <alignment horizontal="left"/>
    </xf>
    <xf numFmtId="178" fontId="3" fillId="0" borderId="0" xfId="10" applyNumberFormat="1" applyFont="1" applyBorder="1" applyProtection="1"/>
    <xf numFmtId="180" fontId="3" fillId="0" borderId="0" xfId="63" applyNumberFormat="1" applyFont="1" applyProtection="1"/>
    <xf numFmtId="181" fontId="3" fillId="0" borderId="0" xfId="14" applyNumberFormat="1" applyFont="1" applyBorder="1" applyProtection="1"/>
    <xf numFmtId="180" fontId="3" fillId="0" borderId="0" xfId="63" applyNumberFormat="1" applyFont="1" applyBorder="1" applyProtection="1"/>
    <xf numFmtId="186" fontId="3" fillId="0" borderId="0" xfId="10" applyNumberFormat="1" applyFont="1" applyBorder="1" applyProtection="1"/>
    <xf numFmtId="37" fontId="3" fillId="0" borderId="0" xfId="110" quotePrefix="1" applyFont="1" applyAlignment="1">
      <alignment horizontal="left"/>
    </xf>
    <xf numFmtId="10" fontId="3" fillId="0" borderId="0" xfId="10" applyNumberFormat="1" applyFont="1" applyFill="1" applyBorder="1" applyProtection="1"/>
    <xf numFmtId="0" fontId="3" fillId="0" borderId="0" xfId="109" applyFill="1"/>
    <xf numFmtId="37" fontId="3" fillId="0" borderId="0" xfId="110" quotePrefix="1" applyFont="1" applyBorder="1" applyAlignment="1">
      <alignment horizontal="left"/>
    </xf>
    <xf numFmtId="10" fontId="3" fillId="0" borderId="0" xfId="63" applyNumberFormat="1" applyFont="1" applyFill="1" applyBorder="1" applyProtection="1"/>
    <xf numFmtId="37" fontId="0" fillId="0" borderId="0" xfId="110" quotePrefix="1" applyFont="1" applyBorder="1" applyAlignment="1">
      <alignment horizontal="left"/>
    </xf>
    <xf numFmtId="184" fontId="3" fillId="0" borderId="11" xfId="10" applyNumberFormat="1" applyFont="1" applyFill="1" applyBorder="1" applyProtection="1"/>
    <xf numFmtId="164" fontId="3" fillId="0" borderId="11" xfId="63" applyNumberFormat="1" applyFont="1" applyFill="1" applyBorder="1" applyProtection="1"/>
    <xf numFmtId="183" fontId="3" fillId="0" borderId="0" xfId="10" applyNumberFormat="1" applyFont="1" applyFill="1" applyBorder="1" applyProtection="1"/>
    <xf numFmtId="164" fontId="3" fillId="0" borderId="0" xfId="63" applyNumberFormat="1" applyFont="1" applyFill="1" applyBorder="1" applyProtection="1"/>
    <xf numFmtId="180" fontId="3" fillId="0" borderId="11" xfId="63" applyNumberFormat="1" applyFont="1" applyBorder="1" applyProtection="1"/>
    <xf numFmtId="178" fontId="3" fillId="0" borderId="0" xfId="10" applyNumberFormat="1" applyFont="1" applyBorder="1" applyAlignment="1">
      <alignment horizontal="right"/>
    </xf>
    <xf numFmtId="0" fontId="3" fillId="0" borderId="0" xfId="109" applyFont="1"/>
    <xf numFmtId="168" fontId="3" fillId="0" borderId="0" xfId="63" applyNumberFormat="1" applyFont="1"/>
    <xf numFmtId="168" fontId="3" fillId="0" borderId="11" xfId="63" applyNumberFormat="1" applyFont="1" applyBorder="1"/>
    <xf numFmtId="168" fontId="0" fillId="0" borderId="0" xfId="63" applyNumberFormat="1" applyFont="1"/>
    <xf numFmtId="170" fontId="3" fillId="0" borderId="0" xfId="10" applyNumberFormat="1"/>
    <xf numFmtId="170" fontId="3" fillId="0" borderId="11" xfId="10" applyNumberFormat="1" applyBorder="1"/>
    <xf numFmtId="10" fontId="3" fillId="0" borderId="9" xfId="63" applyNumberFormat="1" applyBorder="1"/>
    <xf numFmtId="180" fontId="3" fillId="0" borderId="0" xfId="63" applyNumberFormat="1" applyFont="1" applyFill="1" applyBorder="1" applyProtection="1"/>
    <xf numFmtId="180" fontId="3" fillId="0" borderId="0" xfId="63" applyNumberFormat="1" applyFont="1" applyFill="1" applyProtection="1"/>
    <xf numFmtId="186" fontId="3" fillId="0" borderId="0" xfId="10" applyNumberFormat="1" applyFont="1" applyFill="1" applyBorder="1" applyProtection="1"/>
    <xf numFmtId="180" fontId="3" fillId="0" borderId="11" xfId="63" applyNumberFormat="1" applyFont="1" applyFill="1" applyBorder="1" applyProtection="1"/>
    <xf numFmtId="168" fontId="3" fillId="0" borderId="12" xfId="63" applyNumberFormat="1" applyFont="1" applyFill="1" applyBorder="1"/>
    <xf numFmtId="185" fontId="3" fillId="0" borderId="0" xfId="109" applyNumberFormat="1" applyFont="1" applyFill="1" applyProtection="1"/>
    <xf numFmtId="187" fontId="3" fillId="0" borderId="12" xfId="109" applyNumberFormat="1" applyFont="1" applyFill="1" applyBorder="1"/>
    <xf numFmtId="187" fontId="3" fillId="0" borderId="0" xfId="109" applyNumberFormat="1" applyFill="1"/>
    <xf numFmtId="185" fontId="3" fillId="0" borderId="0" xfId="109" applyNumberFormat="1" applyFont="1" applyFill="1"/>
    <xf numFmtId="0" fontId="3" fillId="0" borderId="0" xfId="109" applyFont="1" applyFill="1"/>
    <xf numFmtId="180" fontId="3" fillId="0" borderId="0" xfId="63" applyNumberFormat="1" applyFont="1" applyFill="1"/>
    <xf numFmtId="180" fontId="0" fillId="0" borderId="0" xfId="63" applyNumberFormat="1" applyFont="1" applyFill="1"/>
    <xf numFmtId="10" fontId="3" fillId="0" borderId="11" xfId="63" applyNumberFormat="1" applyFont="1" applyFill="1" applyBorder="1" applyProtection="1"/>
    <xf numFmtId="10" fontId="3" fillId="0" borderId="0" xfId="63" applyNumberFormat="1" applyFill="1"/>
    <xf numFmtId="170" fontId="32" fillId="0" borderId="0" xfId="10" applyNumberFormat="1" applyFont="1" applyBorder="1" applyAlignment="1">
      <alignment horizontal="center"/>
    </xf>
    <xf numFmtId="170" fontId="32" fillId="0" borderId="11" xfId="10" applyNumberFormat="1" applyFont="1" applyBorder="1" applyAlignment="1">
      <alignment horizontal="center"/>
    </xf>
    <xf numFmtId="170" fontId="32" fillId="0" borderId="0" xfId="10" applyNumberFormat="1" applyFont="1" applyFill="1" applyAlignment="1">
      <alignment horizontal="left"/>
    </xf>
    <xf numFmtId="164" fontId="0" fillId="0" borderId="11" xfId="63" applyNumberFormat="1" applyFont="1" applyFill="1" applyBorder="1"/>
    <xf numFmtId="0" fontId="1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left"/>
    </xf>
    <xf numFmtId="180" fontId="32" fillId="0" borderId="0" xfId="63" applyNumberFormat="1" applyFont="1" applyFill="1" applyBorder="1" applyAlignment="1">
      <alignment horizontal="center"/>
    </xf>
    <xf numFmtId="180" fontId="32" fillId="0" borderId="11" xfId="63" applyNumberFormat="1" applyFont="1" applyFill="1" applyBorder="1" applyAlignment="1">
      <alignment horizontal="right"/>
    </xf>
    <xf numFmtId="188" fontId="32" fillId="0" borderId="0" xfId="63" applyNumberFormat="1" applyFont="1" applyFill="1"/>
    <xf numFmtId="170" fontId="3" fillId="0" borderId="0" xfId="0" applyNumberFormat="1" applyFont="1"/>
    <xf numFmtId="182" fontId="32" fillId="0" borderId="0" xfId="0" applyNumberFormat="1" applyFont="1" applyFill="1" applyBorder="1" applyAlignment="1">
      <alignment horizontal="right"/>
    </xf>
    <xf numFmtId="0" fontId="48" fillId="0" borderId="0" xfId="108" applyFont="1" applyBorder="1"/>
    <xf numFmtId="170" fontId="5" fillId="0" borderId="0" xfId="10" applyNumberFormat="1" applyFont="1" applyBorder="1"/>
    <xf numFmtId="185" fontId="0" fillId="0" borderId="0" xfId="0" applyNumberFormat="1"/>
    <xf numFmtId="185" fontId="0" fillId="0" borderId="11" xfId="0" applyNumberFormat="1" applyBorder="1"/>
    <xf numFmtId="38" fontId="48" fillId="0" borderId="0" xfId="108" applyNumberFormat="1" applyFont="1"/>
    <xf numFmtId="0" fontId="1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124">
    <cellStyle name="7" xfId="1"/>
    <cellStyle name="Actual Date" xfId="2"/>
    <cellStyle name="Affinity Input" xfId="3"/>
    <cellStyle name="Body" xfId="4"/>
    <cellStyle name="ColumnAttributeAbovePrompt" xfId="5"/>
    <cellStyle name="ColumnAttributePrompt" xfId="6"/>
    <cellStyle name="ColumnAttributeValue" xfId="7"/>
    <cellStyle name="ColumnHeadingPrompt" xfId="8"/>
    <cellStyle name="ColumnHeadingValue" xfId="9"/>
    <cellStyle name="Comma" xfId="10" builtinId="3"/>
    <cellStyle name="Comma [0] 2" xfId="111"/>
    <cellStyle name="Comma 2" xfId="11"/>
    <cellStyle name="Comma 3" xfId="106"/>
    <cellStyle name="Comma 4" xfId="112"/>
    <cellStyle name="Comma0" xfId="12"/>
    <cellStyle name="ContentsHyperlink" xfId="13"/>
    <cellStyle name="Currency" xfId="14" builtinId="4"/>
    <cellStyle name="Currency [0] 2" xfId="113"/>
    <cellStyle name="Currency [2]" xfId="15"/>
    <cellStyle name="Currency 2" xfId="16"/>
    <cellStyle name="Currency 3" xfId="114"/>
    <cellStyle name="Currency 4" xfId="115"/>
    <cellStyle name="Currency0" xfId="17"/>
    <cellStyle name="Custom - Style1" xfId="18"/>
    <cellStyle name="Custom - Style8" xfId="19"/>
    <cellStyle name="Data   - Style2" xfId="20"/>
    <cellStyle name="Date" xfId="21"/>
    <cellStyle name="Edit" xfId="22"/>
    <cellStyle name="Engine" xfId="23"/>
    <cellStyle name="Euro" xfId="24"/>
    <cellStyle name="F2" xfId="25"/>
    <cellStyle name="F3" xfId="26"/>
    <cellStyle name="F4" xfId="27"/>
    <cellStyle name="F5" xfId="28"/>
    <cellStyle name="F6" xfId="29"/>
    <cellStyle name="F7" xfId="30"/>
    <cellStyle name="F8" xfId="31"/>
    <cellStyle name="Fixed" xfId="32"/>
    <cellStyle name="Grey" xfId="33"/>
    <cellStyle name="HEADER" xfId="34"/>
    <cellStyle name="Header1" xfId="35"/>
    <cellStyle name="Header2" xfId="36"/>
    <cellStyle name="heading" xfId="37"/>
    <cellStyle name="Heading1" xfId="38"/>
    <cellStyle name="Heading2" xfId="39"/>
    <cellStyle name="HIGHLIGHT" xfId="40"/>
    <cellStyle name="Input [yellow]" xfId="41"/>
    <cellStyle name="Labels - Style3" xfId="42"/>
    <cellStyle name="Large Page Heading" xfId="43"/>
    <cellStyle name="LineItemPrompt" xfId="44"/>
    <cellStyle name="LineItemValue" xfId="45"/>
    <cellStyle name="no dec" xfId="46"/>
    <cellStyle name="No Edit" xfId="47"/>
    <cellStyle name="Normal" xfId="0" builtinId="0"/>
    <cellStyle name="Normal - Style1" xfId="48"/>
    <cellStyle name="Normal - Style2" xfId="49"/>
    <cellStyle name="Normal - Style3" xfId="50"/>
    <cellStyle name="Normal - Style4" xfId="51"/>
    <cellStyle name="Normal - Style5" xfId="52"/>
    <cellStyle name="Normal - Style6" xfId="53"/>
    <cellStyle name="Normal - Style7" xfId="54"/>
    <cellStyle name="Normal - Style8" xfId="55"/>
    <cellStyle name="Normal 11" xfId="116"/>
    <cellStyle name="Normal 2" xfId="56"/>
    <cellStyle name="Normal 2 2" xfId="117"/>
    <cellStyle name="Normal 3" xfId="105"/>
    <cellStyle name="Normal 3 2" xfId="118"/>
    <cellStyle name="Normal 4" xfId="108"/>
    <cellStyle name="Normal 5" xfId="109"/>
    <cellStyle name="Normal 5 2" xfId="119"/>
    <cellStyle name="Normal 6" xfId="120"/>
    <cellStyle name="Normal 6 2" xfId="121"/>
    <cellStyle name="Normal 7" xfId="122"/>
    <cellStyle name="Normal_Composite Tax Rates" xfId="110"/>
    <cellStyle name="nPlosion" xfId="57"/>
    <cellStyle name="Output Amounts" xfId="58"/>
    <cellStyle name="Output Column Headings" xfId="59"/>
    <cellStyle name="Output Line Items" xfId="60"/>
    <cellStyle name="Output Report Heading" xfId="61"/>
    <cellStyle name="Output Report Title" xfId="62"/>
    <cellStyle name="Percent" xfId="63" builtinId="5"/>
    <cellStyle name="Percent [2]" xfId="64"/>
    <cellStyle name="Percent 2" xfId="65"/>
    <cellStyle name="Percent 3" xfId="107"/>
    <cellStyle name="Percent 7" xfId="123"/>
    <cellStyle name="PSChar" xfId="66"/>
    <cellStyle name="ReportTitlePrompt" xfId="67"/>
    <cellStyle name="ReportTitleValue" xfId="68"/>
    <cellStyle name="Reset  - Style4" xfId="69"/>
    <cellStyle name="Reset  - Style7" xfId="70"/>
    <cellStyle name="RowAcctAbovePrompt" xfId="71"/>
    <cellStyle name="RowAcctSOBAbovePrompt" xfId="72"/>
    <cellStyle name="RowAcctSOBValue" xfId="73"/>
    <cellStyle name="RowAcctValue" xfId="74"/>
    <cellStyle name="RowAttrAbovePrompt" xfId="75"/>
    <cellStyle name="RowAttrValue" xfId="76"/>
    <cellStyle name="RowColSetAbovePrompt" xfId="77"/>
    <cellStyle name="RowColSetLeftPrompt" xfId="78"/>
    <cellStyle name="RowColSetValue" xfId="79"/>
    <cellStyle name="RowLeftPrompt" xfId="80"/>
    <cellStyle name="SampleUsingFormatMask" xfId="81"/>
    <cellStyle name="SampleWithNoFormatMask" xfId="82"/>
    <cellStyle name="Small Page Heading" xfId="83"/>
    <cellStyle name="STYL5 - Style5" xfId="84"/>
    <cellStyle name="STYL6 - Style6" xfId="85"/>
    <cellStyle name="STYLE1 - Style1" xfId="86"/>
    <cellStyle name="STYLE2 - Style2" xfId="87"/>
    <cellStyle name="STYLE3 - Style3" xfId="88"/>
    <cellStyle name="STYLE4 - Style4" xfId="89"/>
    <cellStyle name="Table  - Style5" xfId="90"/>
    <cellStyle name="Table  - Style6" xfId="91"/>
    <cellStyle name="Title  - Style1" xfId="92"/>
    <cellStyle name="Title  - Style6" xfId="93"/>
    <cellStyle name="title1" xfId="94"/>
    <cellStyle name="Total" xfId="95" builtinId="25" customBuiltin="1"/>
    <cellStyle name="TotCol - Style5" xfId="96"/>
    <cellStyle name="TotCol - Style7" xfId="97"/>
    <cellStyle name="TotRow - Style4" xfId="98"/>
    <cellStyle name="TotRow - Style8" xfId="99"/>
    <cellStyle name="Unprot" xfId="100"/>
    <cellStyle name="Unprot$" xfId="101"/>
    <cellStyle name="Unprotect" xfId="102"/>
    <cellStyle name="UploadThisRowValue" xfId="103"/>
    <cellStyle name="一般_dept code" xfId="10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6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5.xml"/><Relationship Id="rId38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4.xml"/><Relationship Id="rId37" Type="http://schemas.openxmlformats.org/officeDocument/2006/relationships/externalLink" Target="externalLinks/externalLink9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VID/PSC/MA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05Plan/Utility%20Plan/Margin/100504%20Version%20of%20GM%202005%20Plan/KU-Whsle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1999/FACJAN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s/LG&amp;E/2008/lge0308rep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06Plan/Utility%20Plan/Supporting%20Schedules/Gross%20Margin/Gross%20Margin%202006-2008%20Pla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RevRptg\Reports\Databas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onthly%20Reporting/Tax%20Report/LGE/LGELedger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BellarExhibit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WINNT/Profiles/e004977/Temporary%20Internet%20Files/OLK2D/Rate%20Case%20LGE%20La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05Plan/Utility%20Plan/Margin/100504%20Version%20of%20GM%202005%20Plan/KU-Whsle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 List"/>
      <sheetName val="Support"/>
      <sheetName val="Report"/>
      <sheetName val="Cover"/>
      <sheetName val="dbase"/>
      <sheetName val="Invavg"/>
      <sheetName val="EGSplit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BillingDetail"/>
      <sheetName val="KW_Report"/>
      <sheetName val="KWH_Report"/>
      <sheetName val="Rev_Report"/>
      <sheetName val="MW_Report"/>
      <sheetName val="MWH_Report"/>
      <sheetName val="ThousRev_Report"/>
    </sheetNames>
    <sheetDataSet>
      <sheetData sheetId="0" refreshError="1">
        <row r="5">
          <cell r="G5">
            <v>2004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C Fuel Calc. Adj (Past)"/>
      <sheetName val="OVEC Fuel Calc. Adj (Current)"/>
      <sheetName val="dbase"/>
      <sheetName val="Sheet1"/>
      <sheetName val="Rate"/>
      <sheetName val="Cost"/>
      <sheetName val="kwh"/>
      <sheetName val="ov-un"/>
      <sheetName val="FAC Recon "/>
      <sheetName val="Forced Out"/>
      <sheetName val="focrmc"/>
      <sheetName val="fotc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WROWS1"/>
      <sheetName val="RWRACCTS1"/>
      <sheetName val="RWRCALCS1"/>
      <sheetName val="RWCOLUMNS1"/>
      <sheetName val="RWCACCTS1"/>
      <sheetName val="RWCCALCS1"/>
      <sheetName val="RWCEXCEPTIONS1"/>
      <sheetName val="RWCEXCEPTIONSDETAIL1"/>
      <sheetName val="RWROWORDERS1"/>
      <sheetName val="RWCONTENTS1"/>
      <sheetName val="RWDISPLAYROWS1"/>
      <sheetName val="RWDISPLAYCOLS1"/>
      <sheetName val="RWCONTROLVALUES1"/>
      <sheetName val="RWREPORT1"/>
      <sheetName val="CRITERIA1"/>
      <sheetName val="Index"/>
      <sheetName val="1"/>
      <sheetName val="2"/>
      <sheetName val="3"/>
      <sheetName val="4"/>
      <sheetName val="5"/>
      <sheetName val="6"/>
      <sheetName val="7-8"/>
      <sheetName val="9-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CODE"/>
      <sheetName val="22"/>
      <sheetName val="23"/>
      <sheetName val="24"/>
      <sheetName val="25"/>
      <sheetName val="26"/>
      <sheetName val="27"/>
      <sheetName val="28"/>
      <sheetName val="28.1"/>
      <sheetName val="28.2"/>
      <sheetName val="29"/>
      <sheetName val="29.1"/>
      <sheetName val="29.2"/>
      <sheetName val="30"/>
      <sheetName val="31"/>
      <sheetName val="32"/>
      <sheetName val="33"/>
      <sheetName val="33.1"/>
      <sheetName val="33.2"/>
      <sheetName val="34"/>
      <sheetName val="34.1"/>
      <sheetName val="34.2"/>
      <sheetName val="34.3"/>
      <sheetName val="34.4"/>
      <sheetName val="35"/>
      <sheetName val="36"/>
      <sheetName val="37"/>
      <sheetName val="38"/>
      <sheetName val="39"/>
      <sheetName val="40"/>
      <sheetName val="41"/>
      <sheetName val="check"/>
      <sheetName val="units"/>
      <sheetName val="validations"/>
      <sheetName val="Index1"/>
      <sheetName val="d1"/>
      <sheetName val="d2"/>
      <sheetName val="d3"/>
      <sheetName val="d5"/>
      <sheetName val="d7-10"/>
      <sheetName val="d11"/>
      <sheetName val="d12-13"/>
      <sheetName val="d14-15"/>
      <sheetName val="d16"/>
      <sheetName val="d17"/>
      <sheetName val="d18"/>
      <sheetName val="d19"/>
      <sheetName val="d20"/>
      <sheetName val="d23-24"/>
      <sheetName val="d26"/>
      <sheetName val="d27"/>
      <sheetName val="d28"/>
      <sheetName val="d28.1"/>
      <sheetName val="d28.2"/>
      <sheetName val="d29"/>
      <sheetName val="d29.1"/>
      <sheetName val="d29.2"/>
      <sheetName val="d30"/>
      <sheetName val="d31"/>
      <sheetName val="d32"/>
      <sheetName val="d33a"/>
      <sheetName val="d33b"/>
      <sheetName val="d33.1"/>
      <sheetName val="d33.2"/>
      <sheetName val="d34a"/>
      <sheetName val="d34b"/>
      <sheetName val="d34.1"/>
      <sheetName val="d34.2"/>
      <sheetName val="d34.3"/>
      <sheetName val="d34.4"/>
      <sheetName val="d35a"/>
      <sheetName val="d35b"/>
      <sheetName val="d36"/>
      <sheetName val="d37"/>
      <sheetName val="d38"/>
      <sheetName val="d39"/>
      <sheetName val="d40"/>
      <sheetName val="d4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 Tab"/>
      <sheetName val="LGE Gross Margin-Inc.Stmt"/>
      <sheetName val="KU Gross Margin -Inc.Stmt"/>
      <sheetName val="Combined Gross Margin-Inc.Stmt"/>
      <sheetName val="LGE Retail Margin"/>
      <sheetName val="KU Retail Margin"/>
      <sheetName val="ODP Retail Margin"/>
      <sheetName val="Total KU Retail Margin"/>
      <sheetName val="Combined Retail Margin"/>
      <sheetName val="LGE OSS Margin"/>
      <sheetName val="KU OSS Margin"/>
      <sheetName val="Combined OSS Margin"/>
      <sheetName val="LGE Rev by Comp"/>
      <sheetName val="KU Rev by Comp"/>
      <sheetName val="Combined Rev by Comp"/>
      <sheetName val="LGE Cost of Sales"/>
      <sheetName val="KU Cost of Sales"/>
      <sheetName val="Combined Cost of Sales"/>
      <sheetName val="LGE Sales"/>
      <sheetName val="KU Sales"/>
      <sheetName val="ODP Sales"/>
      <sheetName val="Combined KU &amp; ODP Sales"/>
      <sheetName val="LGE Base Electric Revenues"/>
      <sheetName val="KU Base Electric Revenues"/>
      <sheetName val="ODP Base Electric Revenues"/>
      <sheetName val="Municipals Base Electric Revs"/>
      <sheetName val="Rate Case"/>
      <sheetName val="LGE Base Fuel &amp; FAC"/>
      <sheetName val="KU Base Fuel &amp; FAC"/>
      <sheetName val="LGE Other Electric-Gas Revenues"/>
      <sheetName val="KU Other Electric Revenues"/>
      <sheetName val="LG&amp;E ECR"/>
      <sheetName val="KU ECR"/>
      <sheetName val="LG&amp;E VDT"/>
      <sheetName val="KU VDT"/>
      <sheetName val="LG&amp;E DSM"/>
      <sheetName val="KU DSM "/>
      <sheetName val="Merger Surcredit"/>
      <sheetName val="LGE Misc Rev"/>
      <sheetName val="KU Misc Rev"/>
      <sheetName val="LGE Revenue Average Price"/>
      <sheetName val="KU Revenue Average Price "/>
      <sheetName val="LGE Require &amp; Source"/>
      <sheetName val="KU Require &amp; Source"/>
      <sheetName val="LGE Coal"/>
      <sheetName val="KU Coal "/>
      <sheetName val="LGE Gas Margin"/>
      <sheetName val="LGE Gas Revenue Summary"/>
      <sheetName val="LGE Base Gas Revenues"/>
      <sheetName val="LGE GSC Revenues"/>
      <sheetName val="Combined Balance Sheet"/>
      <sheetName val="LGE Electric Comparison"/>
      <sheetName val="KU Electric Comparison"/>
      <sheetName val="Combined Electric Comparison"/>
      <sheetName val="LGE Gas Comparison"/>
      <sheetName val="LGE Budget Inputs"/>
      <sheetName val="KU Budget Inputs"/>
      <sheetName val="ODP Budget Inputs"/>
      <sheetName val="LGE Budget Upload-2005"/>
      <sheetName val="KU Budget Upload-2005"/>
      <sheetName val="KU Revenue Accounting"/>
      <sheetName val="KU Summary of S&amp;R"/>
      <sheetName val="GM KPI 2006"/>
      <sheetName val="Annual_LGE"/>
      <sheetName val="Gross Margin 2006-2008 Plan"/>
      <sheetName val="LGE Gas-Ultimate Cons"/>
      <sheetName val="Combined Summary"/>
      <sheetName val="LGE Comparison"/>
      <sheetName val="KU Comparison"/>
      <sheetName val="Combined LGE &amp; KU Comparison"/>
      <sheetName val="LGE Reven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Input"/>
      <sheetName val="RevDatabase"/>
      <sheetName val="BudgetDatabase"/>
      <sheetName val="KWHDistDatabase"/>
      <sheetName val="RevDatabase (2)"/>
    </sheetNames>
    <sheetDataSet>
      <sheetData sheetId="0"/>
      <sheetData sheetId="1">
        <row r="12">
          <cell r="M12">
            <v>38541.687344907405</v>
          </cell>
          <cell r="O12">
            <v>38541.690394560188</v>
          </cell>
          <cell r="AE12">
            <v>38553.463117129628</v>
          </cell>
        </row>
        <row r="19">
          <cell r="K19">
            <v>6</v>
          </cell>
          <cell r="AE19">
            <v>7</v>
          </cell>
        </row>
        <row r="21">
          <cell r="K21">
            <v>2005</v>
          </cell>
          <cell r="AE21">
            <v>2005</v>
          </cell>
        </row>
        <row r="30">
          <cell r="M30">
            <v>31</v>
          </cell>
        </row>
        <row r="43">
          <cell r="M43">
            <v>1</v>
          </cell>
        </row>
        <row r="44">
          <cell r="M44">
            <v>2</v>
          </cell>
        </row>
        <row r="45">
          <cell r="M45">
            <v>3</v>
          </cell>
        </row>
        <row r="48">
          <cell r="M48">
            <v>4</v>
          </cell>
        </row>
        <row r="49">
          <cell r="M49">
            <v>5</v>
          </cell>
        </row>
        <row r="50">
          <cell r="M50">
            <v>6</v>
          </cell>
        </row>
        <row r="51">
          <cell r="M51">
            <v>7</v>
          </cell>
        </row>
        <row r="52">
          <cell r="M52">
            <v>8</v>
          </cell>
        </row>
        <row r="55">
          <cell r="M55">
            <v>9</v>
          </cell>
        </row>
        <row r="56">
          <cell r="M56">
            <v>10</v>
          </cell>
        </row>
        <row r="57">
          <cell r="M57">
            <v>11</v>
          </cell>
        </row>
        <row r="58">
          <cell r="M58">
            <v>12</v>
          </cell>
        </row>
        <row r="59">
          <cell r="M59">
            <v>13</v>
          </cell>
        </row>
        <row r="62">
          <cell r="M62">
            <v>14</v>
          </cell>
        </row>
        <row r="63">
          <cell r="M63">
            <v>15</v>
          </cell>
        </row>
        <row r="64">
          <cell r="M64">
            <v>16</v>
          </cell>
        </row>
        <row r="65">
          <cell r="M65">
            <v>17</v>
          </cell>
        </row>
        <row r="66">
          <cell r="M66">
            <v>18</v>
          </cell>
        </row>
        <row r="70">
          <cell r="M70">
            <v>19</v>
          </cell>
        </row>
        <row r="71">
          <cell r="M71">
            <v>20</v>
          </cell>
        </row>
        <row r="100">
          <cell r="O100">
            <v>0</v>
          </cell>
          <cell r="Q100">
            <v>0</v>
          </cell>
        </row>
        <row r="110">
          <cell r="O110">
            <v>1.1800000000000001E-3</v>
          </cell>
          <cell r="Q110">
            <v>2.0129999999999999E-2</v>
          </cell>
        </row>
        <row r="116">
          <cell r="O116">
            <v>2.01E-2</v>
          </cell>
        </row>
        <row r="118">
          <cell r="O118">
            <v>-2.503E-2</v>
          </cell>
          <cell r="Q118">
            <v>-1.23E-3</v>
          </cell>
        </row>
        <row r="120">
          <cell r="O120">
            <v>0</v>
          </cell>
        </row>
        <row r="122">
          <cell r="O122">
            <v>-4.1000000000000003E-3</v>
          </cell>
        </row>
        <row r="133">
          <cell r="M133">
            <v>1909011000</v>
          </cell>
          <cell r="O133">
            <v>71598689</v>
          </cell>
        </row>
        <row r="136">
          <cell r="M136">
            <v>109879303</v>
          </cell>
          <cell r="O136">
            <v>4786499</v>
          </cell>
        </row>
        <row r="139">
          <cell r="O139">
            <v>68971241</v>
          </cell>
        </row>
        <row r="142">
          <cell r="O142">
            <v>4500</v>
          </cell>
        </row>
        <row r="151">
          <cell r="O151">
            <v>55618</v>
          </cell>
        </row>
        <row r="152">
          <cell r="O152">
            <v>54587</v>
          </cell>
        </row>
        <row r="153">
          <cell r="O153">
            <v>57093</v>
          </cell>
        </row>
        <row r="154">
          <cell r="O154">
            <v>55989</v>
          </cell>
        </row>
        <row r="155">
          <cell r="O155">
            <v>58583</v>
          </cell>
        </row>
        <row r="156">
          <cell r="O156">
            <v>72619</v>
          </cell>
        </row>
        <row r="157">
          <cell r="O157">
            <v>69053</v>
          </cell>
        </row>
        <row r="158">
          <cell r="O158">
            <v>70289</v>
          </cell>
        </row>
        <row r="159">
          <cell r="O159">
            <v>70745</v>
          </cell>
        </row>
        <row r="160">
          <cell r="O160">
            <v>69742</v>
          </cell>
        </row>
        <row r="161">
          <cell r="O161">
            <v>56625</v>
          </cell>
        </row>
        <row r="162">
          <cell r="O162">
            <v>56514</v>
          </cell>
        </row>
        <row r="163">
          <cell r="O163">
            <v>59021</v>
          </cell>
        </row>
        <row r="164">
          <cell r="O164">
            <v>70651</v>
          </cell>
        </row>
        <row r="165">
          <cell r="O165">
            <v>66257</v>
          </cell>
        </row>
        <row r="166">
          <cell r="O166">
            <v>61762</v>
          </cell>
        </row>
        <row r="167">
          <cell r="O167">
            <v>58610</v>
          </cell>
        </row>
        <row r="168">
          <cell r="O168">
            <v>51014</v>
          </cell>
        </row>
        <row r="169">
          <cell r="O169">
            <v>50094</v>
          </cell>
        </row>
        <row r="170">
          <cell r="O170">
            <v>61324</v>
          </cell>
        </row>
        <row r="171">
          <cell r="O171">
            <v>64326</v>
          </cell>
        </row>
        <row r="172">
          <cell r="O172">
            <v>68072</v>
          </cell>
        </row>
        <row r="173">
          <cell r="O173">
            <v>68409</v>
          </cell>
        </row>
        <row r="174">
          <cell r="O174">
            <v>69340</v>
          </cell>
        </row>
        <row r="175">
          <cell r="O175">
            <v>65399</v>
          </cell>
        </row>
        <row r="176">
          <cell r="O176">
            <v>62370</v>
          </cell>
        </row>
        <row r="177">
          <cell r="O177">
            <v>71963</v>
          </cell>
        </row>
        <row r="178">
          <cell r="O178">
            <v>92580</v>
          </cell>
        </row>
        <row r="179">
          <cell r="O179">
            <v>73612</v>
          </cell>
        </row>
        <row r="180">
          <cell r="O180">
            <v>75222</v>
          </cell>
        </row>
        <row r="259">
          <cell r="O259">
            <v>0</v>
          </cell>
        </row>
        <row r="262">
          <cell r="O262">
            <v>0</v>
          </cell>
        </row>
        <row r="265">
          <cell r="O265">
            <v>0</v>
          </cell>
        </row>
        <row r="268">
          <cell r="O268">
            <v>0</v>
          </cell>
        </row>
        <row r="269">
          <cell r="O269">
            <v>0</v>
          </cell>
        </row>
        <row r="271">
          <cell r="O271">
            <v>3500</v>
          </cell>
        </row>
        <row r="272">
          <cell r="O272">
            <v>13182.6</v>
          </cell>
        </row>
        <row r="274">
          <cell r="O274">
            <v>0</v>
          </cell>
        </row>
        <row r="277">
          <cell r="O277">
            <v>0</v>
          </cell>
        </row>
        <row r="280">
          <cell r="O280">
            <v>0</v>
          </cell>
        </row>
        <row r="283">
          <cell r="O283">
            <v>0</v>
          </cell>
        </row>
        <row r="296">
          <cell r="G296">
            <v>0</v>
          </cell>
          <cell r="I296">
            <v>0</v>
          </cell>
          <cell r="K296">
            <v>0</v>
          </cell>
          <cell r="M296">
            <v>0</v>
          </cell>
          <cell r="O296">
            <v>0</v>
          </cell>
          <cell r="Q296">
            <v>0</v>
          </cell>
        </row>
        <row r="306">
          <cell r="I306">
            <v>0</v>
          </cell>
          <cell r="K306">
            <v>0</v>
          </cell>
        </row>
        <row r="316">
          <cell r="K316">
            <v>0</v>
          </cell>
          <cell r="M316">
            <v>0</v>
          </cell>
          <cell r="O316">
            <v>0</v>
          </cell>
          <cell r="Q316">
            <v>0</v>
          </cell>
        </row>
        <row r="318">
          <cell r="K318">
            <v>0</v>
          </cell>
          <cell r="M318">
            <v>0</v>
          </cell>
          <cell r="O318">
            <v>0</v>
          </cell>
          <cell r="Q318">
            <v>0</v>
          </cell>
        </row>
        <row r="328">
          <cell r="K328">
            <v>0</v>
          </cell>
          <cell r="M328">
            <v>0</v>
          </cell>
        </row>
        <row r="330">
          <cell r="K330">
            <v>0</v>
          </cell>
          <cell r="M330">
            <v>0</v>
          </cell>
        </row>
        <row r="345">
          <cell r="M345">
            <v>0</v>
          </cell>
          <cell r="O345">
            <v>0</v>
          </cell>
        </row>
        <row r="347">
          <cell r="K347">
            <v>180189000</v>
          </cell>
          <cell r="M347">
            <v>0</v>
          </cell>
          <cell r="O347">
            <v>7692007.3200000003</v>
          </cell>
        </row>
        <row r="349">
          <cell r="K349">
            <v>0</v>
          </cell>
          <cell r="M349">
            <v>0</v>
          </cell>
          <cell r="O349">
            <v>0</v>
          </cell>
        </row>
        <row r="355">
          <cell r="K355">
            <v>145395000</v>
          </cell>
          <cell r="M355">
            <v>0</v>
          </cell>
          <cell r="O355">
            <v>5898152.6699999999</v>
          </cell>
        </row>
        <row r="362">
          <cell r="K362">
            <v>0</v>
          </cell>
          <cell r="M362">
            <v>0</v>
          </cell>
          <cell r="O362">
            <v>0</v>
          </cell>
        </row>
        <row r="364">
          <cell r="K364">
            <v>3622984</v>
          </cell>
          <cell r="M364">
            <v>0</v>
          </cell>
          <cell r="O364">
            <v>338534.34</v>
          </cell>
        </row>
        <row r="370">
          <cell r="K370">
            <v>0</v>
          </cell>
          <cell r="M370">
            <v>0</v>
          </cell>
          <cell r="O370">
            <v>0</v>
          </cell>
        </row>
        <row r="383">
          <cell r="M383">
            <v>0</v>
          </cell>
        </row>
        <row r="385">
          <cell r="M385">
            <v>0</v>
          </cell>
        </row>
        <row r="387">
          <cell r="M387">
            <v>0</v>
          </cell>
        </row>
        <row r="389">
          <cell r="O389">
            <v>0</v>
          </cell>
        </row>
        <row r="391">
          <cell r="M391">
            <v>0</v>
          </cell>
          <cell r="O391">
            <v>0</v>
          </cell>
        </row>
        <row r="406">
          <cell r="M406">
            <v>409909.69</v>
          </cell>
        </row>
        <row r="408">
          <cell r="M408">
            <v>201457.04</v>
          </cell>
        </row>
        <row r="410">
          <cell r="M410">
            <v>11913.36</v>
          </cell>
        </row>
        <row r="412">
          <cell r="M412">
            <v>35686.78</v>
          </cell>
        </row>
        <row r="414">
          <cell r="M414">
            <v>220.03</v>
          </cell>
        </row>
        <row r="416">
          <cell r="M416">
            <v>6.72</v>
          </cell>
        </row>
        <row r="418">
          <cell r="M418">
            <v>2.95</v>
          </cell>
        </row>
        <row r="424">
          <cell r="M424">
            <v>0</v>
          </cell>
        </row>
        <row r="433">
          <cell r="M433">
            <v>1220732.58</v>
          </cell>
          <cell r="O433">
            <v>10989.78</v>
          </cell>
        </row>
      </sheetData>
      <sheetData sheetId="2"/>
      <sheetData sheetId="3">
        <row r="5">
          <cell r="J5">
            <v>38504</v>
          </cell>
          <cell r="K5">
            <v>38473</v>
          </cell>
          <cell r="L5">
            <v>38443</v>
          </cell>
          <cell r="M5">
            <v>38412</v>
          </cell>
          <cell r="N5">
            <v>38384</v>
          </cell>
          <cell r="O5">
            <v>38353</v>
          </cell>
          <cell r="P5">
            <v>38322</v>
          </cell>
          <cell r="Q5">
            <v>38292</v>
          </cell>
          <cell r="R5">
            <v>38261</v>
          </cell>
          <cell r="S5">
            <v>38231</v>
          </cell>
          <cell r="T5">
            <v>38200</v>
          </cell>
          <cell r="U5">
            <v>38169</v>
          </cell>
          <cell r="V5">
            <v>38139</v>
          </cell>
          <cell r="W5">
            <v>38108</v>
          </cell>
          <cell r="X5">
            <v>38078</v>
          </cell>
          <cell r="Y5">
            <v>38047</v>
          </cell>
          <cell r="Z5">
            <v>38018</v>
          </cell>
          <cell r="AA5">
            <v>37987</v>
          </cell>
          <cell r="AB5">
            <v>37956</v>
          </cell>
          <cell r="AC5">
            <v>37926</v>
          </cell>
          <cell r="AD5">
            <v>37895</v>
          </cell>
          <cell r="AE5">
            <v>37865</v>
          </cell>
          <cell r="AF5">
            <v>37834</v>
          </cell>
          <cell r="AG5">
            <v>37803</v>
          </cell>
          <cell r="AH5">
            <v>37773</v>
          </cell>
          <cell r="AJ5">
            <v>38473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J7">
            <v>0</v>
          </cell>
        </row>
        <row r="8"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J8">
            <v>0</v>
          </cell>
        </row>
        <row r="9"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J9">
            <v>0</v>
          </cell>
        </row>
        <row r="10"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J10">
            <v>0</v>
          </cell>
        </row>
        <row r="14"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J14">
            <v>0</v>
          </cell>
        </row>
        <row r="15"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J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J16">
            <v>0</v>
          </cell>
        </row>
        <row r="17"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J17">
            <v>0</v>
          </cell>
        </row>
        <row r="18"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J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J19">
            <v>0</v>
          </cell>
        </row>
        <row r="20"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J20">
            <v>0</v>
          </cell>
        </row>
        <row r="21"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J21">
            <v>0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J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J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J24">
            <v>0</v>
          </cell>
        </row>
        <row r="25"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J25">
            <v>0</v>
          </cell>
        </row>
        <row r="27"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J27">
            <v>0</v>
          </cell>
        </row>
        <row r="28"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J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J29">
            <v>0</v>
          </cell>
        </row>
        <row r="30"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J30">
            <v>0</v>
          </cell>
        </row>
        <row r="31"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J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J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J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J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J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J36">
            <v>0</v>
          </cell>
        </row>
        <row r="37"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J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J38">
            <v>0</v>
          </cell>
        </row>
        <row r="40">
          <cell r="J40">
            <v>419185869</v>
          </cell>
          <cell r="K40">
            <v>348705654</v>
          </cell>
          <cell r="L40">
            <v>445763677</v>
          </cell>
          <cell r="M40">
            <v>501016562</v>
          </cell>
          <cell r="N40">
            <v>569345574</v>
          </cell>
          <cell r="O40">
            <v>697156928</v>
          </cell>
          <cell r="P40">
            <v>338833591</v>
          </cell>
          <cell r="Q40">
            <v>247369974</v>
          </cell>
          <cell r="R40">
            <v>234302586</v>
          </cell>
          <cell r="S40">
            <v>348643287</v>
          </cell>
          <cell r="T40">
            <v>378399000</v>
          </cell>
          <cell r="U40">
            <v>386762447</v>
          </cell>
          <cell r="V40">
            <v>294265744</v>
          </cell>
          <cell r="W40">
            <v>231025040</v>
          </cell>
          <cell r="X40">
            <v>274732486</v>
          </cell>
          <cell r="Y40">
            <v>323105410</v>
          </cell>
          <cell r="Z40">
            <v>370514475</v>
          </cell>
          <cell r="AA40">
            <v>435684653</v>
          </cell>
          <cell r="AB40">
            <v>325161377</v>
          </cell>
          <cell r="AC40">
            <v>232496144</v>
          </cell>
          <cell r="AD40">
            <v>237819479</v>
          </cell>
          <cell r="AE40">
            <v>325651647</v>
          </cell>
          <cell r="AF40">
            <v>386600461</v>
          </cell>
          <cell r="AG40">
            <v>367706272</v>
          </cell>
          <cell r="AH40">
            <v>285560751</v>
          </cell>
          <cell r="AJ40">
            <v>348705654</v>
          </cell>
        </row>
        <row r="41"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187017460</v>
          </cell>
          <cell r="Q41">
            <v>130677260</v>
          </cell>
          <cell r="R41">
            <v>105630697</v>
          </cell>
          <cell r="S41">
            <v>145665870</v>
          </cell>
          <cell r="T41">
            <v>158019901</v>
          </cell>
          <cell r="U41">
            <v>163493490</v>
          </cell>
          <cell r="V41">
            <v>130265199</v>
          </cell>
          <cell r="W41">
            <v>107535448</v>
          </cell>
          <cell r="X41">
            <v>147043134</v>
          </cell>
          <cell r="Y41">
            <v>183285426</v>
          </cell>
          <cell r="Z41">
            <v>212355642</v>
          </cell>
          <cell r="AA41">
            <v>252839460</v>
          </cell>
          <cell r="AB41">
            <v>176380963</v>
          </cell>
          <cell r="AC41">
            <v>122982733</v>
          </cell>
          <cell r="AD41">
            <v>110735254</v>
          </cell>
          <cell r="AE41">
            <v>137713282</v>
          </cell>
          <cell r="AF41">
            <v>161900687</v>
          </cell>
          <cell r="AG41">
            <v>155843395</v>
          </cell>
          <cell r="AH41">
            <v>126018785</v>
          </cell>
          <cell r="AJ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47246145</v>
          </cell>
          <cell r="Q42">
            <v>40186287</v>
          </cell>
          <cell r="R42">
            <v>41619926</v>
          </cell>
          <cell r="S42">
            <v>49389991</v>
          </cell>
          <cell r="T42">
            <v>48417009</v>
          </cell>
          <cell r="U42">
            <v>48270259</v>
          </cell>
          <cell r="V42">
            <v>43695002</v>
          </cell>
          <cell r="W42">
            <v>38110692</v>
          </cell>
          <cell r="X42">
            <v>41573683</v>
          </cell>
          <cell r="Y42">
            <v>44536855</v>
          </cell>
          <cell r="Z42">
            <v>48292708</v>
          </cell>
          <cell r="AA42">
            <v>53736782</v>
          </cell>
          <cell r="AB42">
            <v>45298617</v>
          </cell>
          <cell r="AC42">
            <v>39756532</v>
          </cell>
          <cell r="AD42">
            <v>40417272</v>
          </cell>
          <cell r="AE42">
            <v>47624041</v>
          </cell>
          <cell r="AF42">
            <v>48928479</v>
          </cell>
          <cell r="AG42">
            <v>47279397</v>
          </cell>
          <cell r="AH42">
            <v>42290163</v>
          </cell>
          <cell r="AJ42">
            <v>0</v>
          </cell>
        </row>
        <row r="43">
          <cell r="J43">
            <v>372380652</v>
          </cell>
          <cell r="K43">
            <v>324280804</v>
          </cell>
          <cell r="L43">
            <v>317049048</v>
          </cell>
          <cell r="M43">
            <v>328417951</v>
          </cell>
          <cell r="N43">
            <v>347166583</v>
          </cell>
          <cell r="O43">
            <v>381363518</v>
          </cell>
          <cell r="P43">
            <v>293808944</v>
          </cell>
          <cell r="Q43">
            <v>265077677</v>
          </cell>
          <cell r="R43">
            <v>291077918</v>
          </cell>
          <cell r="S43">
            <v>349085244</v>
          </cell>
          <cell r="T43">
            <v>342282631</v>
          </cell>
          <cell r="U43">
            <v>354059066</v>
          </cell>
          <cell r="V43">
            <v>313710971</v>
          </cell>
          <cell r="W43">
            <v>274988572</v>
          </cell>
          <cell r="X43">
            <v>268458345</v>
          </cell>
          <cell r="Y43">
            <v>271136290</v>
          </cell>
          <cell r="Z43">
            <v>286022529</v>
          </cell>
          <cell r="AA43">
            <v>309144140</v>
          </cell>
          <cell r="AB43">
            <v>295817234</v>
          </cell>
          <cell r="AC43">
            <v>268684707</v>
          </cell>
          <cell r="AD43">
            <v>284450933</v>
          </cell>
          <cell r="AE43">
            <v>337248054</v>
          </cell>
          <cell r="AF43">
            <v>350751861</v>
          </cell>
          <cell r="AG43">
            <v>348604623</v>
          </cell>
          <cell r="AH43">
            <v>314645846</v>
          </cell>
          <cell r="AJ43">
            <v>324280804</v>
          </cell>
        </row>
        <row r="44">
          <cell r="J44">
            <v>458061348</v>
          </cell>
          <cell r="K44">
            <v>444606417</v>
          </cell>
          <cell r="L44">
            <v>422222985</v>
          </cell>
          <cell r="M44">
            <v>427612535</v>
          </cell>
          <cell r="N44">
            <v>428298939</v>
          </cell>
          <cell r="O44">
            <v>426048278</v>
          </cell>
          <cell r="P44">
            <v>458919475</v>
          </cell>
          <cell r="Q44">
            <v>453189558</v>
          </cell>
          <cell r="R44">
            <v>456071954</v>
          </cell>
          <cell r="S44">
            <v>499347424</v>
          </cell>
          <cell r="T44">
            <v>461003541</v>
          </cell>
          <cell r="U44">
            <v>462838983</v>
          </cell>
          <cell r="V44">
            <v>464770845</v>
          </cell>
          <cell r="W44">
            <v>451662695</v>
          </cell>
          <cell r="X44">
            <v>440391952</v>
          </cell>
          <cell r="Y44">
            <v>424591402</v>
          </cell>
          <cell r="Z44">
            <v>429479422</v>
          </cell>
          <cell r="AA44">
            <v>420144187</v>
          </cell>
          <cell r="AB44">
            <v>436070806</v>
          </cell>
          <cell r="AC44">
            <v>438159483</v>
          </cell>
          <cell r="AD44">
            <v>449486108</v>
          </cell>
          <cell r="AE44">
            <v>471797149</v>
          </cell>
          <cell r="AF44">
            <v>464635083</v>
          </cell>
          <cell r="AG44">
            <v>454449553</v>
          </cell>
          <cell r="AH44">
            <v>459414836</v>
          </cell>
          <cell r="AJ44">
            <v>444606417</v>
          </cell>
        </row>
        <row r="45">
          <cell r="J45">
            <v>41051753</v>
          </cell>
          <cell r="K45">
            <v>40464689</v>
          </cell>
          <cell r="L45">
            <v>44400053</v>
          </cell>
          <cell r="M45">
            <v>47524035</v>
          </cell>
          <cell r="N45">
            <v>47036276</v>
          </cell>
          <cell r="O45">
            <v>49062950</v>
          </cell>
          <cell r="P45">
            <v>46726057</v>
          </cell>
          <cell r="Q45">
            <v>45725982</v>
          </cell>
          <cell r="R45">
            <v>41653502</v>
          </cell>
          <cell r="S45">
            <v>43540838</v>
          </cell>
          <cell r="T45">
            <v>41471734</v>
          </cell>
          <cell r="U45">
            <v>37636971</v>
          </cell>
          <cell r="V45">
            <v>43029626</v>
          </cell>
          <cell r="W45">
            <v>40748396</v>
          </cell>
          <cell r="X45">
            <v>45915756</v>
          </cell>
          <cell r="Y45">
            <v>48922730</v>
          </cell>
          <cell r="Z45">
            <v>48620235</v>
          </cell>
          <cell r="AA45">
            <v>50986883</v>
          </cell>
          <cell r="AB45">
            <v>44827516</v>
          </cell>
          <cell r="AC45">
            <v>43922254</v>
          </cell>
          <cell r="AD45">
            <v>40646644</v>
          </cell>
          <cell r="AE45">
            <v>41312924</v>
          </cell>
          <cell r="AF45">
            <v>41079125</v>
          </cell>
          <cell r="AG45">
            <v>35841365</v>
          </cell>
          <cell r="AH45">
            <v>41919123</v>
          </cell>
          <cell r="AJ45">
            <v>40464689</v>
          </cell>
        </row>
        <row r="46">
          <cell r="J46">
            <v>4262471</v>
          </cell>
          <cell r="K46">
            <v>4188599</v>
          </cell>
          <cell r="L46">
            <v>4576520</v>
          </cell>
          <cell r="M46">
            <v>5116286</v>
          </cell>
          <cell r="N46">
            <v>5106227</v>
          </cell>
          <cell r="O46">
            <v>5886500</v>
          </cell>
          <cell r="P46">
            <v>6100235</v>
          </cell>
          <cell r="Q46">
            <v>5559259</v>
          </cell>
          <cell r="R46">
            <v>5248977</v>
          </cell>
          <cell r="S46">
            <v>4857934</v>
          </cell>
          <cell r="T46">
            <v>4326706</v>
          </cell>
          <cell r="U46">
            <v>4270886</v>
          </cell>
          <cell r="V46">
            <v>4058532</v>
          </cell>
          <cell r="W46">
            <v>4076931</v>
          </cell>
          <cell r="X46">
            <v>4498007</v>
          </cell>
          <cell r="Y46">
            <v>5068226</v>
          </cell>
          <cell r="Z46">
            <v>5099089</v>
          </cell>
          <cell r="AA46">
            <v>5586954</v>
          </cell>
          <cell r="AB46">
            <v>6475862</v>
          </cell>
          <cell r="AC46">
            <v>5754170</v>
          </cell>
          <cell r="AD46">
            <v>5380564</v>
          </cell>
          <cell r="AE46">
            <v>4815634</v>
          </cell>
          <cell r="AF46">
            <v>4515600</v>
          </cell>
          <cell r="AG46">
            <v>4347822</v>
          </cell>
          <cell r="AH46">
            <v>4219468</v>
          </cell>
          <cell r="AJ46">
            <v>4188599</v>
          </cell>
        </row>
        <row r="47">
          <cell r="J47">
            <v>125487281</v>
          </cell>
          <cell r="K47">
            <v>113342398</v>
          </cell>
          <cell r="L47">
            <v>108088969</v>
          </cell>
          <cell r="M47">
            <v>109633801</v>
          </cell>
          <cell r="N47">
            <v>116675357</v>
          </cell>
          <cell r="O47">
            <v>121239038</v>
          </cell>
          <cell r="P47">
            <v>112691610</v>
          </cell>
          <cell r="Q47">
            <v>102228229</v>
          </cell>
          <cell r="R47">
            <v>115200135</v>
          </cell>
          <cell r="S47">
            <v>144121891</v>
          </cell>
          <cell r="T47">
            <v>129564720</v>
          </cell>
          <cell r="U47">
            <v>133066066</v>
          </cell>
          <cell r="V47">
            <v>120648071</v>
          </cell>
          <cell r="W47">
            <v>107652260</v>
          </cell>
          <cell r="X47">
            <v>105198162</v>
          </cell>
          <cell r="Y47">
            <v>107745101</v>
          </cell>
          <cell r="Z47">
            <v>112111053</v>
          </cell>
          <cell r="AA47">
            <v>114687368</v>
          </cell>
          <cell r="AB47">
            <v>114672698</v>
          </cell>
          <cell r="AC47">
            <v>102604299</v>
          </cell>
          <cell r="AD47">
            <v>113731529</v>
          </cell>
          <cell r="AE47">
            <v>139719175</v>
          </cell>
          <cell r="AF47">
            <v>131312225</v>
          </cell>
          <cell r="AG47">
            <v>130832395</v>
          </cell>
          <cell r="AH47">
            <v>118066259</v>
          </cell>
          <cell r="AJ47">
            <v>113342398</v>
          </cell>
        </row>
        <row r="48">
          <cell r="J48">
            <v>7328650</v>
          </cell>
          <cell r="K48">
            <v>6469062</v>
          </cell>
          <cell r="L48">
            <v>6792070</v>
          </cell>
          <cell r="M48">
            <v>6881070</v>
          </cell>
          <cell r="N48">
            <v>7269258</v>
          </cell>
          <cell r="O48">
            <v>7914433</v>
          </cell>
          <cell r="P48">
            <v>7079236</v>
          </cell>
          <cell r="Q48">
            <v>6357690</v>
          </cell>
          <cell r="R48">
            <v>6642771</v>
          </cell>
          <cell r="S48">
            <v>7389553</v>
          </cell>
          <cell r="T48">
            <v>6971102</v>
          </cell>
          <cell r="U48">
            <v>7565122</v>
          </cell>
          <cell r="V48">
            <v>6949076</v>
          </cell>
          <cell r="W48">
            <v>6410850</v>
          </cell>
          <cell r="X48">
            <v>6695783</v>
          </cell>
          <cell r="Y48">
            <v>6747031</v>
          </cell>
          <cell r="Z48">
            <v>7199795</v>
          </cell>
          <cell r="AA48">
            <v>7768520</v>
          </cell>
          <cell r="AB48">
            <v>7369886</v>
          </cell>
          <cell r="AC48">
            <v>6658170</v>
          </cell>
          <cell r="AD48">
            <v>6805989</v>
          </cell>
          <cell r="AE48">
            <v>7386413</v>
          </cell>
          <cell r="AF48">
            <v>7203842</v>
          </cell>
          <cell r="AG48">
            <v>7939602</v>
          </cell>
          <cell r="AH48">
            <v>7056039</v>
          </cell>
          <cell r="AJ48">
            <v>6469062</v>
          </cell>
        </row>
        <row r="49">
          <cell r="J49">
            <v>183979876</v>
          </cell>
          <cell r="K49">
            <v>155410564</v>
          </cell>
          <cell r="L49">
            <v>143248112</v>
          </cell>
          <cell r="M49">
            <v>155191874</v>
          </cell>
          <cell r="N49">
            <v>148130189</v>
          </cell>
          <cell r="O49">
            <v>167978825</v>
          </cell>
          <cell r="P49">
            <v>165283240</v>
          </cell>
          <cell r="Q49">
            <v>147678143</v>
          </cell>
          <cell r="R49">
            <v>151622300</v>
          </cell>
          <cell r="S49">
            <v>170317962</v>
          </cell>
          <cell r="T49">
            <v>206103593</v>
          </cell>
          <cell r="U49">
            <v>206577568</v>
          </cell>
          <cell r="V49">
            <v>185328431</v>
          </cell>
          <cell r="W49">
            <v>156323385</v>
          </cell>
          <cell r="X49">
            <v>144067280</v>
          </cell>
          <cell r="Y49">
            <v>156153907</v>
          </cell>
          <cell r="Z49">
            <v>148886597</v>
          </cell>
          <cell r="AA49">
            <v>169171204</v>
          </cell>
          <cell r="AB49">
            <v>160730705</v>
          </cell>
          <cell r="AC49">
            <v>145186498</v>
          </cell>
          <cell r="AD49">
            <v>145552985</v>
          </cell>
          <cell r="AE49">
            <v>160928684</v>
          </cell>
          <cell r="AF49">
            <v>197224462</v>
          </cell>
          <cell r="AG49">
            <v>197887348</v>
          </cell>
          <cell r="AH49">
            <v>177593886</v>
          </cell>
          <cell r="AJ49">
            <v>155410564</v>
          </cell>
        </row>
        <row r="50">
          <cell r="J50">
            <v>47416165</v>
          </cell>
          <cell r="K50">
            <v>30440713</v>
          </cell>
          <cell r="L50">
            <v>22512344</v>
          </cell>
          <cell r="M50">
            <v>92175162</v>
          </cell>
          <cell r="N50">
            <v>24038192</v>
          </cell>
          <cell r="O50">
            <v>65549101</v>
          </cell>
          <cell r="P50">
            <v>39038402</v>
          </cell>
          <cell r="Q50">
            <v>28193420</v>
          </cell>
          <cell r="R50">
            <v>101363630</v>
          </cell>
          <cell r="S50">
            <v>105870609</v>
          </cell>
          <cell r="T50">
            <v>90807833</v>
          </cell>
          <cell r="U50">
            <v>75762478</v>
          </cell>
          <cell r="V50">
            <v>96792375</v>
          </cell>
          <cell r="W50">
            <v>74579615</v>
          </cell>
          <cell r="X50">
            <v>5032100</v>
          </cell>
          <cell r="Y50">
            <v>12132019</v>
          </cell>
          <cell r="Z50">
            <v>8176886</v>
          </cell>
          <cell r="AA50">
            <v>33597823</v>
          </cell>
          <cell r="AB50">
            <v>191745071</v>
          </cell>
          <cell r="AC50">
            <v>168343361</v>
          </cell>
          <cell r="AD50">
            <v>108029900</v>
          </cell>
          <cell r="AE50">
            <v>126664640</v>
          </cell>
          <cell r="AF50">
            <v>120205704</v>
          </cell>
          <cell r="AG50">
            <v>136637911</v>
          </cell>
          <cell r="AH50">
            <v>195872184</v>
          </cell>
          <cell r="AJ50">
            <v>30440713</v>
          </cell>
        </row>
        <row r="51">
          <cell r="J51">
            <v>175947600</v>
          </cell>
          <cell r="K51">
            <v>185927700</v>
          </cell>
          <cell r="L51">
            <v>252458500</v>
          </cell>
          <cell r="M51">
            <v>361648800</v>
          </cell>
          <cell r="N51">
            <v>338225200</v>
          </cell>
          <cell r="O51">
            <v>382468700</v>
          </cell>
          <cell r="P51">
            <v>306898500</v>
          </cell>
          <cell r="Q51">
            <v>229405800</v>
          </cell>
          <cell r="R51">
            <v>239473700</v>
          </cell>
          <cell r="S51">
            <v>160869100</v>
          </cell>
          <cell r="T51">
            <v>91884000</v>
          </cell>
          <cell r="U51">
            <v>95087000</v>
          </cell>
          <cell r="V51">
            <v>122015000</v>
          </cell>
          <cell r="W51">
            <v>215816700</v>
          </cell>
          <cell r="X51">
            <v>60980400</v>
          </cell>
          <cell r="Y51">
            <v>114610400</v>
          </cell>
          <cell r="Z51">
            <v>201787700</v>
          </cell>
          <cell r="AA51">
            <v>305303400</v>
          </cell>
          <cell r="AB51">
            <v>298712200</v>
          </cell>
          <cell r="AC51">
            <v>216386900</v>
          </cell>
          <cell r="AD51">
            <v>117517800</v>
          </cell>
          <cell r="AE51">
            <v>196707500</v>
          </cell>
          <cell r="AF51">
            <v>172321200</v>
          </cell>
          <cell r="AG51">
            <v>177123200</v>
          </cell>
          <cell r="AH51">
            <v>213774200</v>
          </cell>
          <cell r="AJ51">
            <v>185927700</v>
          </cell>
        </row>
        <row r="53">
          <cell r="J53">
            <v>20464919.199999999</v>
          </cell>
          <cell r="K53">
            <v>17365725.25</v>
          </cell>
          <cell r="L53">
            <v>21638095</v>
          </cell>
          <cell r="M53">
            <v>24070398.18</v>
          </cell>
          <cell r="N53">
            <v>27076220.32</v>
          </cell>
          <cell r="O53">
            <v>32710652.719999999</v>
          </cell>
          <cell r="P53">
            <v>16235936.130000001</v>
          </cell>
          <cell r="Q53">
            <v>12499764.76</v>
          </cell>
          <cell r="R53">
            <v>11846860.26</v>
          </cell>
          <cell r="S53">
            <v>16936580.149999999</v>
          </cell>
          <cell r="T53">
            <v>18296121.940000001</v>
          </cell>
          <cell r="U53">
            <v>18766331.129999999</v>
          </cell>
          <cell r="V53">
            <v>13809638.060000001</v>
          </cell>
          <cell r="W53">
            <v>10828554.73</v>
          </cell>
          <cell r="X53">
            <v>12787200.060000001</v>
          </cell>
          <cell r="Y53">
            <v>14573396.93</v>
          </cell>
          <cell r="Z53">
            <v>16416466.359999999</v>
          </cell>
          <cell r="AA53">
            <v>18968768.629999999</v>
          </cell>
          <cell r="AB53">
            <v>13553577.619999999</v>
          </cell>
          <cell r="AC53">
            <v>10145911.52</v>
          </cell>
          <cell r="AD53">
            <v>10416325.800000001</v>
          </cell>
          <cell r="AE53">
            <v>13671137.43</v>
          </cell>
          <cell r="AF53">
            <v>16103841.15</v>
          </cell>
          <cell r="AG53">
            <v>15363798</v>
          </cell>
          <cell r="AH53">
            <v>12201239.01</v>
          </cell>
          <cell r="AJ53">
            <v>17365725.25</v>
          </cell>
        </row>
        <row r="54"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8597090.8499999996</v>
          </cell>
          <cell r="Q54">
            <v>6347891.0099999998</v>
          </cell>
          <cell r="R54">
            <v>5254660.68</v>
          </cell>
          <cell r="S54">
            <v>7040740.7300000004</v>
          </cell>
          <cell r="T54">
            <v>7614788.9100000001</v>
          </cell>
          <cell r="U54">
            <v>7897212.2199999997</v>
          </cell>
          <cell r="V54">
            <v>6062836.1699999999</v>
          </cell>
          <cell r="W54">
            <v>4954184.3</v>
          </cell>
          <cell r="X54">
            <v>6589052.0300000003</v>
          </cell>
          <cell r="Y54">
            <v>7916898.7599999998</v>
          </cell>
          <cell r="Z54">
            <v>9019161.6899999995</v>
          </cell>
          <cell r="AA54">
            <v>10584124.810000001</v>
          </cell>
          <cell r="AB54">
            <v>7062666.4699999997</v>
          </cell>
          <cell r="AC54">
            <v>5167909.67</v>
          </cell>
          <cell r="AD54">
            <v>4739439.1900000004</v>
          </cell>
          <cell r="AE54">
            <v>5712556.54</v>
          </cell>
          <cell r="AF54">
            <v>6666988.6299999999</v>
          </cell>
          <cell r="AG54">
            <v>6438229.75</v>
          </cell>
          <cell r="AH54">
            <v>5306957.99</v>
          </cell>
          <cell r="AJ54">
            <v>0</v>
          </cell>
        </row>
        <row r="55"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2476991.7999999998</v>
          </cell>
          <cell r="Q55">
            <v>2166741.9500000002</v>
          </cell>
          <cell r="R55">
            <v>2213519.6800000002</v>
          </cell>
          <cell r="S55">
            <v>2554650.6800000002</v>
          </cell>
          <cell r="T55">
            <v>2508296.89</v>
          </cell>
          <cell r="U55">
            <v>2520785.88</v>
          </cell>
          <cell r="V55">
            <v>2144159.11</v>
          </cell>
          <cell r="W55">
            <v>1878857.98</v>
          </cell>
          <cell r="X55">
            <v>2081555.91</v>
          </cell>
          <cell r="Y55">
            <v>2205114.86</v>
          </cell>
          <cell r="Z55">
            <v>2356621.9900000002</v>
          </cell>
          <cell r="AA55">
            <v>2566479.7999999998</v>
          </cell>
          <cell r="AB55">
            <v>2053377.71</v>
          </cell>
          <cell r="AC55">
            <v>1846341.8</v>
          </cell>
          <cell r="AD55">
            <v>1863665.61</v>
          </cell>
          <cell r="AE55">
            <v>2122990.71</v>
          </cell>
          <cell r="AF55">
            <v>2180389.6</v>
          </cell>
          <cell r="AG55">
            <v>2124817.77</v>
          </cell>
          <cell r="AH55">
            <v>1914698.84</v>
          </cell>
          <cell r="AJ55">
            <v>0</v>
          </cell>
        </row>
        <row r="56">
          <cell r="J56">
            <v>16762352.449999999</v>
          </cell>
          <cell r="K56">
            <v>15308596.16</v>
          </cell>
          <cell r="L56">
            <v>15214367.99</v>
          </cell>
          <cell r="M56">
            <v>15689268.09</v>
          </cell>
          <cell r="N56">
            <v>16449577.039999999</v>
          </cell>
          <cell r="O56">
            <v>17457219.140000001</v>
          </cell>
          <cell r="P56">
            <v>13614619.1</v>
          </cell>
          <cell r="Q56">
            <v>12426107.529999999</v>
          </cell>
          <cell r="R56">
            <v>13444904.050000001</v>
          </cell>
          <cell r="S56">
            <v>15716397.289999999</v>
          </cell>
          <cell r="T56">
            <v>15467415.310000001</v>
          </cell>
          <cell r="U56">
            <v>15925212.710000001</v>
          </cell>
          <cell r="V56">
            <v>13397413.109999999</v>
          </cell>
          <cell r="W56">
            <v>11725292.460000001</v>
          </cell>
          <cell r="X56">
            <v>11796703.73</v>
          </cell>
          <cell r="Y56">
            <v>11884037</v>
          </cell>
          <cell r="Z56">
            <v>12421394.130000001</v>
          </cell>
          <cell r="AA56">
            <v>13020573.310000001</v>
          </cell>
          <cell r="AB56">
            <v>11786006.59</v>
          </cell>
          <cell r="AC56">
            <v>10807855.85</v>
          </cell>
          <cell r="AD56">
            <v>11334372.619999999</v>
          </cell>
          <cell r="AE56">
            <v>13056567.27</v>
          </cell>
          <cell r="AF56">
            <v>13629194.84</v>
          </cell>
          <cell r="AG56">
            <v>13486996.960000001</v>
          </cell>
          <cell r="AH56">
            <v>12382154.48</v>
          </cell>
          <cell r="AJ56">
            <v>15308596.16</v>
          </cell>
        </row>
        <row r="57">
          <cell r="J57">
            <v>15161827.52</v>
          </cell>
          <cell r="K57">
            <v>14922702.85</v>
          </cell>
          <cell r="L57">
            <v>14434318.5</v>
          </cell>
          <cell r="M57">
            <v>14553985.210000001</v>
          </cell>
          <cell r="N57">
            <v>14585415.550000001</v>
          </cell>
          <cell r="O57">
            <v>14544691.43</v>
          </cell>
          <cell r="P57">
            <v>16228258.310000001</v>
          </cell>
          <cell r="Q57">
            <v>16109820.720000001</v>
          </cell>
          <cell r="R57">
            <v>16144608.42</v>
          </cell>
          <cell r="S57">
            <v>17514338.16</v>
          </cell>
          <cell r="T57">
            <v>16210790.74</v>
          </cell>
          <cell r="U57">
            <v>16516014.5</v>
          </cell>
          <cell r="V57">
            <v>15490355.6</v>
          </cell>
          <cell r="W57">
            <v>14860339.189999999</v>
          </cell>
          <cell r="X57">
            <v>14756612.470000001</v>
          </cell>
          <cell r="Y57">
            <v>14289022.6</v>
          </cell>
          <cell r="Z57">
            <v>14254704.07</v>
          </cell>
          <cell r="AA57">
            <v>14021779.699999999</v>
          </cell>
          <cell r="AB57">
            <v>13209185.85</v>
          </cell>
          <cell r="AC57">
            <v>13295197.77</v>
          </cell>
          <cell r="AD57">
            <v>13580499.279999999</v>
          </cell>
          <cell r="AE57">
            <v>14148245.59</v>
          </cell>
          <cell r="AF57">
            <v>13826937.779999999</v>
          </cell>
          <cell r="AG57">
            <v>13904196.369999999</v>
          </cell>
          <cell r="AH57">
            <v>14025518.91</v>
          </cell>
          <cell r="AJ57">
            <v>14922702.85</v>
          </cell>
        </row>
        <row r="58">
          <cell r="J58">
            <v>1693967.76</v>
          </cell>
          <cell r="K58">
            <v>1694971.61</v>
          </cell>
          <cell r="L58">
            <v>1786429.53</v>
          </cell>
          <cell r="M58">
            <v>1856084.55</v>
          </cell>
          <cell r="N58">
            <v>1865461.74</v>
          </cell>
          <cell r="O58">
            <v>1902369.67</v>
          </cell>
          <cell r="P58">
            <v>1855681.63</v>
          </cell>
          <cell r="Q58">
            <v>1820696.73</v>
          </cell>
          <cell r="R58">
            <v>1627570.74</v>
          </cell>
          <cell r="S58">
            <v>1782834.14</v>
          </cell>
          <cell r="T58">
            <v>1673394.55</v>
          </cell>
          <cell r="U58">
            <v>1561829.26</v>
          </cell>
          <cell r="V58">
            <v>1650612.2</v>
          </cell>
          <cell r="W58">
            <v>1567085.68</v>
          </cell>
          <cell r="X58">
            <v>1719595.97</v>
          </cell>
          <cell r="Y58">
            <v>1800306.29</v>
          </cell>
          <cell r="Z58">
            <v>1768195.58</v>
          </cell>
          <cell r="AA58">
            <v>1861713.47</v>
          </cell>
          <cell r="AB58">
            <v>1533159.98</v>
          </cell>
          <cell r="AC58">
            <v>1507831.41</v>
          </cell>
          <cell r="AD58">
            <v>1372766.57</v>
          </cell>
          <cell r="AE58">
            <v>1433965.68</v>
          </cell>
          <cell r="AF58">
            <v>1411530.95</v>
          </cell>
          <cell r="AG58">
            <v>1266717.24</v>
          </cell>
          <cell r="AH58">
            <v>1431675.53</v>
          </cell>
          <cell r="AJ58">
            <v>1694971.61</v>
          </cell>
        </row>
        <row r="59">
          <cell r="J59">
            <v>751629.42</v>
          </cell>
          <cell r="K59">
            <v>668689.89</v>
          </cell>
          <cell r="L59">
            <v>706333.88</v>
          </cell>
          <cell r="M59">
            <v>663018.16</v>
          </cell>
          <cell r="N59">
            <v>747210.15</v>
          </cell>
          <cell r="O59">
            <v>653749.61</v>
          </cell>
          <cell r="P59">
            <v>691547.69</v>
          </cell>
          <cell r="Q59">
            <v>673616.93</v>
          </cell>
          <cell r="R59">
            <v>660472.22</v>
          </cell>
          <cell r="S59">
            <v>672743.96</v>
          </cell>
          <cell r="T59">
            <v>635168.93999999994</v>
          </cell>
          <cell r="U59">
            <v>667839.61</v>
          </cell>
          <cell r="V59">
            <v>620474.04</v>
          </cell>
          <cell r="W59">
            <v>583373.68999999994</v>
          </cell>
          <cell r="X59">
            <v>607165.69999999995</v>
          </cell>
          <cell r="Y59">
            <v>616013.56999999995</v>
          </cell>
          <cell r="Z59">
            <v>626361.01</v>
          </cell>
          <cell r="AA59">
            <v>580256.96</v>
          </cell>
          <cell r="AB59">
            <v>627346.43000000005</v>
          </cell>
          <cell r="AC59">
            <v>596677.65</v>
          </cell>
          <cell r="AD59">
            <v>580907.37</v>
          </cell>
          <cell r="AE59">
            <v>573110.53</v>
          </cell>
          <cell r="AF59">
            <v>566088.62</v>
          </cell>
          <cell r="AG59">
            <v>583640.26</v>
          </cell>
          <cell r="AH59">
            <v>600714.97</v>
          </cell>
          <cell r="AJ59">
            <v>668689.89</v>
          </cell>
        </row>
        <row r="60">
          <cell r="J60">
            <v>4685455.45</v>
          </cell>
          <cell r="K60">
            <v>4466926.6100000003</v>
          </cell>
          <cell r="L60">
            <v>4325219.03</v>
          </cell>
          <cell r="M60">
            <v>4366182.5999999996</v>
          </cell>
          <cell r="N60">
            <v>4650938.8099999996</v>
          </cell>
          <cell r="O60">
            <v>4786841.51</v>
          </cell>
          <cell r="P60">
            <v>4597787.37</v>
          </cell>
          <cell r="Q60">
            <v>4282967.76</v>
          </cell>
          <cell r="R60">
            <v>4778669.6500000004</v>
          </cell>
          <cell r="S60">
            <v>5719904.1600000001</v>
          </cell>
          <cell r="T60">
            <v>5225322.4000000004</v>
          </cell>
          <cell r="U60">
            <v>5235649.3099999996</v>
          </cell>
          <cell r="V60">
            <v>4613826.22</v>
          </cell>
          <cell r="W60">
            <v>4102861.17</v>
          </cell>
          <cell r="X60">
            <v>4118479.74</v>
          </cell>
          <cell r="Y60">
            <v>4172804.5</v>
          </cell>
          <cell r="Z60">
            <v>4276183.84</v>
          </cell>
          <cell r="AA60">
            <v>4292654.4400000004</v>
          </cell>
          <cell r="AB60">
            <v>4022551.11</v>
          </cell>
          <cell r="AC60">
            <v>3700028.35</v>
          </cell>
          <cell r="AD60">
            <v>4051528.83</v>
          </cell>
          <cell r="AE60">
            <v>4777248.38</v>
          </cell>
          <cell r="AF60">
            <v>4570608.97</v>
          </cell>
          <cell r="AG60">
            <v>4429735.13</v>
          </cell>
          <cell r="AH60">
            <v>4127322.49</v>
          </cell>
          <cell r="AJ60">
            <v>4466926.6100000003</v>
          </cell>
        </row>
        <row r="61">
          <cell r="J61">
            <v>280843.3</v>
          </cell>
          <cell r="K61">
            <v>260537.57</v>
          </cell>
          <cell r="L61">
            <v>268048.82</v>
          </cell>
          <cell r="M61">
            <v>271382.88</v>
          </cell>
          <cell r="N61">
            <v>281237.34000000003</v>
          </cell>
          <cell r="O61">
            <v>295130.93</v>
          </cell>
          <cell r="P61">
            <v>299406.58</v>
          </cell>
          <cell r="Q61">
            <v>274408.63</v>
          </cell>
          <cell r="R61">
            <v>283715.43</v>
          </cell>
          <cell r="S61">
            <v>307668.02</v>
          </cell>
          <cell r="T61">
            <v>290728.40999999997</v>
          </cell>
          <cell r="U61">
            <v>314170.81</v>
          </cell>
          <cell r="V61">
            <v>273920.21999999997</v>
          </cell>
          <cell r="W61">
            <v>253748.14</v>
          </cell>
          <cell r="X61">
            <v>267532.03000000003</v>
          </cell>
          <cell r="Y61">
            <v>271881.59999999998</v>
          </cell>
          <cell r="Z61">
            <v>288356.02</v>
          </cell>
          <cell r="AA61">
            <v>303803</v>
          </cell>
          <cell r="AB61">
            <v>267527.69</v>
          </cell>
          <cell r="AC61">
            <v>245378.04</v>
          </cell>
          <cell r="AD61">
            <v>248836.89</v>
          </cell>
          <cell r="AE61">
            <v>263279.74</v>
          </cell>
          <cell r="AF61">
            <v>256900.92</v>
          </cell>
          <cell r="AG61">
            <v>282578.56</v>
          </cell>
          <cell r="AH61">
            <v>254485.68</v>
          </cell>
          <cell r="AJ61">
            <v>260537.57</v>
          </cell>
        </row>
        <row r="62">
          <cell r="J62">
            <v>7009536.4699999997</v>
          </cell>
          <cell r="K62">
            <v>6130903.1500000004</v>
          </cell>
          <cell r="L62">
            <v>5260523.2699999996</v>
          </cell>
          <cell r="M62">
            <v>5591777.0199999996</v>
          </cell>
          <cell r="N62">
            <v>5771234.29</v>
          </cell>
          <cell r="O62">
            <v>6273601.9800000004</v>
          </cell>
          <cell r="P62">
            <v>6141583.8099999996</v>
          </cell>
          <cell r="Q62">
            <v>5401431.7699999996</v>
          </cell>
          <cell r="R62">
            <v>6170107.5</v>
          </cell>
          <cell r="S62">
            <v>6554580.3300000001</v>
          </cell>
          <cell r="T62">
            <v>7878621.0300000003</v>
          </cell>
          <cell r="U62">
            <v>7964315.5999999996</v>
          </cell>
          <cell r="V62">
            <v>7156484.46</v>
          </cell>
          <cell r="W62">
            <v>6317860.3700000001</v>
          </cell>
          <cell r="X62">
            <v>5385005.6399999997</v>
          </cell>
          <cell r="Y62">
            <v>5794570.3300000001</v>
          </cell>
          <cell r="Z62">
            <v>5564802.5</v>
          </cell>
          <cell r="AA62">
            <v>6281490.3799999999</v>
          </cell>
          <cell r="AB62">
            <v>5963543.9100000001</v>
          </cell>
          <cell r="AC62">
            <v>5302029.71</v>
          </cell>
          <cell r="AD62">
            <v>5915411.8200000003</v>
          </cell>
          <cell r="AE62">
            <v>6184591.4500000002</v>
          </cell>
          <cell r="AF62">
            <v>7528415.1699999999</v>
          </cell>
          <cell r="AG62">
            <v>7618307.0599999996</v>
          </cell>
          <cell r="AH62">
            <v>6848105.7300000004</v>
          </cell>
          <cell r="AJ62">
            <v>6130903.1500000004</v>
          </cell>
        </row>
        <row r="63">
          <cell r="J63">
            <v>1661976.46</v>
          </cell>
          <cell r="K63">
            <v>1082037.52</v>
          </cell>
          <cell r="L63">
            <v>867376.37</v>
          </cell>
          <cell r="M63">
            <v>3886078.71</v>
          </cell>
          <cell r="N63">
            <v>1137548.54</v>
          </cell>
          <cell r="O63">
            <v>3190285.6</v>
          </cell>
          <cell r="P63">
            <v>1207531.8700000001</v>
          </cell>
          <cell r="Q63">
            <v>854895.19</v>
          </cell>
          <cell r="R63">
            <v>2845605.73</v>
          </cell>
          <cell r="S63">
            <v>3172485.57</v>
          </cell>
          <cell r="T63">
            <v>2859405.5</v>
          </cell>
          <cell r="U63">
            <v>2459611.37</v>
          </cell>
          <cell r="V63">
            <v>2900618.45</v>
          </cell>
          <cell r="W63">
            <v>2426461.02</v>
          </cell>
          <cell r="X63">
            <v>195473.68</v>
          </cell>
          <cell r="Y63">
            <v>404761.65</v>
          </cell>
          <cell r="Z63">
            <v>332229.84999999998</v>
          </cell>
          <cell r="AA63">
            <v>1414278.93</v>
          </cell>
          <cell r="AB63">
            <v>6571678.71</v>
          </cell>
          <cell r="AC63">
            <v>5666536.9000000004</v>
          </cell>
          <cell r="AD63">
            <v>4186291</v>
          </cell>
          <cell r="AE63">
            <v>4915142.8499999996</v>
          </cell>
          <cell r="AF63">
            <v>4740956.63</v>
          </cell>
          <cell r="AG63">
            <v>5335694.2300000004</v>
          </cell>
          <cell r="AH63">
            <v>7478989.1500000004</v>
          </cell>
          <cell r="AJ63">
            <v>1082037.52</v>
          </cell>
        </row>
        <row r="64">
          <cell r="J64">
            <v>3277772.5</v>
          </cell>
          <cell r="K64">
            <v>3347838.7</v>
          </cell>
          <cell r="L64">
            <v>4597812.2</v>
          </cell>
          <cell r="M64">
            <v>6689749.7999999998</v>
          </cell>
          <cell r="N64">
            <v>6429160.2000000002</v>
          </cell>
          <cell r="O64">
            <v>7353810.5999999996</v>
          </cell>
          <cell r="P64">
            <v>4787488.5999999996</v>
          </cell>
          <cell r="Q64">
            <v>3523788.3</v>
          </cell>
          <cell r="R64">
            <v>3657755.8</v>
          </cell>
          <cell r="S64">
            <v>2485773.9</v>
          </cell>
          <cell r="T64">
            <v>1531847.5</v>
          </cell>
          <cell r="U64">
            <v>1760673.4</v>
          </cell>
          <cell r="V64">
            <v>1957478.7</v>
          </cell>
          <cell r="W64">
            <v>3320781.5</v>
          </cell>
          <cell r="X64">
            <v>987715.1</v>
          </cell>
          <cell r="Y64">
            <v>1851247</v>
          </cell>
          <cell r="Z64">
            <v>3216087.5</v>
          </cell>
          <cell r="AA64">
            <v>4784593</v>
          </cell>
          <cell r="AB64">
            <v>4288304.3</v>
          </cell>
          <cell r="AC64">
            <v>3092725.7</v>
          </cell>
          <cell r="AD64">
            <v>1908267.8</v>
          </cell>
          <cell r="AE64">
            <v>3157592.5</v>
          </cell>
          <cell r="AF64">
            <v>2629318.9</v>
          </cell>
          <cell r="AG64">
            <v>2995602.7</v>
          </cell>
          <cell r="AH64">
            <v>3570020.5</v>
          </cell>
          <cell r="AJ64">
            <v>3347838.7</v>
          </cell>
        </row>
        <row r="66"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J66">
            <v>0</v>
          </cell>
        </row>
        <row r="67"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J67">
            <v>0</v>
          </cell>
        </row>
        <row r="68"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J68">
            <v>0</v>
          </cell>
        </row>
        <row r="69"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J69">
            <v>0</v>
          </cell>
        </row>
        <row r="70"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J70">
            <v>0</v>
          </cell>
        </row>
        <row r="71"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J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J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J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J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J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J76">
            <v>0</v>
          </cell>
        </row>
        <row r="77"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J77">
            <v>0</v>
          </cell>
        </row>
        <row r="79">
          <cell r="J79">
            <v>2038016.22</v>
          </cell>
          <cell r="K79">
            <v>1457718.13</v>
          </cell>
          <cell r="L79">
            <v>1532977.32</v>
          </cell>
          <cell r="M79">
            <v>1395034.45</v>
          </cell>
          <cell r="N79">
            <v>1963765.7</v>
          </cell>
          <cell r="O79">
            <v>1750524.52</v>
          </cell>
          <cell r="P79">
            <v>-55377.16</v>
          </cell>
          <cell r="Q79">
            <v>150705.15</v>
          </cell>
          <cell r="R79">
            <v>621426.39</v>
          </cell>
          <cell r="S79">
            <v>906991.31</v>
          </cell>
          <cell r="T79">
            <v>485722.9</v>
          </cell>
          <cell r="U79">
            <v>308628.58</v>
          </cell>
          <cell r="V79">
            <v>110973.43</v>
          </cell>
          <cell r="W79">
            <v>451078.13</v>
          </cell>
          <cell r="X79">
            <v>334413.96999999997</v>
          </cell>
          <cell r="Y79">
            <v>407432.37</v>
          </cell>
          <cell r="Z79">
            <v>158018</v>
          </cell>
          <cell r="AA79">
            <v>113228.15</v>
          </cell>
          <cell r="AB79">
            <v>878195.15</v>
          </cell>
          <cell r="AC79">
            <v>645976.43000000005</v>
          </cell>
          <cell r="AD79">
            <v>775434.05</v>
          </cell>
          <cell r="AE79">
            <v>1132802.31</v>
          </cell>
          <cell r="AF79">
            <v>1138550.1200000001</v>
          </cell>
          <cell r="AG79">
            <v>1021805.42</v>
          </cell>
          <cell r="AH79">
            <v>854694.3</v>
          </cell>
          <cell r="AJ79">
            <v>1457718.13</v>
          </cell>
        </row>
        <row r="80"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-30565.14</v>
          </cell>
          <cell r="Q80">
            <v>79612.47</v>
          </cell>
          <cell r="R80">
            <v>280157.82</v>
          </cell>
          <cell r="S80">
            <v>378948.01</v>
          </cell>
          <cell r="T80">
            <v>202838.5</v>
          </cell>
          <cell r="U80">
            <v>130464.48</v>
          </cell>
          <cell r="V80">
            <v>49125.58</v>
          </cell>
          <cell r="W80">
            <v>209963.77</v>
          </cell>
          <cell r="X80">
            <v>178986.04</v>
          </cell>
          <cell r="Y80">
            <v>231120.91</v>
          </cell>
          <cell r="Z80">
            <v>90566</v>
          </cell>
          <cell r="AA80">
            <v>65709.33</v>
          </cell>
          <cell r="AB80">
            <v>476369.32</v>
          </cell>
          <cell r="AC80">
            <v>341700.06</v>
          </cell>
          <cell r="AD80">
            <v>361063.3</v>
          </cell>
          <cell r="AE80">
            <v>479045.4</v>
          </cell>
          <cell r="AF80">
            <v>476802.45</v>
          </cell>
          <cell r="AG80">
            <v>433067.47</v>
          </cell>
          <cell r="AH80">
            <v>377179.07</v>
          </cell>
          <cell r="AJ80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-7721.66</v>
          </cell>
          <cell r="Q81">
            <v>24482.68</v>
          </cell>
          <cell r="R81">
            <v>110385.98</v>
          </cell>
          <cell r="S81">
            <v>128487.47</v>
          </cell>
          <cell r="T81">
            <v>62149.34</v>
          </cell>
          <cell r="U81">
            <v>38518.69</v>
          </cell>
          <cell r="V81">
            <v>16478.25</v>
          </cell>
          <cell r="W81">
            <v>74411.41</v>
          </cell>
          <cell r="X81">
            <v>50604.94</v>
          </cell>
          <cell r="Y81">
            <v>56160.49</v>
          </cell>
          <cell r="Z81">
            <v>20596</v>
          </cell>
          <cell r="AA81">
            <v>13965.41</v>
          </cell>
          <cell r="AB81">
            <v>122342.41</v>
          </cell>
          <cell r="AC81">
            <v>110461.11</v>
          </cell>
          <cell r="AD81">
            <v>131784.53</v>
          </cell>
          <cell r="AE81">
            <v>165663.6</v>
          </cell>
          <cell r="AF81">
            <v>144095.85999999999</v>
          </cell>
          <cell r="AG81">
            <v>131382.98000000001</v>
          </cell>
          <cell r="AH81">
            <v>126576.08</v>
          </cell>
          <cell r="AJ81">
            <v>0</v>
          </cell>
        </row>
        <row r="82">
          <cell r="J82">
            <v>1810406.28</v>
          </cell>
          <cell r="K82">
            <v>1355580.03</v>
          </cell>
          <cell r="L82">
            <v>1090370.77</v>
          </cell>
          <cell r="M82">
            <v>914448.83</v>
          </cell>
          <cell r="N82">
            <v>1197489.48</v>
          </cell>
          <cell r="O82">
            <v>957606.79</v>
          </cell>
          <cell r="P82">
            <v>-48018.57</v>
          </cell>
          <cell r="Q82">
            <v>161493.21</v>
          </cell>
          <cell r="R82">
            <v>772008.13</v>
          </cell>
          <cell r="S82">
            <v>908141.05</v>
          </cell>
          <cell r="T82">
            <v>439362.98</v>
          </cell>
          <cell r="U82">
            <v>282531.94</v>
          </cell>
          <cell r="V82">
            <v>118306.61</v>
          </cell>
          <cell r="W82">
            <v>536917.25</v>
          </cell>
          <cell r="X82">
            <v>326776.87</v>
          </cell>
          <cell r="Y82">
            <v>341899.88</v>
          </cell>
          <cell r="Z82">
            <v>121983.65</v>
          </cell>
          <cell r="AA82">
            <v>80342.100000000006</v>
          </cell>
          <cell r="AB82">
            <v>798942.55</v>
          </cell>
          <cell r="AC82">
            <v>746524.15</v>
          </cell>
          <cell r="AD82">
            <v>927480.54</v>
          </cell>
          <cell r="AE82">
            <v>1173141.23</v>
          </cell>
          <cell r="AF82">
            <v>1032974.9</v>
          </cell>
          <cell r="AG82">
            <v>968724.55</v>
          </cell>
          <cell r="AH82">
            <v>941747.11</v>
          </cell>
          <cell r="AJ82">
            <v>1355580.03</v>
          </cell>
        </row>
        <row r="83">
          <cell r="J83">
            <v>2225246.9500000002</v>
          </cell>
          <cell r="K83">
            <v>1857422</v>
          </cell>
          <cell r="L83">
            <v>1453504.71</v>
          </cell>
          <cell r="M83">
            <v>1190622.04</v>
          </cell>
          <cell r="N83">
            <v>1479288.37</v>
          </cell>
          <cell r="O83">
            <v>1070602.4099999999</v>
          </cell>
          <cell r="P83">
            <v>-75003.350000000006</v>
          </cell>
          <cell r="Q83">
            <v>276096.56</v>
          </cell>
          <cell r="R83">
            <v>1209611.7</v>
          </cell>
          <cell r="S83">
            <v>1299046.3</v>
          </cell>
          <cell r="T83">
            <v>591756.25</v>
          </cell>
          <cell r="U83">
            <v>369336.11</v>
          </cell>
          <cell r="V83">
            <v>175274.27</v>
          </cell>
          <cell r="W83">
            <v>881874.8</v>
          </cell>
          <cell r="X83">
            <v>536060.46</v>
          </cell>
          <cell r="Y83">
            <v>535405.09</v>
          </cell>
          <cell r="Z83">
            <v>183165.53</v>
          </cell>
          <cell r="AA83">
            <v>109189.41</v>
          </cell>
          <cell r="AB83">
            <v>1177739.0900000001</v>
          </cell>
          <cell r="AC83">
            <v>1217399.53</v>
          </cell>
          <cell r="AD83">
            <v>1465594.14</v>
          </cell>
          <cell r="AE83">
            <v>1641179.79</v>
          </cell>
          <cell r="AF83">
            <v>1368364.45</v>
          </cell>
          <cell r="AG83">
            <v>1262853.1299999999</v>
          </cell>
          <cell r="AH83">
            <v>1375046.26</v>
          </cell>
          <cell r="AJ83">
            <v>1857422</v>
          </cell>
        </row>
        <row r="84">
          <cell r="J84">
            <v>201413.47</v>
          </cell>
          <cell r="K84">
            <v>170387.3</v>
          </cell>
          <cell r="L84">
            <v>151165.63</v>
          </cell>
          <cell r="M84">
            <v>132352.66</v>
          </cell>
          <cell r="N84">
            <v>160164.68</v>
          </cell>
          <cell r="O84">
            <v>122353.78</v>
          </cell>
          <cell r="P84">
            <v>-7636.66</v>
          </cell>
          <cell r="Q84">
            <v>27857.63</v>
          </cell>
          <cell r="R84">
            <v>110475.03</v>
          </cell>
          <cell r="S84">
            <v>113270.96</v>
          </cell>
          <cell r="T84">
            <v>53234.21</v>
          </cell>
          <cell r="U84">
            <v>30033.54</v>
          </cell>
          <cell r="V84">
            <v>16227.32</v>
          </cell>
          <cell r="W84">
            <v>79561.55</v>
          </cell>
          <cell r="X84">
            <v>55890.26</v>
          </cell>
          <cell r="Y84">
            <v>61691.03</v>
          </cell>
          <cell r="Z84">
            <v>20735.689999999999</v>
          </cell>
          <cell r="AA84">
            <v>13250.75</v>
          </cell>
          <cell r="AB84">
            <v>121070.06</v>
          </cell>
          <cell r="AC84">
            <v>122035.32</v>
          </cell>
          <cell r="AD84">
            <v>132532.42000000001</v>
          </cell>
          <cell r="AE84">
            <v>143709.93</v>
          </cell>
          <cell r="AF84">
            <v>120979.27</v>
          </cell>
          <cell r="AG84">
            <v>99598.25</v>
          </cell>
          <cell r="AH84">
            <v>125465.55</v>
          </cell>
          <cell r="AJ84">
            <v>170387.3</v>
          </cell>
        </row>
        <row r="85">
          <cell r="J85">
            <v>20723.46</v>
          </cell>
          <cell r="K85">
            <v>17509.88</v>
          </cell>
          <cell r="L85">
            <v>15738.62</v>
          </cell>
          <cell r="M85">
            <v>14245.83</v>
          </cell>
          <cell r="N85">
            <v>17612.22</v>
          </cell>
          <cell r="O85">
            <v>14780.7</v>
          </cell>
          <cell r="P85">
            <v>-996.99</v>
          </cell>
          <cell r="Q85">
            <v>3386.87</v>
          </cell>
          <cell r="R85">
            <v>13921.54</v>
          </cell>
          <cell r="S85">
            <v>12637.86</v>
          </cell>
          <cell r="T85">
            <v>5553.87</v>
          </cell>
          <cell r="U85">
            <v>3408.08</v>
          </cell>
          <cell r="V85">
            <v>1530.55</v>
          </cell>
          <cell r="W85">
            <v>7960.24</v>
          </cell>
          <cell r="X85">
            <v>5475.13</v>
          </cell>
          <cell r="Y85">
            <v>6390.98</v>
          </cell>
          <cell r="Z85">
            <v>2174.67</v>
          </cell>
          <cell r="AA85">
            <v>1451.97</v>
          </cell>
          <cell r="AB85">
            <v>17489.990000000002</v>
          </cell>
          <cell r="AC85">
            <v>15987.61</v>
          </cell>
          <cell r="AD85">
            <v>17543.86</v>
          </cell>
          <cell r="AE85">
            <v>16751.52</v>
          </cell>
          <cell r="AF85">
            <v>13298.58</v>
          </cell>
          <cell r="AG85">
            <v>12082</v>
          </cell>
          <cell r="AH85">
            <v>12629.03</v>
          </cell>
          <cell r="AJ85">
            <v>17509.88</v>
          </cell>
        </row>
        <row r="86">
          <cell r="J86">
            <v>610099.36</v>
          </cell>
          <cell r="K86">
            <v>473812.88</v>
          </cell>
          <cell r="L86">
            <v>371717.22</v>
          </cell>
          <cell r="M86">
            <v>305265.21000000002</v>
          </cell>
          <cell r="N86">
            <v>402432.56</v>
          </cell>
          <cell r="O86">
            <v>304425.09000000003</v>
          </cell>
          <cell r="P86">
            <v>-18417.72</v>
          </cell>
          <cell r="Q86">
            <v>62280.480000000003</v>
          </cell>
          <cell r="R86">
            <v>305538.26</v>
          </cell>
          <cell r="S86">
            <v>374931.36</v>
          </cell>
          <cell r="T86">
            <v>166312.68</v>
          </cell>
          <cell r="U86">
            <v>106184.02</v>
          </cell>
          <cell r="V86">
            <v>45498.77</v>
          </cell>
          <cell r="W86">
            <v>210191.85</v>
          </cell>
          <cell r="X86">
            <v>128050.88</v>
          </cell>
          <cell r="Y86">
            <v>135865.39000000001</v>
          </cell>
          <cell r="Z86">
            <v>47813.42</v>
          </cell>
          <cell r="AA86">
            <v>29805.59</v>
          </cell>
          <cell r="AB86">
            <v>309707.77</v>
          </cell>
          <cell r="AC86">
            <v>285079.82</v>
          </cell>
          <cell r="AD86">
            <v>370832.96</v>
          </cell>
          <cell r="AE86">
            <v>486023.04</v>
          </cell>
          <cell r="AF86">
            <v>386718.5</v>
          </cell>
          <cell r="AG86">
            <v>363565.32</v>
          </cell>
          <cell r="AH86">
            <v>353376.85</v>
          </cell>
          <cell r="AJ86">
            <v>473812.88</v>
          </cell>
        </row>
        <row r="87">
          <cell r="J87">
            <v>35630.75</v>
          </cell>
          <cell r="K87">
            <v>27043.06</v>
          </cell>
          <cell r="L87">
            <v>23357.87</v>
          </cell>
          <cell r="M87">
            <v>19159.7</v>
          </cell>
          <cell r="N87">
            <v>25072.85</v>
          </cell>
          <cell r="O87">
            <v>19872.73</v>
          </cell>
          <cell r="P87">
            <v>-1156.99</v>
          </cell>
          <cell r="Q87">
            <v>3873.29</v>
          </cell>
          <cell r="R87">
            <v>17618.21</v>
          </cell>
          <cell r="S87">
            <v>19223.830000000002</v>
          </cell>
          <cell r="T87">
            <v>8948.2900000000009</v>
          </cell>
          <cell r="U87">
            <v>6036.81</v>
          </cell>
          <cell r="V87">
            <v>2620.63</v>
          </cell>
          <cell r="W87">
            <v>12517.23</v>
          </cell>
          <cell r="X87">
            <v>8150.34</v>
          </cell>
          <cell r="Y87">
            <v>8507.93</v>
          </cell>
          <cell r="Z87">
            <v>3070.59</v>
          </cell>
          <cell r="AA87">
            <v>2018.93</v>
          </cell>
          <cell r="AB87">
            <v>19904.57</v>
          </cell>
          <cell r="AC87">
            <v>18499.32</v>
          </cell>
          <cell r="AD87">
            <v>22191.599999999999</v>
          </cell>
          <cell r="AE87">
            <v>25694.16</v>
          </cell>
          <cell r="AF87">
            <v>21215.53</v>
          </cell>
          <cell r="AG87">
            <v>22063.07</v>
          </cell>
          <cell r="AH87">
            <v>21119</v>
          </cell>
          <cell r="AJ87">
            <v>27043.06</v>
          </cell>
        </row>
        <row r="88">
          <cell r="J88">
            <v>-104113.72</v>
          </cell>
          <cell r="K88">
            <v>-180354.49</v>
          </cell>
          <cell r="L88">
            <v>-214538.4</v>
          </cell>
          <cell r="M88">
            <v>-369259.33</v>
          </cell>
          <cell r="N88">
            <v>-213206.53</v>
          </cell>
          <cell r="O88">
            <v>-427441.14</v>
          </cell>
          <cell r="P88">
            <v>-853737.94</v>
          </cell>
          <cell r="Q88">
            <v>-665107.73</v>
          </cell>
          <cell r="R88">
            <v>-509636.08</v>
          </cell>
          <cell r="S88">
            <v>-537604.39</v>
          </cell>
          <cell r="T88">
            <v>-702508.15</v>
          </cell>
          <cell r="U88">
            <v>-777601.75</v>
          </cell>
          <cell r="V88">
            <v>-828039.1</v>
          </cell>
          <cell r="W88">
            <v>-553983.63</v>
          </cell>
          <cell r="X88">
            <v>-600880.79</v>
          </cell>
          <cell r="Y88">
            <v>-571657.80000000005</v>
          </cell>
          <cell r="Z88">
            <v>-663600.54</v>
          </cell>
          <cell r="AA88">
            <v>-653475.96</v>
          </cell>
          <cell r="AB88">
            <v>-801636.34</v>
          </cell>
          <cell r="AC88">
            <v>-696669.16</v>
          </cell>
          <cell r="AD88">
            <v>-694172.78</v>
          </cell>
          <cell r="AE88">
            <v>-755261.83</v>
          </cell>
          <cell r="AF88">
            <v>-831388.59</v>
          </cell>
          <cell r="AG88">
            <v>-792367.44</v>
          </cell>
          <cell r="AH88">
            <v>-805634.7</v>
          </cell>
          <cell r="AJ88">
            <v>-180354.49</v>
          </cell>
        </row>
        <row r="89"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J89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J90">
            <v>0</v>
          </cell>
        </row>
        <row r="92">
          <cell r="J92">
            <v>336166.47</v>
          </cell>
          <cell r="K92">
            <v>336166.47</v>
          </cell>
          <cell r="L92">
            <v>336166.47</v>
          </cell>
          <cell r="M92">
            <v>336166.47</v>
          </cell>
          <cell r="N92">
            <v>336166.47</v>
          </cell>
          <cell r="O92">
            <v>336166.47</v>
          </cell>
          <cell r="P92">
            <v>197321.5</v>
          </cell>
          <cell r="Q92">
            <v>200378.73</v>
          </cell>
          <cell r="R92">
            <v>211073.69</v>
          </cell>
          <cell r="S92">
            <v>215989.85</v>
          </cell>
          <cell r="T92">
            <v>216021.32</v>
          </cell>
          <cell r="U92">
            <v>215243.61</v>
          </cell>
          <cell r="V92">
            <v>212266.3</v>
          </cell>
          <cell r="W92">
            <v>208964.97</v>
          </cell>
          <cell r="X92">
            <v>199470.76</v>
          </cell>
          <cell r="Y92">
            <v>195393.04</v>
          </cell>
          <cell r="Z92">
            <v>194663.3</v>
          </cell>
          <cell r="AA92">
            <v>193777.71</v>
          </cell>
          <cell r="AB92">
            <v>177742.52</v>
          </cell>
          <cell r="AC92">
            <v>179308.94</v>
          </cell>
          <cell r="AD92">
            <v>187058.06</v>
          </cell>
          <cell r="AE92">
            <v>192677.1</v>
          </cell>
          <cell r="AF92">
            <v>193234.56</v>
          </cell>
          <cell r="AG92">
            <v>192549.82</v>
          </cell>
          <cell r="AH92">
            <v>190214.98</v>
          </cell>
          <cell r="AJ92">
            <v>336166.47</v>
          </cell>
        </row>
        <row r="93"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108910.59</v>
          </cell>
          <cell r="Q93">
            <v>105853.36</v>
          </cell>
          <cell r="R93">
            <v>95158.41</v>
          </cell>
          <cell r="S93">
            <v>90242.240000000005</v>
          </cell>
          <cell r="T93">
            <v>90210.77</v>
          </cell>
          <cell r="U93">
            <v>90988.479999999996</v>
          </cell>
          <cell r="V93">
            <v>93965.79</v>
          </cell>
          <cell r="W93">
            <v>97267.12</v>
          </cell>
          <cell r="X93">
            <v>106761.33</v>
          </cell>
          <cell r="Y93">
            <v>110839.05</v>
          </cell>
          <cell r="Z93">
            <v>111568.79</v>
          </cell>
          <cell r="AA93">
            <v>112454.39</v>
          </cell>
          <cell r="AB93">
            <v>96414.88</v>
          </cell>
          <cell r="AC93">
            <v>94848.47</v>
          </cell>
          <cell r="AD93">
            <v>87099.35</v>
          </cell>
          <cell r="AE93">
            <v>81480.3</v>
          </cell>
          <cell r="AF93">
            <v>80922.84</v>
          </cell>
          <cell r="AG93">
            <v>81607.58</v>
          </cell>
          <cell r="AH93">
            <v>83942.42</v>
          </cell>
          <cell r="AJ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5140.8</v>
          </cell>
          <cell r="Q94">
            <v>4885.3</v>
          </cell>
          <cell r="R94">
            <v>4642.38</v>
          </cell>
          <cell r="S94">
            <v>4599.67</v>
          </cell>
          <cell r="T94">
            <v>4598.79</v>
          </cell>
          <cell r="U94">
            <v>4452.33</v>
          </cell>
          <cell r="V94">
            <v>4536.8999999999996</v>
          </cell>
          <cell r="W94">
            <v>4517.04</v>
          </cell>
          <cell r="X94">
            <v>4976.24</v>
          </cell>
          <cell r="Y94">
            <v>5235.6499999999996</v>
          </cell>
          <cell r="Z94">
            <v>5360.61</v>
          </cell>
          <cell r="AA94">
            <v>5495.36</v>
          </cell>
          <cell r="AB94">
            <v>4453.03</v>
          </cell>
          <cell r="AC94">
            <v>4322.2299999999996</v>
          </cell>
          <cell r="AD94">
            <v>4171.88</v>
          </cell>
          <cell r="AE94">
            <v>4149.37</v>
          </cell>
          <cell r="AF94">
            <v>4105.08</v>
          </cell>
          <cell r="AG94">
            <v>4004.76</v>
          </cell>
          <cell r="AH94">
            <v>3973.02</v>
          </cell>
          <cell r="AJ94">
            <v>0</v>
          </cell>
        </row>
        <row r="95">
          <cell r="J95">
            <v>40221.46</v>
          </cell>
          <cell r="K95">
            <v>40221.46</v>
          </cell>
          <cell r="L95">
            <v>40221.46</v>
          </cell>
          <cell r="M95">
            <v>40221.46</v>
          </cell>
          <cell r="N95">
            <v>40221.46</v>
          </cell>
          <cell r="O95">
            <v>40221.46</v>
          </cell>
          <cell r="P95">
            <v>31969.03</v>
          </cell>
          <cell r="Q95">
            <v>32224.53</v>
          </cell>
          <cell r="R95">
            <v>32467.45</v>
          </cell>
          <cell r="S95">
            <v>32510.16</v>
          </cell>
          <cell r="T95">
            <v>32511.040000000001</v>
          </cell>
          <cell r="U95">
            <v>32657.5</v>
          </cell>
          <cell r="V95">
            <v>32572.93</v>
          </cell>
          <cell r="W95">
            <v>32592.79</v>
          </cell>
          <cell r="X95">
            <v>32133.59</v>
          </cell>
          <cell r="Y95">
            <v>31874.18</v>
          </cell>
          <cell r="Z95">
            <v>31749.22</v>
          </cell>
          <cell r="AA95">
            <v>31614.46</v>
          </cell>
          <cell r="AB95">
            <v>29079.96</v>
          </cell>
          <cell r="AC95">
            <v>29210.75</v>
          </cell>
          <cell r="AD95">
            <v>29361.1</v>
          </cell>
          <cell r="AE95">
            <v>29383.62</v>
          </cell>
          <cell r="AF95">
            <v>29427.91</v>
          </cell>
          <cell r="AG95">
            <v>29528.23</v>
          </cell>
          <cell r="AH95">
            <v>29559.96</v>
          </cell>
          <cell r="AJ95">
            <v>40221.46</v>
          </cell>
        </row>
        <row r="96"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J96">
            <v>0</v>
          </cell>
        </row>
        <row r="97"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J97">
            <v>0</v>
          </cell>
        </row>
        <row r="98"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J98">
            <v>0</v>
          </cell>
        </row>
        <row r="99"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J99">
            <v>0</v>
          </cell>
        </row>
        <row r="100"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J100">
            <v>0</v>
          </cell>
        </row>
        <row r="101"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J101">
            <v>0</v>
          </cell>
        </row>
        <row r="102"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J102">
            <v>0</v>
          </cell>
        </row>
        <row r="103"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J103">
            <v>0</v>
          </cell>
        </row>
        <row r="105"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J105">
            <v>0</v>
          </cell>
        </row>
        <row r="106"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J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J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J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J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J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J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J112">
            <v>0</v>
          </cell>
        </row>
        <row r="113"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J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J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J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J116">
            <v>0</v>
          </cell>
        </row>
        <row r="118">
          <cell r="J118">
            <v>914201.74</v>
          </cell>
          <cell r="K118">
            <v>824658.61</v>
          </cell>
          <cell r="L118">
            <v>889694.85</v>
          </cell>
          <cell r="M118">
            <v>860985.63</v>
          </cell>
          <cell r="N118">
            <v>925975.92</v>
          </cell>
          <cell r="O118">
            <v>963129.57</v>
          </cell>
          <cell r="P118">
            <v>681305.08</v>
          </cell>
          <cell r="Q118">
            <v>560036.43000000005</v>
          </cell>
          <cell r="R118">
            <v>535417.67000000004</v>
          </cell>
          <cell r="S118">
            <v>625861.87</v>
          </cell>
          <cell r="T118">
            <v>662357</v>
          </cell>
          <cell r="U118">
            <v>658163.24</v>
          </cell>
          <cell r="V118">
            <v>581709.94999999995</v>
          </cell>
          <cell r="W118">
            <v>491011.44</v>
          </cell>
          <cell r="X118">
            <v>490191.48</v>
          </cell>
          <cell r="Y118">
            <v>496871.7</v>
          </cell>
          <cell r="Z118">
            <v>468317.99</v>
          </cell>
          <cell r="AA118">
            <v>484914.21</v>
          </cell>
          <cell r="AB118">
            <v>735583.13</v>
          </cell>
          <cell r="AC118">
            <v>631625.04</v>
          </cell>
          <cell r="AD118">
            <v>609599.32999999996</v>
          </cell>
          <cell r="AE118">
            <v>652817.88</v>
          </cell>
          <cell r="AF118">
            <v>684024.11</v>
          </cell>
          <cell r="AG118">
            <v>623247.56000000006</v>
          </cell>
          <cell r="AH118">
            <v>503351.31</v>
          </cell>
          <cell r="AJ118">
            <v>824658.61</v>
          </cell>
        </row>
        <row r="119"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353833.14</v>
          </cell>
          <cell r="Q119">
            <v>279607.55</v>
          </cell>
          <cell r="R119">
            <v>235848.78</v>
          </cell>
          <cell r="S119">
            <v>259595.8</v>
          </cell>
          <cell r="T119">
            <v>275254.96999999997</v>
          </cell>
          <cell r="U119">
            <v>276409.17</v>
          </cell>
          <cell r="V119">
            <v>254396.26</v>
          </cell>
          <cell r="W119">
            <v>222814.58</v>
          </cell>
          <cell r="X119">
            <v>247968.19</v>
          </cell>
          <cell r="Y119">
            <v>264011.25</v>
          </cell>
          <cell r="Z119">
            <v>251636.63</v>
          </cell>
          <cell r="AA119">
            <v>264908.71000000002</v>
          </cell>
          <cell r="AB119">
            <v>376510.84</v>
          </cell>
          <cell r="AC119">
            <v>316701.89</v>
          </cell>
          <cell r="AD119">
            <v>274755.15999999997</v>
          </cell>
          <cell r="AE119">
            <v>271376.77</v>
          </cell>
          <cell r="AF119">
            <v>281769.46999999997</v>
          </cell>
          <cell r="AG119">
            <v>259889.97</v>
          </cell>
          <cell r="AH119">
            <v>217598.48</v>
          </cell>
          <cell r="AJ119">
            <v>0</v>
          </cell>
        </row>
        <row r="120"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107992.53</v>
          </cell>
          <cell r="Q120">
            <v>99637.92</v>
          </cell>
          <cell r="R120">
            <v>102108.22</v>
          </cell>
          <cell r="S120">
            <v>96952.43</v>
          </cell>
          <cell r="T120">
            <v>93513.16</v>
          </cell>
          <cell r="U120">
            <v>91194.95</v>
          </cell>
          <cell r="V120">
            <v>92160.639999999999</v>
          </cell>
          <cell r="W120">
            <v>87158.49</v>
          </cell>
          <cell r="X120">
            <v>82451.08</v>
          </cell>
          <cell r="Y120">
            <v>78497.279999999999</v>
          </cell>
          <cell r="Z120">
            <v>70376.039999999994</v>
          </cell>
          <cell r="AA120">
            <v>68639.23</v>
          </cell>
          <cell r="AB120">
            <v>115321.72</v>
          </cell>
          <cell r="AC120">
            <v>117754.64</v>
          </cell>
          <cell r="AD120">
            <v>111273.61</v>
          </cell>
          <cell r="AE120">
            <v>103906.21</v>
          </cell>
          <cell r="AF120">
            <v>95231.59</v>
          </cell>
          <cell r="AG120">
            <v>88808.22</v>
          </cell>
          <cell r="AH120">
            <v>80846.259999999995</v>
          </cell>
          <cell r="AJ120">
            <v>0</v>
          </cell>
        </row>
        <row r="121">
          <cell r="J121">
            <v>720879.35</v>
          </cell>
          <cell r="K121">
            <v>709859.49</v>
          </cell>
          <cell r="L121">
            <v>622357.85</v>
          </cell>
          <cell r="M121">
            <v>559760.93999999994</v>
          </cell>
          <cell r="N121">
            <v>561608.56000000006</v>
          </cell>
          <cell r="O121">
            <v>508006.27</v>
          </cell>
          <cell r="P121">
            <v>562488.85</v>
          </cell>
          <cell r="Q121">
            <v>538522.47</v>
          </cell>
          <cell r="R121">
            <v>583518.41</v>
          </cell>
          <cell r="S121">
            <v>560393.91</v>
          </cell>
          <cell r="T121">
            <v>542429.84</v>
          </cell>
          <cell r="U121">
            <v>538950.37</v>
          </cell>
          <cell r="V121">
            <v>538283.25</v>
          </cell>
          <cell r="W121">
            <v>506980.54</v>
          </cell>
          <cell r="X121">
            <v>439563.84</v>
          </cell>
          <cell r="Y121">
            <v>399347.93</v>
          </cell>
          <cell r="Z121">
            <v>350699.74</v>
          </cell>
          <cell r="AA121">
            <v>326994.18</v>
          </cell>
          <cell r="AB121">
            <v>626866.25</v>
          </cell>
          <cell r="AC121">
            <v>649678.4</v>
          </cell>
          <cell r="AD121">
            <v>636781.52</v>
          </cell>
          <cell r="AE121">
            <v>600942.06000000006</v>
          </cell>
          <cell r="AF121">
            <v>560855.03</v>
          </cell>
          <cell r="AG121">
            <v>528241.85</v>
          </cell>
          <cell r="AH121">
            <v>492515.44</v>
          </cell>
          <cell r="AJ121">
            <v>709859.49</v>
          </cell>
        </row>
        <row r="122">
          <cell r="J122">
            <v>535455.31000000006</v>
          </cell>
          <cell r="K122">
            <v>561728.48</v>
          </cell>
          <cell r="L122">
            <v>482691.11</v>
          </cell>
          <cell r="M122">
            <v>423892.02</v>
          </cell>
          <cell r="N122">
            <v>408214.38</v>
          </cell>
          <cell r="O122">
            <v>353348.38</v>
          </cell>
          <cell r="P122">
            <v>571445.14</v>
          </cell>
          <cell r="Q122">
            <v>594075.49</v>
          </cell>
          <cell r="R122">
            <v>598573.92000000004</v>
          </cell>
          <cell r="S122">
            <v>536540.82999999996</v>
          </cell>
          <cell r="T122">
            <v>488451.75</v>
          </cell>
          <cell r="U122">
            <v>486534.35</v>
          </cell>
          <cell r="V122">
            <v>528155.29</v>
          </cell>
          <cell r="W122">
            <v>539963.07999999996</v>
          </cell>
          <cell r="X122">
            <v>461650.65</v>
          </cell>
          <cell r="Y122">
            <v>405076.47999999998</v>
          </cell>
          <cell r="Z122">
            <v>337360.07</v>
          </cell>
          <cell r="AA122">
            <v>301419.3</v>
          </cell>
          <cell r="AB122">
            <v>600225.03</v>
          </cell>
          <cell r="AC122">
            <v>680622.26</v>
          </cell>
          <cell r="AD122">
            <v>650607.13</v>
          </cell>
          <cell r="AE122">
            <v>559861.57999999996</v>
          </cell>
          <cell r="AF122">
            <v>485610.71</v>
          </cell>
          <cell r="AG122">
            <v>475093.58</v>
          </cell>
          <cell r="AH122">
            <v>482029.83</v>
          </cell>
          <cell r="AJ122">
            <v>561728.48</v>
          </cell>
        </row>
        <row r="123">
          <cell r="J123">
            <v>69561.8</v>
          </cell>
          <cell r="K123">
            <v>73973.929999999993</v>
          </cell>
          <cell r="L123">
            <v>66710.11</v>
          </cell>
          <cell r="M123">
            <v>59496.05</v>
          </cell>
          <cell r="N123">
            <v>57978.33</v>
          </cell>
          <cell r="O123">
            <v>50515.7</v>
          </cell>
          <cell r="P123">
            <v>70582.75</v>
          </cell>
          <cell r="Q123">
            <v>72360.929999999993</v>
          </cell>
          <cell r="R123">
            <v>64487.59</v>
          </cell>
          <cell r="S123">
            <v>60427.51</v>
          </cell>
          <cell r="T123">
            <v>55208.82</v>
          </cell>
          <cell r="U123">
            <v>50650.66</v>
          </cell>
          <cell r="V123">
            <v>62275.45</v>
          </cell>
          <cell r="W123">
            <v>63784.19</v>
          </cell>
          <cell r="X123">
            <v>58353.88</v>
          </cell>
          <cell r="Y123">
            <v>54519.18</v>
          </cell>
          <cell r="Z123">
            <v>44839.53</v>
          </cell>
          <cell r="AA123">
            <v>42809.49</v>
          </cell>
          <cell r="AB123">
            <v>75331.37</v>
          </cell>
          <cell r="AC123">
            <v>83546.929999999993</v>
          </cell>
          <cell r="AD123">
            <v>70717.84</v>
          </cell>
          <cell r="AE123">
            <v>62329.65</v>
          </cell>
          <cell r="AF123">
            <v>54443.21</v>
          </cell>
          <cell r="AG123">
            <v>47347.18</v>
          </cell>
          <cell r="AH123">
            <v>52868.31</v>
          </cell>
          <cell r="AJ123">
            <v>73973.929999999993</v>
          </cell>
        </row>
        <row r="124">
          <cell r="J124">
            <v>44283.26</v>
          </cell>
          <cell r="K124">
            <v>41118.22</v>
          </cell>
          <cell r="L124">
            <v>37893.96</v>
          </cell>
          <cell r="M124">
            <v>30451.09</v>
          </cell>
          <cell r="N124">
            <v>33454.61</v>
          </cell>
          <cell r="O124">
            <v>24442.28</v>
          </cell>
          <cell r="P124">
            <v>36609.199999999997</v>
          </cell>
          <cell r="Q124">
            <v>37566.32</v>
          </cell>
          <cell r="R124">
            <v>37338.49</v>
          </cell>
          <cell r="S124">
            <v>32028.15</v>
          </cell>
          <cell r="T124">
            <v>29889.89</v>
          </cell>
          <cell r="U124">
            <v>30608.94</v>
          </cell>
          <cell r="V124">
            <v>34596.15</v>
          </cell>
          <cell r="W124">
            <v>34774.92</v>
          </cell>
          <cell r="X124">
            <v>30484.36</v>
          </cell>
          <cell r="Y124">
            <v>27544.77</v>
          </cell>
          <cell r="Z124">
            <v>23679.8</v>
          </cell>
          <cell r="AA124">
            <v>19334.39</v>
          </cell>
          <cell r="AB124">
            <v>42441.99</v>
          </cell>
          <cell r="AC124">
            <v>45869</v>
          </cell>
          <cell r="AD124">
            <v>42147.42</v>
          </cell>
          <cell r="AE124">
            <v>34954.639999999999</v>
          </cell>
          <cell r="AF124">
            <v>30999.8</v>
          </cell>
          <cell r="AG124">
            <v>30708.48</v>
          </cell>
          <cell r="AH124">
            <v>32027.67</v>
          </cell>
          <cell r="AJ124">
            <v>41118.22</v>
          </cell>
        </row>
        <row r="125">
          <cell r="J125">
            <v>180923.34</v>
          </cell>
          <cell r="K125">
            <v>188158.44</v>
          </cell>
          <cell r="L125">
            <v>160992.12</v>
          </cell>
          <cell r="M125">
            <v>141631.43</v>
          </cell>
          <cell r="N125">
            <v>144993.67000000001</v>
          </cell>
          <cell r="O125">
            <v>128540.24</v>
          </cell>
          <cell r="P125">
            <v>177687.87</v>
          </cell>
          <cell r="Q125">
            <v>175291.92</v>
          </cell>
          <cell r="R125">
            <v>196142.79</v>
          </cell>
          <cell r="S125">
            <v>190339.76</v>
          </cell>
          <cell r="T125">
            <v>172343.11</v>
          </cell>
          <cell r="U125">
            <v>164572.09</v>
          </cell>
          <cell r="V125">
            <v>173731.36</v>
          </cell>
          <cell r="W125">
            <v>166034.85999999999</v>
          </cell>
          <cell r="X125">
            <v>143783.56</v>
          </cell>
          <cell r="Y125">
            <v>130669.18</v>
          </cell>
          <cell r="Z125">
            <v>111957.72</v>
          </cell>
          <cell r="AA125">
            <v>100380.34</v>
          </cell>
          <cell r="AB125">
            <v>200526.3</v>
          </cell>
          <cell r="AC125">
            <v>210714.79</v>
          </cell>
          <cell r="AD125">
            <v>215157.34</v>
          </cell>
          <cell r="AE125">
            <v>205860.07</v>
          </cell>
          <cell r="AF125">
            <v>177595.91</v>
          </cell>
          <cell r="AG125">
            <v>161557.67000000001</v>
          </cell>
          <cell r="AH125">
            <v>154459.68</v>
          </cell>
          <cell r="AJ125">
            <v>188158.44</v>
          </cell>
        </row>
        <row r="126">
          <cell r="J126">
            <v>11030.02</v>
          </cell>
          <cell r="K126">
            <v>11118.17</v>
          </cell>
          <cell r="L126">
            <v>9894.34</v>
          </cell>
          <cell r="M126">
            <v>8751.4500000000007</v>
          </cell>
          <cell r="N126">
            <v>8608.18</v>
          </cell>
          <cell r="O126">
            <v>7641.46</v>
          </cell>
          <cell r="P126">
            <v>11807.11</v>
          </cell>
          <cell r="Q126">
            <v>11413.42</v>
          </cell>
          <cell r="R126">
            <v>11833.85</v>
          </cell>
          <cell r="S126">
            <v>10527.3</v>
          </cell>
          <cell r="T126">
            <v>9774.91</v>
          </cell>
          <cell r="U126">
            <v>10193.030000000001</v>
          </cell>
          <cell r="V126">
            <v>10511.66</v>
          </cell>
          <cell r="W126">
            <v>10514.39</v>
          </cell>
          <cell r="X126">
            <v>9456.23</v>
          </cell>
          <cell r="Y126">
            <v>8721.89</v>
          </cell>
          <cell r="Z126">
            <v>7781.26</v>
          </cell>
          <cell r="AA126">
            <v>7306.67</v>
          </cell>
          <cell r="AB126">
            <v>13587.65</v>
          </cell>
          <cell r="AC126">
            <v>14135.35</v>
          </cell>
          <cell r="AD126">
            <v>13399.81</v>
          </cell>
          <cell r="AE126">
            <v>11614.55</v>
          </cell>
          <cell r="AF126">
            <v>10117.700000000001</v>
          </cell>
          <cell r="AG126">
            <v>10603.02</v>
          </cell>
          <cell r="AH126">
            <v>9688.58</v>
          </cell>
          <cell r="AJ126">
            <v>11118.17</v>
          </cell>
        </row>
        <row r="127"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J127">
            <v>0</v>
          </cell>
        </row>
        <row r="128"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J128">
            <v>0</v>
          </cell>
        </row>
        <row r="129"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J129">
            <v>0</v>
          </cell>
        </row>
        <row r="131">
          <cell r="J131">
            <v>-528463.68999999994</v>
          </cell>
          <cell r="K131">
            <v>-452328.2</v>
          </cell>
          <cell r="L131">
            <v>-558820.05000000005</v>
          </cell>
          <cell r="M131">
            <v>-679004.48</v>
          </cell>
          <cell r="N131">
            <v>-714068.61</v>
          </cell>
          <cell r="O131">
            <v>-887608.31999999995</v>
          </cell>
          <cell r="P131">
            <v>-435494.58</v>
          </cell>
          <cell r="Q131">
            <v>-333315</v>
          </cell>
          <cell r="R131">
            <v>-336380.4</v>
          </cell>
          <cell r="S131">
            <v>-442963.57</v>
          </cell>
          <cell r="T131">
            <v>-470137.79</v>
          </cell>
          <cell r="U131">
            <v>-480164.76</v>
          </cell>
          <cell r="V131">
            <v>-441613.87</v>
          </cell>
          <cell r="W131">
            <v>-364821.78</v>
          </cell>
          <cell r="X131">
            <v>-373323.54</v>
          </cell>
          <cell r="Y131">
            <v>-431898.38</v>
          </cell>
          <cell r="Z131">
            <v>-491134.63</v>
          </cell>
          <cell r="AA131">
            <v>-593400.4</v>
          </cell>
          <cell r="AB131">
            <v>-390455.53</v>
          </cell>
          <cell r="AC131">
            <v>-297957.23</v>
          </cell>
          <cell r="AD131">
            <v>-306352.34999999998</v>
          </cell>
          <cell r="AE131">
            <v>-395053.07</v>
          </cell>
          <cell r="AF131">
            <v>-463791.16</v>
          </cell>
          <cell r="AG131">
            <v>-443064.16</v>
          </cell>
          <cell r="AH131">
            <v>-355216.09</v>
          </cell>
          <cell r="AJ131">
            <v>-452328.2</v>
          </cell>
        </row>
        <row r="132"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-226172.42</v>
          </cell>
          <cell r="Q132">
            <v>-166413.07999999999</v>
          </cell>
          <cell r="R132">
            <v>-148173.87</v>
          </cell>
          <cell r="S132">
            <v>-183733.01</v>
          </cell>
          <cell r="T132">
            <v>-195374.65</v>
          </cell>
          <cell r="U132">
            <v>-201655.05</v>
          </cell>
          <cell r="V132">
            <v>-193128.75</v>
          </cell>
          <cell r="W132">
            <v>-165551.35999999999</v>
          </cell>
          <cell r="X132">
            <v>-188849.39</v>
          </cell>
          <cell r="Y132">
            <v>-229487.87</v>
          </cell>
          <cell r="Z132">
            <v>-263896.46999999997</v>
          </cell>
          <cell r="AA132">
            <v>-324174.74</v>
          </cell>
          <cell r="AB132">
            <v>-199856.05</v>
          </cell>
          <cell r="AC132">
            <v>-149398.16</v>
          </cell>
          <cell r="AD132">
            <v>-138077.4</v>
          </cell>
          <cell r="AE132">
            <v>-164223.79</v>
          </cell>
          <cell r="AF132">
            <v>-191049.1</v>
          </cell>
          <cell r="AG132">
            <v>-184754.72</v>
          </cell>
          <cell r="AH132">
            <v>-153559.71</v>
          </cell>
          <cell r="AJ132">
            <v>0</v>
          </cell>
        </row>
        <row r="133"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-69029.52</v>
          </cell>
          <cell r="Q133">
            <v>-59301.17</v>
          </cell>
          <cell r="R133">
            <v>-64150.3</v>
          </cell>
          <cell r="S133">
            <v>-68619.600000000006</v>
          </cell>
          <cell r="T133">
            <v>-66375.19</v>
          </cell>
          <cell r="U133">
            <v>-66531.520000000004</v>
          </cell>
          <cell r="V133">
            <v>-69965.14</v>
          </cell>
          <cell r="W133">
            <v>-64758.81</v>
          </cell>
          <cell r="X133">
            <v>-62793.69</v>
          </cell>
          <cell r="Y133">
            <v>-68232.600000000006</v>
          </cell>
          <cell r="Z133">
            <v>-73804.789999999994</v>
          </cell>
          <cell r="AA133">
            <v>-83995.36</v>
          </cell>
          <cell r="AB133">
            <v>-61214.02</v>
          </cell>
          <cell r="AC133">
            <v>-55548.54</v>
          </cell>
          <cell r="AD133">
            <v>-55920.22</v>
          </cell>
          <cell r="AE133">
            <v>-62878.9</v>
          </cell>
          <cell r="AF133">
            <v>-64570.19</v>
          </cell>
          <cell r="AG133">
            <v>-63133.41</v>
          </cell>
          <cell r="AH133">
            <v>-57053.38</v>
          </cell>
          <cell r="AJ133">
            <v>0</v>
          </cell>
        </row>
        <row r="134">
          <cell r="J134">
            <v>-416711.7</v>
          </cell>
          <cell r="K134">
            <v>-389360.47</v>
          </cell>
          <cell r="L134">
            <v>-390904.86</v>
          </cell>
          <cell r="M134">
            <v>-441447.77</v>
          </cell>
          <cell r="N134">
            <v>-433085.82</v>
          </cell>
          <cell r="O134">
            <v>-468172.3</v>
          </cell>
          <cell r="P134">
            <v>-359546.48</v>
          </cell>
          <cell r="Q134">
            <v>-320510.61</v>
          </cell>
          <cell r="R134">
            <v>-366600.07</v>
          </cell>
          <cell r="S134">
            <v>-396627.6</v>
          </cell>
          <cell r="T134">
            <v>-385014.08</v>
          </cell>
          <cell r="U134">
            <v>-393192.69</v>
          </cell>
          <cell r="V134">
            <v>-408645.83</v>
          </cell>
          <cell r="W134">
            <v>-376686.83</v>
          </cell>
          <cell r="X134">
            <v>-334766.18</v>
          </cell>
          <cell r="Y134">
            <v>-347127.28</v>
          </cell>
          <cell r="Z134">
            <v>-367785.97</v>
          </cell>
          <cell r="AA134">
            <v>-400150.12</v>
          </cell>
          <cell r="AB134">
            <v>-332747.42</v>
          </cell>
          <cell r="AC134">
            <v>-306473.57</v>
          </cell>
          <cell r="AD134">
            <v>-320012.68</v>
          </cell>
          <cell r="AE134">
            <v>-363660.39</v>
          </cell>
          <cell r="AF134">
            <v>-380278.42</v>
          </cell>
          <cell r="AG134">
            <v>-375524.99</v>
          </cell>
          <cell r="AH134">
            <v>-347569.19</v>
          </cell>
          <cell r="AJ134">
            <v>-389360.47</v>
          </cell>
        </row>
        <row r="135">
          <cell r="J135">
            <v>-333142.57</v>
          </cell>
          <cell r="K135">
            <v>-332026.90999999997</v>
          </cell>
          <cell r="L135">
            <v>-328140.56</v>
          </cell>
          <cell r="M135">
            <v>-352668.57</v>
          </cell>
          <cell r="N135">
            <v>-337296.75</v>
          </cell>
          <cell r="O135">
            <v>-345846.14</v>
          </cell>
          <cell r="P135">
            <v>-352517.15</v>
          </cell>
          <cell r="Q135">
            <v>-344083.3</v>
          </cell>
          <cell r="R135">
            <v>-360294.84</v>
          </cell>
          <cell r="S135">
            <v>-362952.72</v>
          </cell>
          <cell r="T135">
            <v>-339127.73</v>
          </cell>
          <cell r="U135">
            <v>-345077.22</v>
          </cell>
          <cell r="V135">
            <v>-378246.38</v>
          </cell>
          <cell r="W135">
            <v>-378416.42</v>
          </cell>
          <cell r="X135">
            <v>-342650.89</v>
          </cell>
          <cell r="Y135">
            <v>-343025.47</v>
          </cell>
          <cell r="Z135">
            <v>-344243.71</v>
          </cell>
          <cell r="AA135">
            <v>-355099.88</v>
          </cell>
          <cell r="AB135">
            <v>-318605.98</v>
          </cell>
          <cell r="AC135">
            <v>-321070.75</v>
          </cell>
          <cell r="AD135">
            <v>-326960.7</v>
          </cell>
          <cell r="AE135">
            <v>-338800.52</v>
          </cell>
          <cell r="AF135">
            <v>-329260.26</v>
          </cell>
          <cell r="AG135">
            <v>-337742.1</v>
          </cell>
          <cell r="AH135">
            <v>-340169.48</v>
          </cell>
          <cell r="AJ135">
            <v>-332026.90999999997</v>
          </cell>
        </row>
        <row r="136">
          <cell r="J136">
            <v>-40210.910000000003</v>
          </cell>
          <cell r="K136">
            <v>-40574.97</v>
          </cell>
          <cell r="L136">
            <v>-41900.83</v>
          </cell>
          <cell r="M136">
            <v>-46920.74</v>
          </cell>
          <cell r="N136">
            <v>-44710.13</v>
          </cell>
          <cell r="O136">
            <v>-46554.65</v>
          </cell>
          <cell r="P136">
            <v>-45116.95</v>
          </cell>
          <cell r="Q136">
            <v>-43066.81</v>
          </cell>
          <cell r="R136">
            <v>-40514.839999999997</v>
          </cell>
          <cell r="S136">
            <v>-42768.52</v>
          </cell>
          <cell r="T136">
            <v>-39186.949999999997</v>
          </cell>
          <cell r="U136">
            <v>-36952.32</v>
          </cell>
          <cell r="V136">
            <v>-47277.34</v>
          </cell>
          <cell r="W136">
            <v>-47391.69</v>
          </cell>
          <cell r="X136">
            <v>-44441.57</v>
          </cell>
          <cell r="Y136">
            <v>-47389.99</v>
          </cell>
          <cell r="Z136">
            <v>-47024.13</v>
          </cell>
          <cell r="AA136">
            <v>-52386.93</v>
          </cell>
          <cell r="AB136">
            <v>-39986.71</v>
          </cell>
          <cell r="AC136">
            <v>-39411.69</v>
          </cell>
          <cell r="AD136">
            <v>-35539.040000000001</v>
          </cell>
          <cell r="AE136">
            <v>-37718.82</v>
          </cell>
          <cell r="AF136">
            <v>-36914.31</v>
          </cell>
          <cell r="AG136">
            <v>-33658.92</v>
          </cell>
          <cell r="AH136">
            <v>-37309.279999999999</v>
          </cell>
          <cell r="AJ136">
            <v>-40574.97</v>
          </cell>
        </row>
        <row r="137">
          <cell r="J137">
            <v>-25598.39</v>
          </cell>
          <cell r="K137">
            <v>-22553.49</v>
          </cell>
          <cell r="L137">
            <v>-23801.31</v>
          </cell>
          <cell r="M137">
            <v>-24014.83</v>
          </cell>
          <cell r="N137">
            <v>-25798.6</v>
          </cell>
          <cell r="O137">
            <v>-22525.71</v>
          </cell>
          <cell r="P137">
            <v>-23400.84</v>
          </cell>
          <cell r="Q137">
            <v>-22358.22</v>
          </cell>
          <cell r="R137">
            <v>-23458.2</v>
          </cell>
          <cell r="S137">
            <v>-22668.42</v>
          </cell>
          <cell r="T137">
            <v>-21215.7</v>
          </cell>
          <cell r="U137">
            <v>-22330.84</v>
          </cell>
          <cell r="V137">
            <v>-26264.19</v>
          </cell>
          <cell r="W137">
            <v>-25837.78</v>
          </cell>
          <cell r="X137">
            <v>-23216.5</v>
          </cell>
          <cell r="Y137">
            <v>-23942.89</v>
          </cell>
          <cell r="Z137">
            <v>-24833.49</v>
          </cell>
          <cell r="AA137">
            <v>-23659.919999999998</v>
          </cell>
          <cell r="AB137">
            <v>-22528.67</v>
          </cell>
          <cell r="AC137">
            <v>-21637.84</v>
          </cell>
          <cell r="AD137">
            <v>-21181.06</v>
          </cell>
          <cell r="AE137">
            <v>-21152.82</v>
          </cell>
          <cell r="AF137">
            <v>-21018.9</v>
          </cell>
          <cell r="AG137">
            <v>-21830.53</v>
          </cell>
          <cell r="AH137">
            <v>-22602</v>
          </cell>
          <cell r="AJ137">
            <v>-22553.49</v>
          </cell>
        </row>
        <row r="138">
          <cell r="J138">
            <v>-104584.59</v>
          </cell>
          <cell r="K138">
            <v>-103205.58</v>
          </cell>
          <cell r="L138">
            <v>-101119.64</v>
          </cell>
          <cell r="M138">
            <v>-111695.67999999999</v>
          </cell>
          <cell r="N138">
            <v>-111812.23</v>
          </cell>
          <cell r="O138">
            <v>-118461.1</v>
          </cell>
          <cell r="P138">
            <v>-113579.23</v>
          </cell>
          <cell r="Q138">
            <v>-104327.9</v>
          </cell>
          <cell r="R138">
            <v>-123228.26</v>
          </cell>
          <cell r="S138">
            <v>-134715.95000000001</v>
          </cell>
          <cell r="T138">
            <v>-122328.3</v>
          </cell>
          <cell r="U138">
            <v>-120064.01</v>
          </cell>
          <cell r="V138">
            <v>-131890.78</v>
          </cell>
          <cell r="W138">
            <v>-123363.99</v>
          </cell>
          <cell r="X138">
            <v>-109503.72</v>
          </cell>
          <cell r="Y138">
            <v>-113582.25</v>
          </cell>
          <cell r="Z138">
            <v>-117412.34</v>
          </cell>
          <cell r="AA138">
            <v>-122837.68</v>
          </cell>
          <cell r="AB138">
            <v>-106441.54</v>
          </cell>
          <cell r="AC138">
            <v>-99400.74</v>
          </cell>
          <cell r="AD138">
            <v>-108126.69</v>
          </cell>
          <cell r="AE138">
            <v>-124576.33</v>
          </cell>
          <cell r="AF138">
            <v>-120415.95</v>
          </cell>
          <cell r="AG138">
            <v>-114850.69</v>
          </cell>
          <cell r="AH138">
            <v>-109002.52</v>
          </cell>
          <cell r="AJ138">
            <v>-103205.58</v>
          </cell>
        </row>
        <row r="139">
          <cell r="J139">
            <v>-6376.02</v>
          </cell>
          <cell r="K139">
            <v>-6098.35</v>
          </cell>
          <cell r="L139">
            <v>-6214.66</v>
          </cell>
          <cell r="M139">
            <v>-6901.71</v>
          </cell>
          <cell r="N139">
            <v>-6638.22</v>
          </cell>
          <cell r="O139">
            <v>-7042.27</v>
          </cell>
          <cell r="P139">
            <v>-7547.18</v>
          </cell>
          <cell r="Q139">
            <v>-6792.89</v>
          </cell>
          <cell r="R139">
            <v>-7434.71</v>
          </cell>
          <cell r="S139">
            <v>-7450.86</v>
          </cell>
          <cell r="T139">
            <v>-6938.19</v>
          </cell>
          <cell r="U139">
            <v>-7436.36</v>
          </cell>
          <cell r="V139">
            <v>-7980.08</v>
          </cell>
          <cell r="W139">
            <v>-7812.2</v>
          </cell>
          <cell r="X139">
            <v>-7201.75</v>
          </cell>
          <cell r="Y139">
            <v>-7581.37</v>
          </cell>
          <cell r="Z139">
            <v>-8160.36</v>
          </cell>
          <cell r="AA139">
            <v>-8941.33</v>
          </cell>
          <cell r="AB139">
            <v>-7212.47</v>
          </cell>
          <cell r="AC139">
            <v>-6668.09</v>
          </cell>
          <cell r="AD139">
            <v>-6734.04</v>
          </cell>
          <cell r="AE139">
            <v>-7028.55</v>
          </cell>
          <cell r="AF139">
            <v>-6860.14</v>
          </cell>
          <cell r="AG139">
            <v>-7537.65</v>
          </cell>
          <cell r="AH139">
            <v>-6837.25</v>
          </cell>
          <cell r="AJ139">
            <v>-6098.35</v>
          </cell>
        </row>
        <row r="140"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J140">
            <v>0</v>
          </cell>
        </row>
        <row r="141"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J141">
            <v>0</v>
          </cell>
        </row>
        <row r="142"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J142">
            <v>0</v>
          </cell>
        </row>
        <row r="144"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J144">
            <v>0</v>
          </cell>
        </row>
        <row r="145"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J145">
            <v>0</v>
          </cell>
        </row>
        <row r="146"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J146">
            <v>0</v>
          </cell>
        </row>
        <row r="147"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J147">
            <v>0</v>
          </cell>
        </row>
        <row r="148"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J148">
            <v>0</v>
          </cell>
        </row>
        <row r="149"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J149">
            <v>0</v>
          </cell>
        </row>
        <row r="150"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J150">
            <v>0</v>
          </cell>
        </row>
        <row r="151"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J151">
            <v>0</v>
          </cell>
        </row>
        <row r="152"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J152">
            <v>0</v>
          </cell>
        </row>
        <row r="153"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J153">
            <v>0</v>
          </cell>
        </row>
        <row r="154"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J154">
            <v>0</v>
          </cell>
        </row>
        <row r="155"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J155">
            <v>0</v>
          </cell>
        </row>
        <row r="157">
          <cell r="J157">
            <v>-103140.85</v>
          </cell>
          <cell r="K157">
            <v>-90019.6</v>
          </cell>
          <cell r="L157">
            <v>-98569.62</v>
          </cell>
          <cell r="M157">
            <v>-116234.25</v>
          </cell>
          <cell r="N157">
            <v>-120866.56</v>
          </cell>
          <cell r="O157">
            <v>-147140.07999999999</v>
          </cell>
          <cell r="P157">
            <v>-71039.08</v>
          </cell>
          <cell r="Q157">
            <v>-54012.480000000003</v>
          </cell>
          <cell r="R157">
            <v>-45446.53</v>
          </cell>
          <cell r="S157">
            <v>-58047.040000000001</v>
          </cell>
          <cell r="T157">
            <v>-75437.77</v>
          </cell>
          <cell r="U157">
            <v>-81181.460000000006</v>
          </cell>
          <cell r="V157">
            <v>-64387.11</v>
          </cell>
          <cell r="W157">
            <v>-48742.69</v>
          </cell>
          <cell r="X157">
            <v>-49838.43</v>
          </cell>
          <cell r="Y157">
            <v>-60069.84</v>
          </cell>
          <cell r="Z157">
            <v>-65618.58</v>
          </cell>
          <cell r="AA157">
            <v>-85593.02</v>
          </cell>
          <cell r="AB157">
            <v>-52023.49</v>
          </cell>
          <cell r="AC157">
            <v>-36248.43</v>
          </cell>
          <cell r="AD157">
            <v>-35952.379999999997</v>
          </cell>
          <cell r="AE157">
            <v>-41852.879999999997</v>
          </cell>
          <cell r="AF157">
            <v>-57441.31</v>
          </cell>
          <cell r="AG157">
            <v>-60255.519999999997</v>
          </cell>
          <cell r="AH157">
            <v>-46714.8</v>
          </cell>
          <cell r="AJ157">
            <v>-90019.6</v>
          </cell>
        </row>
        <row r="158"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-37506.32</v>
          </cell>
          <cell r="Q158">
            <v>-28677.279999999999</v>
          </cell>
          <cell r="R158">
            <v>-20543.59</v>
          </cell>
          <cell r="S158">
            <v>-23907.06</v>
          </cell>
          <cell r="T158">
            <v>-31136.21</v>
          </cell>
          <cell r="U158">
            <v>-33549.22</v>
          </cell>
          <cell r="V158">
            <v>-27666.04</v>
          </cell>
          <cell r="W158">
            <v>-20649.73</v>
          </cell>
          <cell r="X158">
            <v>-24682.93</v>
          </cell>
          <cell r="Y158">
            <v>-31881.37</v>
          </cell>
          <cell r="Z158">
            <v>-34991.31</v>
          </cell>
          <cell r="AA158">
            <v>-47533.52</v>
          </cell>
          <cell r="AB158">
            <v>-27001.68</v>
          </cell>
          <cell r="AC158">
            <v>-19573.28</v>
          </cell>
          <cell r="AD158">
            <v>-17041.95</v>
          </cell>
          <cell r="AE158">
            <v>-17364.61</v>
          </cell>
          <cell r="AF158">
            <v>-23497.08</v>
          </cell>
          <cell r="AG158">
            <v>-24686.03</v>
          </cell>
          <cell r="AH158">
            <v>-19813.2</v>
          </cell>
          <cell r="AJ158">
            <v>0</v>
          </cell>
        </row>
        <row r="159"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-10598.5</v>
          </cell>
          <cell r="Q159">
            <v>-9392.2900000000009</v>
          </cell>
          <cell r="R159">
            <v>-9804.14</v>
          </cell>
          <cell r="S159">
            <v>-9469.9599999999991</v>
          </cell>
          <cell r="T159">
            <v>-10723.09</v>
          </cell>
          <cell r="U159">
            <v>-10465.61</v>
          </cell>
          <cell r="V159">
            <v>-9944.6</v>
          </cell>
          <cell r="W159">
            <v>-8965.7999999999993</v>
          </cell>
          <cell r="X159">
            <v>-8704.41</v>
          </cell>
          <cell r="Y159">
            <v>-9627.81</v>
          </cell>
          <cell r="Z159">
            <v>-10133.23</v>
          </cell>
          <cell r="AA159">
            <v>-11611.28</v>
          </cell>
          <cell r="AB159">
            <v>-7414.81</v>
          </cell>
          <cell r="AC159">
            <v>-6925.97</v>
          </cell>
          <cell r="AD159">
            <v>-7266.07</v>
          </cell>
          <cell r="AE159">
            <v>-7300.52</v>
          </cell>
          <cell r="AF159">
            <v>-7866.17</v>
          </cell>
          <cell r="AG159">
            <v>-8007.41</v>
          </cell>
          <cell r="AH159">
            <v>-7365.23</v>
          </cell>
          <cell r="AJ159">
            <v>0</v>
          </cell>
        </row>
        <row r="160">
          <cell r="J160">
            <v>-79905.16</v>
          </cell>
          <cell r="K160">
            <v>-75248.95</v>
          </cell>
          <cell r="L160">
            <v>-68684.87</v>
          </cell>
          <cell r="M160">
            <v>-75554.899999999994</v>
          </cell>
          <cell r="N160">
            <v>-74796.33</v>
          </cell>
          <cell r="O160">
            <v>-69946.36</v>
          </cell>
          <cell r="P160">
            <v>-53293.17</v>
          </cell>
          <cell r="Q160">
            <v>-49827.74</v>
          </cell>
          <cell r="R160">
            <v>-55852.78</v>
          </cell>
          <cell r="S160">
            <v>-54711.35</v>
          </cell>
          <cell r="T160">
            <v>-61063.199999999997</v>
          </cell>
          <cell r="U160">
            <v>-62957.49</v>
          </cell>
          <cell r="V160">
            <v>-57696.74</v>
          </cell>
          <cell r="W160">
            <v>-54747.24</v>
          </cell>
          <cell r="X160">
            <v>-47319.01</v>
          </cell>
          <cell r="Y160">
            <v>-49381.79</v>
          </cell>
          <cell r="Z160">
            <v>-51086.65</v>
          </cell>
          <cell r="AA160">
            <v>-53738.6</v>
          </cell>
          <cell r="AB160">
            <v>-39034.94</v>
          </cell>
          <cell r="AC160">
            <v>-37688.449999999997</v>
          </cell>
          <cell r="AD160">
            <v>-41605.01</v>
          </cell>
          <cell r="AE160">
            <v>-41807.01</v>
          </cell>
          <cell r="AF160">
            <v>-45494.53</v>
          </cell>
          <cell r="AG160">
            <v>-47859.58</v>
          </cell>
          <cell r="AH160">
            <v>-44870.1</v>
          </cell>
          <cell r="AJ160">
            <v>-75248.95</v>
          </cell>
        </row>
        <row r="161">
          <cell r="J161">
            <v>-60378.38</v>
          </cell>
          <cell r="K161">
            <v>-59168.44</v>
          </cell>
          <cell r="L161">
            <v>-53391.86</v>
          </cell>
          <cell r="M161">
            <v>-56833.53</v>
          </cell>
          <cell r="N161">
            <v>-52688.74</v>
          </cell>
          <cell r="O161">
            <v>-52755.49</v>
          </cell>
          <cell r="P161">
            <v>-52663.73</v>
          </cell>
          <cell r="Q161">
            <v>-57620.46</v>
          </cell>
          <cell r="R161">
            <v>-58913.95</v>
          </cell>
          <cell r="S161">
            <v>-53632.29</v>
          </cell>
          <cell r="T161">
            <v>-55734.080000000002</v>
          </cell>
          <cell r="U161">
            <v>-52777.38</v>
          </cell>
          <cell r="V161">
            <v>-55038.44</v>
          </cell>
          <cell r="W161">
            <v>-58851.54</v>
          </cell>
          <cell r="X161">
            <v>-51093.38</v>
          </cell>
          <cell r="Y161">
            <v>-50857.55</v>
          </cell>
          <cell r="Z161">
            <v>-51752.15</v>
          </cell>
          <cell r="AA161">
            <v>-45402.8</v>
          </cell>
          <cell r="AB161">
            <v>-36881.49</v>
          </cell>
          <cell r="AC161">
            <v>-40033.49</v>
          </cell>
          <cell r="AD161">
            <v>-43824.72</v>
          </cell>
          <cell r="AE161">
            <v>-39828.639999999999</v>
          </cell>
          <cell r="AF161">
            <v>-40349.449999999997</v>
          </cell>
          <cell r="AG161">
            <v>-39661.93</v>
          </cell>
          <cell r="AH161">
            <v>-42311.27</v>
          </cell>
          <cell r="AJ161">
            <v>-59168.44</v>
          </cell>
        </row>
        <row r="162">
          <cell r="J162">
            <v>-7957.21</v>
          </cell>
          <cell r="K162">
            <v>-8144.29</v>
          </cell>
          <cell r="L162">
            <v>-7401.06</v>
          </cell>
          <cell r="M162">
            <v>-7912.13</v>
          </cell>
          <cell r="N162">
            <v>-7530.01</v>
          </cell>
          <cell r="O162">
            <v>-7405.78</v>
          </cell>
          <cell r="P162">
            <v>-6370.38</v>
          </cell>
          <cell r="Q162">
            <v>-7462.06</v>
          </cell>
          <cell r="R162">
            <v>-6678.84</v>
          </cell>
          <cell r="S162">
            <v>-5573.38</v>
          </cell>
          <cell r="T162">
            <v>-6739.54</v>
          </cell>
          <cell r="U162">
            <v>-4944.66</v>
          </cell>
          <cell r="V162">
            <v>-6546.06</v>
          </cell>
          <cell r="W162">
            <v>-6556.37</v>
          </cell>
          <cell r="X162">
            <v>-6372.72</v>
          </cell>
          <cell r="Y162">
            <v>-6994.02</v>
          </cell>
          <cell r="Z162">
            <v>-6636.89</v>
          </cell>
          <cell r="AA162">
            <v>-6794.72</v>
          </cell>
          <cell r="AB162">
            <v>-4399.5200000000004</v>
          </cell>
          <cell r="AC162">
            <v>-5289.45</v>
          </cell>
          <cell r="AD162">
            <v>-5025.33</v>
          </cell>
          <cell r="AE162">
            <v>-4258.1899999999996</v>
          </cell>
          <cell r="AF162">
            <v>-4791.66</v>
          </cell>
          <cell r="AG162">
            <v>-3508.03</v>
          </cell>
          <cell r="AH162">
            <v>-4891.57</v>
          </cell>
          <cell r="AJ162">
            <v>-8144.29</v>
          </cell>
        </row>
        <row r="163">
          <cell r="J163">
            <v>-5305.73</v>
          </cell>
          <cell r="K163">
            <v>-4476.16</v>
          </cell>
          <cell r="L163">
            <v>-4541.01</v>
          </cell>
          <cell r="M163">
            <v>-3832.61</v>
          </cell>
          <cell r="N163">
            <v>-4949.33</v>
          </cell>
          <cell r="O163">
            <v>-3829.81</v>
          </cell>
          <cell r="P163">
            <v>-3531.94</v>
          </cell>
          <cell r="Q163">
            <v>-3628.09</v>
          </cell>
          <cell r="R163">
            <v>-3813.42</v>
          </cell>
          <cell r="S163">
            <v>-3098.32</v>
          </cell>
          <cell r="T163">
            <v>-3342.2</v>
          </cell>
          <cell r="U163">
            <v>-3341.88</v>
          </cell>
          <cell r="V163">
            <v>-3373.91</v>
          </cell>
          <cell r="W163">
            <v>-3705.87</v>
          </cell>
          <cell r="X163">
            <v>-3261.38</v>
          </cell>
          <cell r="Y163">
            <v>-3677.08</v>
          </cell>
          <cell r="Z163">
            <v>-3383.49</v>
          </cell>
          <cell r="AA163">
            <v>-3184.4</v>
          </cell>
          <cell r="AB163">
            <v>-2778.29</v>
          </cell>
          <cell r="AC163">
            <v>-2761.2</v>
          </cell>
          <cell r="AD163">
            <v>-3034.85</v>
          </cell>
          <cell r="AE163">
            <v>-2388.3000000000002</v>
          </cell>
          <cell r="AF163">
            <v>-2488.25</v>
          </cell>
          <cell r="AG163">
            <v>-2549.56</v>
          </cell>
          <cell r="AH163">
            <v>-2692.52</v>
          </cell>
          <cell r="AJ163">
            <v>-4476.16</v>
          </cell>
        </row>
        <row r="164">
          <cell r="J164">
            <v>-20083.22</v>
          </cell>
          <cell r="K164">
            <v>-20008.009999999998</v>
          </cell>
          <cell r="L164">
            <v>-17758.419999999998</v>
          </cell>
          <cell r="M164">
            <v>-18989.62</v>
          </cell>
          <cell r="N164">
            <v>-18884.54</v>
          </cell>
          <cell r="O164">
            <v>-19965.96</v>
          </cell>
          <cell r="P164">
            <v>-16824.2</v>
          </cell>
          <cell r="Q164">
            <v>-15770.51</v>
          </cell>
          <cell r="R164">
            <v>-18374.09</v>
          </cell>
          <cell r="S164">
            <v>-19686.23</v>
          </cell>
          <cell r="T164">
            <v>-19279.150000000001</v>
          </cell>
          <cell r="U164">
            <v>-19319.72</v>
          </cell>
          <cell r="V164">
            <v>-18190.59</v>
          </cell>
          <cell r="W164">
            <v>-17950.849999999999</v>
          </cell>
          <cell r="X164">
            <v>-15386.09</v>
          </cell>
          <cell r="Y164">
            <v>-16369.31</v>
          </cell>
          <cell r="Z164">
            <v>-16832.63</v>
          </cell>
          <cell r="AA164">
            <v>-16089.84</v>
          </cell>
          <cell r="AB164">
            <v>-12626.49</v>
          </cell>
          <cell r="AC164">
            <v>-11598.28</v>
          </cell>
          <cell r="AD164">
            <v>-13829.69</v>
          </cell>
          <cell r="AE164">
            <v>-15346.03</v>
          </cell>
          <cell r="AF164">
            <v>-14203.65</v>
          </cell>
          <cell r="AG164">
            <v>-14953.29</v>
          </cell>
          <cell r="AH164">
            <v>-13439.73</v>
          </cell>
          <cell r="AJ164">
            <v>-20008.009999999998</v>
          </cell>
        </row>
        <row r="165">
          <cell r="J165">
            <v>-1222.1400000000001</v>
          </cell>
          <cell r="K165">
            <v>-1205.95</v>
          </cell>
          <cell r="L165">
            <v>-1088.42</v>
          </cell>
          <cell r="M165">
            <v>-1189.6600000000001</v>
          </cell>
          <cell r="N165">
            <v>-1147.28</v>
          </cell>
          <cell r="O165">
            <v>-1067.96</v>
          </cell>
          <cell r="P165">
            <v>-1133.21</v>
          </cell>
          <cell r="Q165">
            <v>-1075.49</v>
          </cell>
          <cell r="R165">
            <v>-1164.6400000000001</v>
          </cell>
          <cell r="S165">
            <v>-1049.57</v>
          </cell>
          <cell r="T165">
            <v>-1076.6199999999999</v>
          </cell>
          <cell r="U165">
            <v>-1171.48</v>
          </cell>
          <cell r="V165">
            <v>-1102.3900000000001</v>
          </cell>
          <cell r="W165">
            <v>-1101.3800000000001</v>
          </cell>
          <cell r="X165">
            <v>-1032.73</v>
          </cell>
          <cell r="Y165">
            <v>-1063.6300000000001</v>
          </cell>
          <cell r="Z165">
            <v>-1132.17</v>
          </cell>
          <cell r="AA165">
            <v>-1219.05</v>
          </cell>
          <cell r="AB165">
            <v>-862.83</v>
          </cell>
          <cell r="AC165">
            <v>-834.62</v>
          </cell>
          <cell r="AD165">
            <v>-916.78</v>
          </cell>
          <cell r="AE165">
            <v>-837.3</v>
          </cell>
          <cell r="AF165">
            <v>-770.09</v>
          </cell>
          <cell r="AG165">
            <v>-966.7</v>
          </cell>
          <cell r="AH165">
            <v>-855.88</v>
          </cell>
          <cell r="AJ165">
            <v>-1205.95</v>
          </cell>
        </row>
        <row r="166"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J166">
            <v>0</v>
          </cell>
        </row>
        <row r="167"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J167">
            <v>0</v>
          </cell>
        </row>
        <row r="168"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J168">
            <v>0</v>
          </cell>
        </row>
        <row r="170">
          <cell r="J170">
            <v>23121699.089999992</v>
          </cell>
          <cell r="K170">
            <v>19441920.659999996</v>
          </cell>
          <cell r="L170">
            <v>23739543.969999999</v>
          </cell>
          <cell r="M170">
            <v>25867345.999999996</v>
          </cell>
          <cell r="N170">
            <v>29467193.240000002</v>
          </cell>
          <cell r="O170">
            <v>34725724.880000003</v>
          </cell>
          <cell r="P170">
            <v>16552651.890000001</v>
          </cell>
          <cell r="Q170">
            <v>13023557.59</v>
          </cell>
          <cell r="R170">
            <v>12832951.08</v>
          </cell>
          <cell r="S170">
            <v>18184412.57</v>
          </cell>
          <cell r="T170">
            <v>19114647.600000001</v>
          </cell>
          <cell r="U170">
            <v>19387020.339999992</v>
          </cell>
          <cell r="V170">
            <v>14208586.760000002</v>
          </cell>
          <cell r="W170">
            <v>11566044.800000003</v>
          </cell>
          <cell r="X170">
            <v>13388114.300000003</v>
          </cell>
          <cell r="Y170">
            <v>15181125.819999997</v>
          </cell>
          <cell r="Z170">
            <v>16680712.439999998</v>
          </cell>
          <cell r="AA170">
            <v>19081695.280000001</v>
          </cell>
          <cell r="AB170">
            <v>14902619.4</v>
          </cell>
          <cell r="AC170">
            <v>11268616.27</v>
          </cell>
          <cell r="AD170">
            <v>11646112.510000002</v>
          </cell>
          <cell r="AE170">
            <v>15212528.77</v>
          </cell>
          <cell r="AF170">
            <v>17598417.469999999</v>
          </cell>
          <cell r="AG170">
            <v>16698081.120000001</v>
          </cell>
          <cell r="AH170">
            <v>13347568.710000001</v>
          </cell>
          <cell r="AJ170">
            <v>19441920.659999996</v>
          </cell>
        </row>
        <row r="171"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8765590.6999999993</v>
          </cell>
          <cell r="Q171">
            <v>6617874.0299999993</v>
          </cell>
          <cell r="R171">
            <v>5697108.2300000004</v>
          </cell>
          <cell r="S171">
            <v>7561886.7100000009</v>
          </cell>
          <cell r="T171">
            <v>7956582.2899999991</v>
          </cell>
          <cell r="U171">
            <v>8159870.0800000019</v>
          </cell>
          <cell r="V171">
            <v>6239529.0099999998</v>
          </cell>
          <cell r="W171">
            <v>5298028.68</v>
          </cell>
          <cell r="X171">
            <v>6909235.2700000014</v>
          </cell>
          <cell r="Y171">
            <v>8261500.7299999986</v>
          </cell>
          <cell r="Z171">
            <v>9174045.3299999982</v>
          </cell>
          <cell r="AA171">
            <v>10655488.980000002</v>
          </cell>
          <cell r="AB171">
            <v>7785103.7800000003</v>
          </cell>
          <cell r="AC171">
            <v>5752188.6499999985</v>
          </cell>
          <cell r="AD171">
            <v>5307237.6500000004</v>
          </cell>
          <cell r="AE171">
            <v>6362870.6099999994</v>
          </cell>
          <cell r="AF171">
            <v>7291937.21</v>
          </cell>
          <cell r="AG171">
            <v>7003354.0199999996</v>
          </cell>
          <cell r="AH171">
            <v>5812305.0500000007</v>
          </cell>
          <cell r="AJ171">
            <v>0</v>
          </cell>
        </row>
        <row r="172"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2502775.4500000002</v>
          </cell>
          <cell r="Q172">
            <v>2227054.39</v>
          </cell>
          <cell r="R172">
            <v>2356701.8199999998</v>
          </cell>
          <cell r="S172">
            <v>2706600.69</v>
          </cell>
          <cell r="T172">
            <v>2591459.9</v>
          </cell>
          <cell r="U172">
            <v>2577954.7200000002</v>
          </cell>
          <cell r="V172">
            <v>2177425.16</v>
          </cell>
          <cell r="W172">
            <v>1971220.31</v>
          </cell>
          <cell r="X172">
            <v>2148090.0699999998</v>
          </cell>
          <cell r="Y172">
            <v>2267147.87</v>
          </cell>
          <cell r="Z172">
            <v>2369016.62</v>
          </cell>
          <cell r="AA172">
            <v>2558973.16</v>
          </cell>
          <cell r="AB172">
            <v>2226866.04</v>
          </cell>
          <cell r="AC172">
            <v>2016405.27</v>
          </cell>
          <cell r="AD172">
            <v>2047709.34</v>
          </cell>
          <cell r="AE172">
            <v>2326530.4700000002</v>
          </cell>
          <cell r="AF172">
            <v>2351385.77</v>
          </cell>
          <cell r="AG172">
            <v>2277872.91</v>
          </cell>
          <cell r="AH172">
            <v>2061675.59</v>
          </cell>
          <cell r="AJ172">
            <v>0</v>
          </cell>
        </row>
        <row r="173">
          <cell r="J173">
            <v>18837242.680000003</v>
          </cell>
          <cell r="K173">
            <v>16949647.720000003</v>
          </cell>
          <cell r="L173">
            <v>16507728.340000002</v>
          </cell>
          <cell r="M173">
            <v>16686696.65</v>
          </cell>
          <cell r="N173">
            <v>17741014.390000001</v>
          </cell>
          <cell r="O173">
            <v>18424935</v>
          </cell>
          <cell r="P173">
            <v>13748218.759999998</v>
          </cell>
          <cell r="Q173">
            <v>12788009.390000001</v>
          </cell>
          <cell r="R173">
            <v>14410445.190000001</v>
          </cell>
          <cell r="S173">
            <v>16766103.459999999</v>
          </cell>
          <cell r="T173">
            <v>16035641.890000001</v>
          </cell>
          <cell r="U173">
            <v>16323202.34</v>
          </cell>
          <cell r="V173">
            <v>13620233.329999998</v>
          </cell>
          <cell r="W173">
            <v>12370348.969999999</v>
          </cell>
          <cell r="X173">
            <v>12213092.84</v>
          </cell>
          <cell r="Y173">
            <v>12260649.920000002</v>
          </cell>
          <cell r="Z173">
            <v>12506954.120000001</v>
          </cell>
          <cell r="AA173">
            <v>13005635.330000002</v>
          </cell>
          <cell r="AB173">
            <v>12869112.990000002</v>
          </cell>
          <cell r="AC173">
            <v>11889107.130000001</v>
          </cell>
          <cell r="AD173">
            <v>12566378.09</v>
          </cell>
          <cell r="AE173">
            <v>14454566.779999999</v>
          </cell>
          <cell r="AF173">
            <v>14826679.73</v>
          </cell>
          <cell r="AG173">
            <v>14590107.020000001</v>
          </cell>
          <cell r="AH173">
            <v>13453537.700000001</v>
          </cell>
          <cell r="AJ173">
            <v>16949647.720000003</v>
          </cell>
        </row>
        <row r="174">
          <cell r="J174">
            <v>17529008.829999998</v>
          </cell>
          <cell r="K174">
            <v>16950657.98</v>
          </cell>
          <cell r="L174">
            <v>15988981.9</v>
          </cell>
          <cell r="M174">
            <v>15758997.17</v>
          </cell>
          <cell r="N174">
            <v>16082932.810000002</v>
          </cell>
          <cell r="O174">
            <v>15570040.59</v>
          </cell>
          <cell r="P174">
            <v>16319519.220000001</v>
          </cell>
          <cell r="Q174">
            <v>16578289.009999998</v>
          </cell>
          <cell r="R174">
            <v>17533585.250000004</v>
          </cell>
          <cell r="S174">
            <v>18933340.280000001</v>
          </cell>
          <cell r="T174">
            <v>16896136.930000003</v>
          </cell>
          <cell r="U174">
            <v>16974030.360000003</v>
          </cell>
          <cell r="V174">
            <v>15760500.34</v>
          </cell>
          <cell r="W174">
            <v>15844909.110000001</v>
          </cell>
          <cell r="X174">
            <v>15360579.309999999</v>
          </cell>
          <cell r="Y174">
            <v>14835621.149999999</v>
          </cell>
          <cell r="Z174">
            <v>14379233.809999999</v>
          </cell>
          <cell r="AA174">
            <v>14031885.729999999</v>
          </cell>
          <cell r="AB174">
            <v>14631662.499999998</v>
          </cell>
          <cell r="AC174">
            <v>14832115.319999998</v>
          </cell>
          <cell r="AD174">
            <v>15325915.130000001</v>
          </cell>
          <cell r="AE174">
            <v>15970657.799999999</v>
          </cell>
          <cell r="AF174">
            <v>15311303.23</v>
          </cell>
          <cell r="AG174">
            <v>15264739.050000001</v>
          </cell>
          <cell r="AH174">
            <v>15500114.25</v>
          </cell>
          <cell r="AJ174">
            <v>16950657.98</v>
          </cell>
        </row>
        <row r="175">
          <cell r="J175">
            <v>1916774.9100000001</v>
          </cell>
          <cell r="K175">
            <v>1890613.58</v>
          </cell>
          <cell r="L175">
            <v>1955003.38</v>
          </cell>
          <cell r="M175">
            <v>1993100.39</v>
          </cell>
          <cell r="N175">
            <v>2031364.61</v>
          </cell>
          <cell r="O175">
            <v>2021278.72</v>
          </cell>
          <cell r="P175">
            <v>1867140.39</v>
          </cell>
          <cell r="Q175">
            <v>1870386.42</v>
          </cell>
          <cell r="R175">
            <v>1755339.68</v>
          </cell>
          <cell r="S175">
            <v>1908190.71</v>
          </cell>
          <cell r="T175">
            <v>1735911.09</v>
          </cell>
          <cell r="U175">
            <v>1600616.48</v>
          </cell>
          <cell r="V175">
            <v>1675291.57</v>
          </cell>
          <cell r="W175">
            <v>1656483.36</v>
          </cell>
          <cell r="X175">
            <v>1783025.82</v>
          </cell>
          <cell r="Y175">
            <v>1862132.49</v>
          </cell>
          <cell r="Z175">
            <v>1780109.78</v>
          </cell>
          <cell r="AA175">
            <v>1858592.06</v>
          </cell>
          <cell r="AB175">
            <v>1685175.18</v>
          </cell>
          <cell r="AC175">
            <v>1668712.52</v>
          </cell>
          <cell r="AD175">
            <v>1535452.46</v>
          </cell>
          <cell r="AE175">
            <v>1598028.25</v>
          </cell>
          <cell r="AF175">
            <v>1545247.46</v>
          </cell>
          <cell r="AG175">
            <v>1376495.72</v>
          </cell>
          <cell r="AH175">
            <v>1567808.54</v>
          </cell>
          <cell r="AJ175">
            <v>1890613.58</v>
          </cell>
        </row>
        <row r="176">
          <cell r="J176">
            <v>785732.02</v>
          </cell>
          <cell r="K176">
            <v>700288.34</v>
          </cell>
          <cell r="L176">
            <v>731624.14</v>
          </cell>
          <cell r="M176">
            <v>679867.64</v>
          </cell>
          <cell r="N176">
            <v>767529.05</v>
          </cell>
          <cell r="O176">
            <v>666617.06999999995</v>
          </cell>
          <cell r="P176">
            <v>700227.12</v>
          </cell>
          <cell r="Q176">
            <v>688583.81</v>
          </cell>
          <cell r="R176">
            <v>684460.63</v>
          </cell>
          <cell r="S176">
            <v>691643.23</v>
          </cell>
          <cell r="T176">
            <v>646054.80000000005</v>
          </cell>
          <cell r="U176">
            <v>676183.91</v>
          </cell>
          <cell r="V176">
            <v>626962.64</v>
          </cell>
          <cell r="W176">
            <v>596565.19999999995</v>
          </cell>
          <cell r="X176">
            <v>616647.31000000006</v>
          </cell>
          <cell r="Y176">
            <v>622329.35</v>
          </cell>
          <cell r="Z176">
            <v>623998.5</v>
          </cell>
          <cell r="AA176">
            <v>574199</v>
          </cell>
          <cell r="AB176">
            <v>661971.44999999995</v>
          </cell>
          <cell r="AC176">
            <v>634135.22</v>
          </cell>
          <cell r="AD176">
            <v>616382.74</v>
          </cell>
          <cell r="AE176">
            <v>601275.56999999995</v>
          </cell>
          <cell r="AF176">
            <v>586879.85</v>
          </cell>
          <cell r="AG176">
            <v>602050.65</v>
          </cell>
          <cell r="AH176">
            <v>620077.15</v>
          </cell>
          <cell r="AJ176">
            <v>700288.34</v>
          </cell>
        </row>
        <row r="177">
          <cell r="J177">
            <v>5351810.3400000008</v>
          </cell>
          <cell r="K177">
            <v>5005684.34</v>
          </cell>
          <cell r="L177">
            <v>4739050.3099999996</v>
          </cell>
          <cell r="M177">
            <v>4682393.9400000004</v>
          </cell>
          <cell r="N177">
            <v>5067668.2699999996</v>
          </cell>
          <cell r="O177">
            <v>5081379.78</v>
          </cell>
          <cell r="P177">
            <v>4626654.09</v>
          </cell>
          <cell r="Q177">
            <v>4400441.75</v>
          </cell>
          <cell r="R177">
            <v>5138748.3499999996</v>
          </cell>
          <cell r="S177">
            <v>6130773.0999999996</v>
          </cell>
          <cell r="T177">
            <v>5422370.7400000002</v>
          </cell>
          <cell r="U177">
            <v>5367021.6900000004</v>
          </cell>
          <cell r="V177">
            <v>4682974.9800000004</v>
          </cell>
          <cell r="W177">
            <v>4337773.04</v>
          </cell>
          <cell r="X177">
            <v>4265424.37</v>
          </cell>
          <cell r="Y177">
            <v>4309387.51</v>
          </cell>
          <cell r="Z177">
            <v>4301710.01</v>
          </cell>
          <cell r="AA177">
            <v>4283912.8499999996</v>
          </cell>
          <cell r="AB177">
            <v>4413717.1500000004</v>
          </cell>
          <cell r="AC177">
            <v>4084823.94</v>
          </cell>
          <cell r="AD177">
            <v>4515562.75</v>
          </cell>
          <cell r="AE177">
            <v>5329209.13</v>
          </cell>
          <cell r="AF177">
            <v>5000303.78</v>
          </cell>
          <cell r="AG177">
            <v>4825054.1399999997</v>
          </cell>
          <cell r="AH177">
            <v>4512716.7699999996</v>
          </cell>
          <cell r="AJ177">
            <v>5005684.34</v>
          </cell>
        </row>
        <row r="178">
          <cell r="J178">
            <v>319905.90999999997</v>
          </cell>
          <cell r="K178">
            <v>291394.5</v>
          </cell>
          <cell r="L178">
            <v>293997.95</v>
          </cell>
          <cell r="M178">
            <v>291202.65999999997</v>
          </cell>
          <cell r="N178">
            <v>307132.87</v>
          </cell>
          <cell r="O178">
            <v>314534.89</v>
          </cell>
          <cell r="P178">
            <v>301376.31</v>
          </cell>
          <cell r="Q178">
            <v>281826.96000000002</v>
          </cell>
          <cell r="R178">
            <v>304568.14</v>
          </cell>
          <cell r="S178">
            <v>328918.71999999997</v>
          </cell>
          <cell r="T178">
            <v>301436.79999999999</v>
          </cell>
          <cell r="U178">
            <v>321792.81</v>
          </cell>
          <cell r="V178">
            <v>277970.03999999998</v>
          </cell>
          <cell r="W178">
            <v>267866.18</v>
          </cell>
          <cell r="X178">
            <v>276904.12</v>
          </cell>
          <cell r="Y178">
            <v>280466.42</v>
          </cell>
          <cell r="Z178">
            <v>289915.34000000003</v>
          </cell>
          <cell r="AA178">
            <v>302968.21999999997</v>
          </cell>
          <cell r="AB178">
            <v>292944.61</v>
          </cell>
          <cell r="AC178">
            <v>270510</v>
          </cell>
          <cell r="AD178">
            <v>276777.48</v>
          </cell>
          <cell r="AE178">
            <v>292722.59999999998</v>
          </cell>
          <cell r="AF178">
            <v>280603.92</v>
          </cell>
          <cell r="AG178">
            <v>306740.3</v>
          </cell>
          <cell r="AH178">
            <v>277600.13</v>
          </cell>
          <cell r="AJ178">
            <v>291394.5</v>
          </cell>
        </row>
        <row r="179">
          <cell r="J179">
            <v>6905422.75</v>
          </cell>
          <cell r="K179">
            <v>5950548.6600000001</v>
          </cell>
          <cell r="L179">
            <v>5045984.87</v>
          </cell>
          <cell r="M179">
            <v>5222517.6900000004</v>
          </cell>
          <cell r="N179">
            <v>5558027.7599999998</v>
          </cell>
          <cell r="O179">
            <v>5846160.8400000008</v>
          </cell>
          <cell r="P179">
            <v>5287845.87</v>
          </cell>
          <cell r="Q179">
            <v>4736324.04</v>
          </cell>
          <cell r="R179">
            <v>5660471.4199999999</v>
          </cell>
          <cell r="S179">
            <v>6016975.9400000004</v>
          </cell>
          <cell r="T179">
            <v>7176112.8799999999</v>
          </cell>
          <cell r="U179">
            <v>7186713.8499999996</v>
          </cell>
          <cell r="V179">
            <v>6328445.3600000003</v>
          </cell>
          <cell r="W179">
            <v>5763876.7400000002</v>
          </cell>
          <cell r="X179">
            <v>4784124.8499999996</v>
          </cell>
          <cell r="Y179">
            <v>5222912.53</v>
          </cell>
          <cell r="Z179">
            <v>4901201.96</v>
          </cell>
          <cell r="AA179">
            <v>5628014.4199999999</v>
          </cell>
          <cell r="AB179">
            <v>5161907.57</v>
          </cell>
          <cell r="AC179">
            <v>4605360.55</v>
          </cell>
          <cell r="AD179">
            <v>5221239.04</v>
          </cell>
          <cell r="AE179">
            <v>5429329.6200000001</v>
          </cell>
          <cell r="AF179">
            <v>6697026.5800000001</v>
          </cell>
          <cell r="AG179">
            <v>6825939.6199999992</v>
          </cell>
          <cell r="AH179">
            <v>6042471.0300000003</v>
          </cell>
          <cell r="AJ179">
            <v>5950548.6600000001</v>
          </cell>
        </row>
        <row r="180">
          <cell r="J180">
            <v>1661976.46</v>
          </cell>
          <cell r="K180">
            <v>1082037.52</v>
          </cell>
          <cell r="L180">
            <v>867376.37</v>
          </cell>
          <cell r="M180">
            <v>3886078.71</v>
          </cell>
          <cell r="N180">
            <v>1137548.54</v>
          </cell>
          <cell r="O180">
            <v>3190285.6</v>
          </cell>
          <cell r="P180">
            <v>1207531.8700000001</v>
          </cell>
          <cell r="Q180">
            <v>854895.19</v>
          </cell>
          <cell r="R180">
            <v>2845605.73</v>
          </cell>
          <cell r="S180">
            <v>3172485.57</v>
          </cell>
          <cell r="T180">
            <v>2859405.5</v>
          </cell>
          <cell r="U180">
            <v>2459611.37</v>
          </cell>
          <cell r="V180">
            <v>2900618.45</v>
          </cell>
          <cell r="W180">
            <v>2426461.02</v>
          </cell>
          <cell r="X180">
            <v>195473.68</v>
          </cell>
          <cell r="Y180">
            <v>404761.65</v>
          </cell>
          <cell r="Z180">
            <v>332229.84999999998</v>
          </cell>
          <cell r="AA180">
            <v>1414278.93</v>
          </cell>
          <cell r="AB180">
            <v>6571678.71</v>
          </cell>
          <cell r="AC180">
            <v>5666536.9000000004</v>
          </cell>
          <cell r="AD180">
            <v>4186291</v>
          </cell>
          <cell r="AE180">
            <v>4915142.8499999996</v>
          </cell>
          <cell r="AF180">
            <v>4740956.63</v>
          </cell>
          <cell r="AG180">
            <v>5335694.2300000004</v>
          </cell>
          <cell r="AH180">
            <v>7478989.1500000004</v>
          </cell>
          <cell r="AJ180">
            <v>1082037.52</v>
          </cell>
        </row>
        <row r="181">
          <cell r="J181">
            <v>3277772.5</v>
          </cell>
          <cell r="K181">
            <v>3347838.7</v>
          </cell>
          <cell r="L181">
            <v>4597812.2</v>
          </cell>
          <cell r="M181">
            <v>6689749.7999999998</v>
          </cell>
          <cell r="N181">
            <v>6429160.2000000002</v>
          </cell>
          <cell r="O181">
            <v>7353810.5999999996</v>
          </cell>
          <cell r="P181">
            <v>4787488.5999999996</v>
          </cell>
          <cell r="Q181">
            <v>3523788.3</v>
          </cell>
          <cell r="R181">
            <v>3657755.8</v>
          </cell>
          <cell r="S181">
            <v>2485773.9</v>
          </cell>
          <cell r="T181">
            <v>1531847.5</v>
          </cell>
          <cell r="U181">
            <v>1760673.4</v>
          </cell>
          <cell r="V181">
            <v>1957478.7</v>
          </cell>
          <cell r="W181">
            <v>3320781.5</v>
          </cell>
          <cell r="X181">
            <v>987715.1</v>
          </cell>
          <cell r="Y181">
            <v>1851247</v>
          </cell>
          <cell r="Z181">
            <v>3216087.5</v>
          </cell>
          <cell r="AA181">
            <v>4784593</v>
          </cell>
          <cell r="AB181">
            <v>4288304.3</v>
          </cell>
          <cell r="AC181">
            <v>3092725.7</v>
          </cell>
          <cell r="AD181">
            <v>1908267.8</v>
          </cell>
          <cell r="AE181">
            <v>3157592.5</v>
          </cell>
          <cell r="AF181">
            <v>2629318.9</v>
          </cell>
          <cell r="AG181">
            <v>2995602.7</v>
          </cell>
          <cell r="AH181">
            <v>3570020.5</v>
          </cell>
          <cell r="AJ181">
            <v>3347838.7</v>
          </cell>
        </row>
        <row r="183">
          <cell r="J183">
            <v>748621.41</v>
          </cell>
          <cell r="K183">
            <v>872082.93</v>
          </cell>
          <cell r="L183">
            <v>715061.83</v>
          </cell>
          <cell r="M183">
            <v>824286.75</v>
          </cell>
          <cell r="N183">
            <v>736657.18</v>
          </cell>
          <cell r="O183">
            <v>799104.67</v>
          </cell>
          <cell r="P183">
            <v>13592.96</v>
          </cell>
          <cell r="Q183">
            <v>24186.560000000001</v>
          </cell>
          <cell r="R183">
            <v>24196.36</v>
          </cell>
          <cell r="S183">
            <v>29893.86</v>
          </cell>
          <cell r="T183">
            <v>-1255.3399999999999</v>
          </cell>
          <cell r="U183">
            <v>21224.18</v>
          </cell>
          <cell r="V183">
            <v>19703.32</v>
          </cell>
          <cell r="W183">
            <v>99989.42</v>
          </cell>
          <cell r="X183">
            <v>42389.06</v>
          </cell>
          <cell r="Y183">
            <v>24938.15</v>
          </cell>
          <cell r="Z183">
            <v>27220.78</v>
          </cell>
          <cell r="AA183">
            <v>35535.629999999997</v>
          </cell>
          <cell r="AB183">
            <v>1154586.79</v>
          </cell>
          <cell r="AC183">
            <v>954915.48</v>
          </cell>
          <cell r="AD183">
            <v>755405.71</v>
          </cell>
          <cell r="AE183">
            <v>1100029.57</v>
          </cell>
          <cell r="AF183">
            <v>1055087.44</v>
          </cell>
          <cell r="AG183">
            <v>1047373.96</v>
          </cell>
          <cell r="AH183">
            <v>1250298.4099999999</v>
          </cell>
          <cell r="AJ183">
            <v>872082.93</v>
          </cell>
        </row>
        <row r="184"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270000</v>
          </cell>
          <cell r="AC184">
            <v>270000</v>
          </cell>
          <cell r="AD184">
            <v>270000</v>
          </cell>
          <cell r="AE184">
            <v>270000</v>
          </cell>
          <cell r="AF184">
            <v>270000</v>
          </cell>
          <cell r="AG184">
            <v>270000</v>
          </cell>
          <cell r="AH184">
            <v>270000</v>
          </cell>
          <cell r="AJ184">
            <v>0</v>
          </cell>
        </row>
        <row r="186">
          <cell r="J186">
            <v>453639.21</v>
          </cell>
          <cell r="K186">
            <v>477137.5</v>
          </cell>
          <cell r="L186">
            <v>475663.03</v>
          </cell>
          <cell r="M186">
            <v>456540.07</v>
          </cell>
          <cell r="N186">
            <v>414321.11</v>
          </cell>
          <cell r="O186">
            <v>412852.3</v>
          </cell>
          <cell r="P186">
            <v>854671.23</v>
          </cell>
          <cell r="Q186">
            <v>1145881.78</v>
          </cell>
          <cell r="R186">
            <v>1044729.23</v>
          </cell>
          <cell r="S186">
            <v>1065261.1399999999</v>
          </cell>
          <cell r="T186">
            <v>628268.77</v>
          </cell>
          <cell r="U186">
            <v>867696.66</v>
          </cell>
          <cell r="V186">
            <v>1043053.26</v>
          </cell>
          <cell r="W186">
            <v>1260887.94</v>
          </cell>
          <cell r="X186">
            <v>870781.29</v>
          </cell>
          <cell r="Y186">
            <v>906320.94</v>
          </cell>
          <cell r="Z186">
            <v>912298.68</v>
          </cell>
          <cell r="AA186">
            <v>1089143.24</v>
          </cell>
          <cell r="AB186">
            <v>1125351.72</v>
          </cell>
          <cell r="AC186">
            <v>474933.24</v>
          </cell>
          <cell r="AD186">
            <v>478133.13</v>
          </cell>
          <cell r="AE186">
            <v>647241.44999999995</v>
          </cell>
          <cell r="AF186">
            <v>470144.78</v>
          </cell>
          <cell r="AG186">
            <v>475520.68</v>
          </cell>
          <cell r="AH186">
            <v>517686.11</v>
          </cell>
          <cell r="AJ186">
            <v>477137.5</v>
          </cell>
        </row>
        <row r="188">
          <cell r="J188">
            <v>24429864.309999999</v>
          </cell>
          <cell r="K188">
            <v>15769750.630000001</v>
          </cell>
          <cell r="L188">
            <v>-27183889.789999999</v>
          </cell>
          <cell r="M188">
            <v>681211.69</v>
          </cell>
          <cell r="N188">
            <v>-41548252.659999996</v>
          </cell>
          <cell r="O188">
            <v>-27839281.280000001</v>
          </cell>
          <cell r="P188">
            <v>39845051.590000004</v>
          </cell>
          <cell r="Q188">
            <v>25240248.879999999</v>
          </cell>
          <cell r="R188">
            <v>-13831776.050000001</v>
          </cell>
          <cell r="S188">
            <v>-58319134.539999999</v>
          </cell>
          <cell r="T188">
            <v>10308580.33</v>
          </cell>
          <cell r="U188">
            <v>31708881.780000001</v>
          </cell>
          <cell r="V188">
            <v>26350872.690000001</v>
          </cell>
          <cell r="W188">
            <v>5471390.2199999997</v>
          </cell>
          <cell r="X188">
            <v>-31387758.390000001</v>
          </cell>
          <cell r="Y188">
            <v>-21310240.52</v>
          </cell>
          <cell r="Z188">
            <v>-28586129.039999999</v>
          </cell>
          <cell r="AA188">
            <v>23148594.09</v>
          </cell>
          <cell r="AB188">
            <v>39649177.020000003</v>
          </cell>
          <cell r="AC188">
            <v>9036219.3599999994</v>
          </cell>
          <cell r="AD188">
            <v>-8854679.5500000007</v>
          </cell>
          <cell r="AE188">
            <v>-53693682.810000002</v>
          </cell>
          <cell r="AF188">
            <v>2415502.75</v>
          </cell>
          <cell r="AG188">
            <v>42060567.869999997</v>
          </cell>
          <cell r="AH188">
            <v>26864344.129999999</v>
          </cell>
          <cell r="AJ188">
            <v>15769750.630000001</v>
          </cell>
        </row>
        <row r="189"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25370112.129999999</v>
          </cell>
          <cell r="Q189">
            <v>22425720.02</v>
          </cell>
          <cell r="R189">
            <v>-1901697.62</v>
          </cell>
          <cell r="S189">
            <v>-24327042.559999999</v>
          </cell>
          <cell r="T189">
            <v>3386719.38</v>
          </cell>
          <cell r="U189">
            <v>10459687.09</v>
          </cell>
          <cell r="V189">
            <v>8902622.0700000003</v>
          </cell>
          <cell r="W189">
            <v>-5525334.3899999997</v>
          </cell>
          <cell r="X189">
            <v>-21512829.699999999</v>
          </cell>
          <cell r="Y189">
            <v>-13078017.43</v>
          </cell>
          <cell r="Z189">
            <v>-17800181.18</v>
          </cell>
          <cell r="AA189">
            <v>18373849.039999999</v>
          </cell>
          <cell r="AB189">
            <v>23708602.449999999</v>
          </cell>
          <cell r="AC189">
            <v>14554869.77</v>
          </cell>
          <cell r="AD189">
            <v>2851763.98</v>
          </cell>
          <cell r="AE189">
            <v>-21816016.879999999</v>
          </cell>
          <cell r="AF189">
            <v>-70472.44</v>
          </cell>
          <cell r="AG189">
            <v>14813302.380000001</v>
          </cell>
          <cell r="AH189">
            <v>8973207.1799999997</v>
          </cell>
          <cell r="AJ189">
            <v>0</v>
          </cell>
        </row>
        <row r="190"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2265084.11</v>
          </cell>
          <cell r="Q190">
            <v>2321938.04</v>
          </cell>
          <cell r="R190">
            <v>2260512.54</v>
          </cell>
          <cell r="S190">
            <v>-5659357.2800000003</v>
          </cell>
          <cell r="T190">
            <v>1878070.35</v>
          </cell>
          <cell r="U190">
            <v>466811.97</v>
          </cell>
          <cell r="V190">
            <v>1911469.49</v>
          </cell>
          <cell r="W190">
            <v>2487027.36</v>
          </cell>
          <cell r="X190">
            <v>-2765637.72</v>
          </cell>
          <cell r="Y190">
            <v>-1677887.12</v>
          </cell>
          <cell r="Z190">
            <v>-2344906.66</v>
          </cell>
          <cell r="AA190">
            <v>356926.63</v>
          </cell>
          <cell r="AB190">
            <v>359411.49</v>
          </cell>
          <cell r="AC190">
            <v>1663641.54</v>
          </cell>
          <cell r="AD190">
            <v>2264839.62</v>
          </cell>
          <cell r="AE190">
            <v>-3536895.96</v>
          </cell>
          <cell r="AF190">
            <v>-210739.93</v>
          </cell>
          <cell r="AG190">
            <v>2062365.07</v>
          </cell>
          <cell r="AH190">
            <v>2597851.81</v>
          </cell>
          <cell r="AJ190">
            <v>0</v>
          </cell>
        </row>
        <row r="191">
          <cell r="J191">
            <v>21691143.609999999</v>
          </cell>
          <cell r="K191">
            <v>14656861.91</v>
          </cell>
          <cell r="L191">
            <v>-19323074.039999999</v>
          </cell>
          <cell r="M191">
            <v>446286.01</v>
          </cell>
          <cell r="N191">
            <v>-25319764.579999998</v>
          </cell>
          <cell r="O191">
            <v>-15220044.75</v>
          </cell>
          <cell r="P191">
            <v>5376022.9800000004</v>
          </cell>
          <cell r="Q191">
            <v>6988512.0499999998</v>
          </cell>
          <cell r="R191">
            <v>14433358.51</v>
          </cell>
          <cell r="S191">
            <v>-40033182.090000004</v>
          </cell>
          <cell r="T191">
            <v>7351643.4800000004</v>
          </cell>
          <cell r="U191">
            <v>6810777.4500000002</v>
          </cell>
          <cell r="V191">
            <v>13040518.33</v>
          </cell>
          <cell r="W191">
            <v>31164198.629999999</v>
          </cell>
          <cell r="X191">
            <v>-10369257.93</v>
          </cell>
          <cell r="Y191">
            <v>-6550865.7999999998</v>
          </cell>
          <cell r="Z191">
            <v>-9769723.3200000003</v>
          </cell>
          <cell r="AA191">
            <v>-9254329.4100000001</v>
          </cell>
          <cell r="AB191">
            <v>-3879188.9</v>
          </cell>
          <cell r="AC191">
            <v>4027909.37</v>
          </cell>
          <cell r="AD191">
            <v>15352320.039999999</v>
          </cell>
          <cell r="AE191">
            <v>-27527205.829999998</v>
          </cell>
          <cell r="AF191">
            <v>-6640905.3600000003</v>
          </cell>
          <cell r="AG191">
            <v>13316602.99</v>
          </cell>
          <cell r="AH191">
            <v>22106059.440000001</v>
          </cell>
          <cell r="AJ191">
            <v>14656861.91</v>
          </cell>
        </row>
        <row r="192">
          <cell r="J192">
            <v>26308966.780000001</v>
          </cell>
          <cell r="K192">
            <v>19807534.170000002</v>
          </cell>
          <cell r="L192">
            <v>-25343209.850000001</v>
          </cell>
          <cell r="M192">
            <v>572179.29</v>
          </cell>
          <cell r="N192">
            <v>-30713604.629999999</v>
          </cell>
          <cell r="O192">
            <v>-16700633.07</v>
          </cell>
          <cell r="P192">
            <v>-14007908.51</v>
          </cell>
          <cell r="Q192">
            <v>32091873.859999999</v>
          </cell>
          <cell r="R192">
            <v>39683356.219999999</v>
          </cell>
          <cell r="S192">
            <v>-42236452.18</v>
          </cell>
          <cell r="T192">
            <v>16016819.08</v>
          </cell>
          <cell r="U192">
            <v>-18076838.359999999</v>
          </cell>
          <cell r="V192">
            <v>-3565749.24</v>
          </cell>
          <cell r="W192">
            <v>50892851.600000001</v>
          </cell>
          <cell r="X192">
            <v>-7721026.54</v>
          </cell>
          <cell r="Y192">
            <v>-1671722.45</v>
          </cell>
          <cell r="Z192">
            <v>5390085.0099999998</v>
          </cell>
          <cell r="AA192">
            <v>-36343412.07</v>
          </cell>
          <cell r="AB192">
            <v>-23587998.52</v>
          </cell>
          <cell r="AC192">
            <v>9141191.8499999996</v>
          </cell>
          <cell r="AD192">
            <v>41481693.119999997</v>
          </cell>
          <cell r="AE192">
            <v>-20602494.579999998</v>
          </cell>
          <cell r="AF192">
            <v>-1720755.46</v>
          </cell>
          <cell r="AG192">
            <v>-9071355.2300000004</v>
          </cell>
          <cell r="AH192">
            <v>6996556.2599999998</v>
          </cell>
          <cell r="AJ192">
            <v>19807534.170000002</v>
          </cell>
        </row>
        <row r="193">
          <cell r="J193">
            <v>2789990.36</v>
          </cell>
          <cell r="K193">
            <v>2137497.9300000002</v>
          </cell>
          <cell r="L193">
            <v>-3124246.61</v>
          </cell>
          <cell r="M193">
            <v>74096.19</v>
          </cell>
          <cell r="N193">
            <v>-3989139.4</v>
          </cell>
          <cell r="O193">
            <v>-2280661.52</v>
          </cell>
          <cell r="P193">
            <v>-1349069.83</v>
          </cell>
          <cell r="Q193">
            <v>6212280.9299999997</v>
          </cell>
          <cell r="R193">
            <v>5392621.4800000004</v>
          </cell>
          <cell r="S193">
            <v>-5147449.93</v>
          </cell>
          <cell r="T193">
            <v>3772113.66</v>
          </cell>
          <cell r="U193">
            <v>-4591851.71</v>
          </cell>
          <cell r="V193">
            <v>-137950.15</v>
          </cell>
          <cell r="W193">
            <v>2588681.23</v>
          </cell>
          <cell r="X193">
            <v>-3027353</v>
          </cell>
          <cell r="Y193">
            <v>-70657.63</v>
          </cell>
          <cell r="Z193">
            <v>-1106255.02</v>
          </cell>
          <cell r="AA193">
            <v>-1963895.73</v>
          </cell>
          <cell r="AB193">
            <v>-2886445.95</v>
          </cell>
          <cell r="AC193">
            <v>4451734.8499999996</v>
          </cell>
          <cell r="AD193">
            <v>5650611.6699999999</v>
          </cell>
          <cell r="AE193">
            <v>-2307907.73</v>
          </cell>
          <cell r="AF193">
            <v>2146453</v>
          </cell>
          <cell r="AG193">
            <v>-4403820.37</v>
          </cell>
          <cell r="AH193">
            <v>1620944.23</v>
          </cell>
          <cell r="AJ193">
            <v>2137497.9300000002</v>
          </cell>
        </row>
        <row r="194">
          <cell r="J194">
            <v>248412.55</v>
          </cell>
          <cell r="K194">
            <v>189422.67</v>
          </cell>
          <cell r="L194">
            <v>-279087.21000000002</v>
          </cell>
          <cell r="M194">
            <v>6956.37</v>
          </cell>
          <cell r="N194">
            <v>-372626.91</v>
          </cell>
          <cell r="O194">
            <v>-235061.79</v>
          </cell>
          <cell r="P194">
            <v>79712.179999999993</v>
          </cell>
          <cell r="Q194">
            <v>575559.37</v>
          </cell>
          <cell r="R194">
            <v>801618.95</v>
          </cell>
          <cell r="S194">
            <v>-338770.27</v>
          </cell>
          <cell r="T194">
            <v>188062.88</v>
          </cell>
          <cell r="U194">
            <v>-55517.38</v>
          </cell>
          <cell r="V194">
            <v>-103787.87</v>
          </cell>
          <cell r="W194">
            <v>244079.98</v>
          </cell>
          <cell r="X194">
            <v>-412920.57</v>
          </cell>
          <cell r="Y194">
            <v>-10257.07</v>
          </cell>
          <cell r="Z194">
            <v>-208453.74</v>
          </cell>
          <cell r="AA194">
            <v>-572618.80000000005</v>
          </cell>
          <cell r="AB194">
            <v>-10.119999999999999</v>
          </cell>
          <cell r="AC194">
            <v>551599.4</v>
          </cell>
          <cell r="AD194">
            <v>1078423.05</v>
          </cell>
          <cell r="AE194">
            <v>-120065.65</v>
          </cell>
          <cell r="AF194">
            <v>-2646.82</v>
          </cell>
          <cell r="AG194">
            <v>-11558.74</v>
          </cell>
          <cell r="AH194">
            <v>49513.3</v>
          </cell>
          <cell r="AJ194">
            <v>189422.67</v>
          </cell>
        </row>
        <row r="195">
          <cell r="J195">
            <v>7313270.0300000003</v>
          </cell>
          <cell r="K195">
            <v>5125733.18</v>
          </cell>
          <cell r="L195">
            <v>-6591502.2999999998</v>
          </cell>
          <cell r="M195">
            <v>149063.29</v>
          </cell>
          <cell r="N195">
            <v>-8514374.3599999994</v>
          </cell>
          <cell r="O195">
            <v>-4841305.04</v>
          </cell>
          <cell r="P195">
            <v>1743352.51</v>
          </cell>
          <cell r="Q195">
            <v>1223805.23</v>
          </cell>
          <cell r="R195">
            <v>3474837.84</v>
          </cell>
          <cell r="S195">
            <v>-10652855.119999999</v>
          </cell>
          <cell r="T195">
            <v>3234052.03</v>
          </cell>
          <cell r="U195">
            <v>1179256.03</v>
          </cell>
          <cell r="V195">
            <v>4019070.98</v>
          </cell>
          <cell r="W195">
            <v>12162543.34</v>
          </cell>
          <cell r="X195">
            <v>-4744615.83</v>
          </cell>
          <cell r="Y195">
            <v>-1904723.66</v>
          </cell>
          <cell r="Z195">
            <v>-897164.34</v>
          </cell>
          <cell r="AA195">
            <v>-5384893.1799999997</v>
          </cell>
          <cell r="AB195">
            <v>-497555.38</v>
          </cell>
          <cell r="AC195">
            <v>-1710542.96</v>
          </cell>
          <cell r="AD195">
            <v>3791041.45</v>
          </cell>
          <cell r="AE195">
            <v>-3648049.9</v>
          </cell>
          <cell r="AF195">
            <v>-2644271.87</v>
          </cell>
          <cell r="AG195">
            <v>5023925.5</v>
          </cell>
          <cell r="AH195">
            <v>4448307.07</v>
          </cell>
          <cell r="AJ195">
            <v>5125733.18</v>
          </cell>
        </row>
        <row r="196">
          <cell r="J196">
            <v>427108.7</v>
          </cell>
          <cell r="K196">
            <v>292554.76</v>
          </cell>
          <cell r="L196">
            <v>-414199.01</v>
          </cell>
          <cell r="M196">
            <v>9355.91</v>
          </cell>
          <cell r="N196">
            <v>-530477.38</v>
          </cell>
          <cell r="O196">
            <v>-316043.81</v>
          </cell>
          <cell r="P196">
            <v>146570.35</v>
          </cell>
          <cell r="Q196">
            <v>337541.55</v>
          </cell>
          <cell r="R196">
            <v>547061.82999999996</v>
          </cell>
          <cell r="S196">
            <v>-710504.84</v>
          </cell>
          <cell r="T196">
            <v>-13994.08</v>
          </cell>
          <cell r="U196">
            <v>21945.200000000001</v>
          </cell>
          <cell r="V196">
            <v>121170.72</v>
          </cell>
          <cell r="W196">
            <v>542701.79</v>
          </cell>
          <cell r="X196">
            <v>-251529.3</v>
          </cell>
          <cell r="Y196">
            <v>-200792</v>
          </cell>
          <cell r="Z196">
            <v>-240013.75</v>
          </cell>
          <cell r="AA196">
            <v>-83313.89</v>
          </cell>
          <cell r="AB196">
            <v>-77019.83</v>
          </cell>
          <cell r="AC196">
            <v>261781.29</v>
          </cell>
          <cell r="AD196">
            <v>715300.78</v>
          </cell>
          <cell r="AE196">
            <v>-339935.59</v>
          </cell>
          <cell r="AF196">
            <v>-589454.29</v>
          </cell>
          <cell r="AG196">
            <v>370781.64</v>
          </cell>
          <cell r="AH196">
            <v>251268.37</v>
          </cell>
          <cell r="AJ196">
            <v>292554.76</v>
          </cell>
        </row>
        <row r="197"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J197">
            <v>0</v>
          </cell>
        </row>
        <row r="198"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J198">
            <v>0</v>
          </cell>
        </row>
        <row r="199"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J199">
            <v>0</v>
          </cell>
        </row>
        <row r="201">
          <cell r="J201">
            <v>992468.09</v>
          </cell>
          <cell r="K201">
            <v>1022709.1</v>
          </cell>
          <cell r="L201">
            <v>-1212003.95</v>
          </cell>
          <cell r="M201">
            <v>137325.04999999999</v>
          </cell>
          <cell r="N201">
            <v>-1812528.29</v>
          </cell>
          <cell r="O201">
            <v>-1554994.63</v>
          </cell>
          <cell r="P201">
            <v>1723346.89</v>
          </cell>
          <cell r="Q201">
            <v>754015.53</v>
          </cell>
          <cell r="R201">
            <v>-928894.46</v>
          </cell>
          <cell r="S201">
            <v>-2543848.0099999998</v>
          </cell>
          <cell r="T201">
            <v>764937.53</v>
          </cell>
          <cell r="U201">
            <v>1514690.08</v>
          </cell>
          <cell r="V201">
            <v>1037148.22</v>
          </cell>
          <cell r="W201">
            <v>83155.94</v>
          </cell>
          <cell r="X201">
            <v>-1376122.94</v>
          </cell>
          <cell r="Y201">
            <v>-782641.22</v>
          </cell>
          <cell r="Z201">
            <v>-1003989.59</v>
          </cell>
          <cell r="AA201">
            <v>1198252.6200000001</v>
          </cell>
          <cell r="AB201">
            <v>1446010.68</v>
          </cell>
          <cell r="AC201">
            <v>87144.54</v>
          </cell>
          <cell r="AD201">
            <v>-515840.76</v>
          </cell>
          <cell r="AE201">
            <v>-2179717.8199999998</v>
          </cell>
          <cell r="AF201">
            <v>294116.05</v>
          </cell>
          <cell r="AG201">
            <v>1882516.34</v>
          </cell>
          <cell r="AH201">
            <v>1028492.19</v>
          </cell>
          <cell r="AJ201">
            <v>1022709.1</v>
          </cell>
        </row>
        <row r="202"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1063981.6100000001</v>
          </cell>
          <cell r="Q202">
            <v>791291.83</v>
          </cell>
          <cell r="R202">
            <v>-256565.53</v>
          </cell>
          <cell r="S202">
            <v>-1083856.8</v>
          </cell>
          <cell r="T202">
            <v>270746.28000000003</v>
          </cell>
          <cell r="U202">
            <v>506946.71</v>
          </cell>
          <cell r="V202">
            <v>337449.23</v>
          </cell>
          <cell r="W202">
            <v>-327587.38</v>
          </cell>
          <cell r="X202">
            <v>-866603.45</v>
          </cell>
          <cell r="Y202">
            <v>-450184.05</v>
          </cell>
          <cell r="Z202">
            <v>-613311.56000000006</v>
          </cell>
          <cell r="AA202">
            <v>862817.11</v>
          </cell>
          <cell r="AB202">
            <v>866136.65</v>
          </cell>
          <cell r="AC202">
            <v>474306.73</v>
          </cell>
          <cell r="AD202">
            <v>40777.18</v>
          </cell>
          <cell r="AE202">
            <v>-904925.64</v>
          </cell>
          <cell r="AF202">
            <v>72779.399999999994</v>
          </cell>
          <cell r="AG202">
            <v>656177.67000000004</v>
          </cell>
          <cell r="AH202">
            <v>327562.02</v>
          </cell>
          <cell r="AJ202">
            <v>0</v>
          </cell>
        </row>
        <row r="203"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107821.7</v>
          </cell>
          <cell r="Q203">
            <v>68441.23</v>
          </cell>
          <cell r="R203">
            <v>88503.53</v>
          </cell>
          <cell r="S203">
            <v>-260849.29</v>
          </cell>
          <cell r="T203">
            <v>122807</v>
          </cell>
          <cell r="U203">
            <v>25476.92</v>
          </cell>
          <cell r="V203">
            <v>89288.29</v>
          </cell>
          <cell r="W203">
            <v>91381.47</v>
          </cell>
          <cell r="X203">
            <v>-142430.92000000001</v>
          </cell>
          <cell r="Y203">
            <v>-74785.58</v>
          </cell>
          <cell r="Z203">
            <v>-81443.490000000005</v>
          </cell>
          <cell r="AA203">
            <v>46423.72</v>
          </cell>
          <cell r="AB203">
            <v>-9567.75</v>
          </cell>
          <cell r="AC203">
            <v>49473.279999999999</v>
          </cell>
          <cell r="AD203">
            <v>107938.78</v>
          </cell>
          <cell r="AE203">
            <v>-139305.01999999999</v>
          </cell>
          <cell r="AF203">
            <v>4734.38</v>
          </cell>
          <cell r="AG203">
            <v>92656.21</v>
          </cell>
          <cell r="AH203">
            <v>111692.96</v>
          </cell>
          <cell r="AJ203">
            <v>0</v>
          </cell>
        </row>
        <row r="204">
          <cell r="J204">
            <v>613980.61</v>
          </cell>
          <cell r="K204">
            <v>574554.71</v>
          </cell>
          <cell r="L204">
            <v>-890714.5</v>
          </cell>
          <cell r="M204">
            <v>87375.91</v>
          </cell>
          <cell r="N204">
            <v>-886840.99</v>
          </cell>
          <cell r="O204">
            <v>-1930028.92</v>
          </cell>
          <cell r="P204">
            <v>191547.94</v>
          </cell>
          <cell r="Q204">
            <v>117100.4</v>
          </cell>
          <cell r="R204">
            <v>450966.04</v>
          </cell>
          <cell r="S204">
            <v>-1638970.03</v>
          </cell>
          <cell r="T204">
            <v>519020.85</v>
          </cell>
          <cell r="U204">
            <v>401453.31</v>
          </cell>
          <cell r="V204">
            <v>502577.33</v>
          </cell>
          <cell r="W204">
            <v>1172199.51</v>
          </cell>
          <cell r="X204">
            <v>-532453.07999999996</v>
          </cell>
          <cell r="Y204">
            <v>-286979.61</v>
          </cell>
          <cell r="Z204">
            <v>-267727.21999999997</v>
          </cell>
          <cell r="AA204">
            <v>-185914.96</v>
          </cell>
          <cell r="AB204">
            <v>-393616.14</v>
          </cell>
          <cell r="AC204">
            <v>87260.160000000003</v>
          </cell>
          <cell r="AD204">
            <v>642873.1</v>
          </cell>
          <cell r="AE204">
            <v>-1008668.57</v>
          </cell>
          <cell r="AF204">
            <v>-201343.21</v>
          </cell>
          <cell r="AG204">
            <v>619633.42000000004</v>
          </cell>
          <cell r="AH204">
            <v>770862.21</v>
          </cell>
          <cell r="AJ204">
            <v>574554.71</v>
          </cell>
        </row>
        <row r="205">
          <cell r="J205">
            <v>755971.97</v>
          </cell>
          <cell r="K205">
            <v>522980.91</v>
          </cell>
          <cell r="L205">
            <v>-828162.43</v>
          </cell>
          <cell r="M205">
            <v>14716.44</v>
          </cell>
          <cell r="N205">
            <v>-1069814.01</v>
          </cell>
          <cell r="O205">
            <v>-843763.06</v>
          </cell>
          <cell r="P205">
            <v>-254584.35</v>
          </cell>
          <cell r="Q205">
            <v>851214.08</v>
          </cell>
          <cell r="R205">
            <v>997304.8</v>
          </cell>
          <cell r="S205">
            <v>-1440925.71</v>
          </cell>
          <cell r="T205">
            <v>832238.06</v>
          </cell>
          <cell r="U205">
            <v>-617176.86</v>
          </cell>
          <cell r="V205">
            <v>30349.32</v>
          </cell>
          <cell r="W205">
            <v>1506168.61</v>
          </cell>
          <cell r="X205">
            <v>-244638.87</v>
          </cell>
          <cell r="Y205">
            <v>-94362.28</v>
          </cell>
          <cell r="Z205">
            <v>429899.58</v>
          </cell>
          <cell r="AA205">
            <v>-1225430.3400000001</v>
          </cell>
          <cell r="AB205">
            <v>-779307.09</v>
          </cell>
          <cell r="AC205">
            <v>273801.53000000003</v>
          </cell>
          <cell r="AD205">
            <v>1313001.06</v>
          </cell>
          <cell r="AE205">
            <v>-688208.3</v>
          </cell>
          <cell r="AF205">
            <v>91413.42</v>
          </cell>
          <cell r="AG205">
            <v>-433782.33</v>
          </cell>
          <cell r="AH205">
            <v>204373.55</v>
          </cell>
          <cell r="AJ205">
            <v>522980.91</v>
          </cell>
        </row>
        <row r="206">
          <cell r="J206">
            <v>105129.15</v>
          </cell>
          <cell r="K206">
            <v>112505.42</v>
          </cell>
          <cell r="L206">
            <v>-105632.04</v>
          </cell>
          <cell r="M206">
            <v>-7348.84</v>
          </cell>
          <cell r="N206">
            <v>-139659.10999999999</v>
          </cell>
          <cell r="O206">
            <v>-138626.54</v>
          </cell>
          <cell r="P206">
            <v>-47201.919999999998</v>
          </cell>
          <cell r="Q206">
            <v>208757.26</v>
          </cell>
          <cell r="R206">
            <v>178004.49</v>
          </cell>
          <cell r="S206">
            <v>-241631.18</v>
          </cell>
          <cell r="T206">
            <v>192202.25</v>
          </cell>
          <cell r="U206">
            <v>-192895.15</v>
          </cell>
          <cell r="V206">
            <v>15812.65</v>
          </cell>
          <cell r="W206">
            <v>62417.85</v>
          </cell>
          <cell r="X206">
            <v>-77648.69</v>
          </cell>
          <cell r="Y206">
            <v>12919.44</v>
          </cell>
          <cell r="Z206">
            <v>-8133.49</v>
          </cell>
          <cell r="AA206">
            <v>-71669.070000000007</v>
          </cell>
          <cell r="AB206">
            <v>-142159.34</v>
          </cell>
          <cell r="AC206">
            <v>158858.92000000001</v>
          </cell>
          <cell r="AD206">
            <v>211217</v>
          </cell>
          <cell r="AE206">
            <v>-112005.11</v>
          </cell>
          <cell r="AF206">
            <v>100348.1</v>
          </cell>
          <cell r="AG206">
            <v>-184856.46</v>
          </cell>
          <cell r="AH206">
            <v>84815.99</v>
          </cell>
          <cell r="AJ206">
            <v>112505.42</v>
          </cell>
        </row>
        <row r="207">
          <cell r="J207">
            <v>78630.460000000006</v>
          </cell>
          <cell r="K207">
            <v>40307.46</v>
          </cell>
          <cell r="L207">
            <v>10783.58</v>
          </cell>
          <cell r="M207">
            <v>-35418.35</v>
          </cell>
          <cell r="N207">
            <v>35132.78</v>
          </cell>
          <cell r="O207">
            <v>-18660.150000000001</v>
          </cell>
          <cell r="P207">
            <v>12549.27</v>
          </cell>
          <cell r="Q207">
            <v>38896.559999999998</v>
          </cell>
          <cell r="R207">
            <v>77531.8</v>
          </cell>
          <cell r="S207">
            <v>-64201.53</v>
          </cell>
          <cell r="T207">
            <v>11983.72</v>
          </cell>
          <cell r="U207">
            <v>-23965.759999999998</v>
          </cell>
          <cell r="V207">
            <v>-37368.9</v>
          </cell>
          <cell r="W207">
            <v>52971.47</v>
          </cell>
          <cell r="X207">
            <v>-39489.68</v>
          </cell>
          <cell r="Y207">
            <v>29656.59</v>
          </cell>
          <cell r="Z207">
            <v>-26759.01</v>
          </cell>
          <cell r="AA207">
            <v>-11253.86</v>
          </cell>
          <cell r="AB207">
            <v>4386.79</v>
          </cell>
          <cell r="AC207">
            <v>30843.14</v>
          </cell>
          <cell r="AD207">
            <v>103358.76</v>
          </cell>
          <cell r="AE207">
            <v>-41886.22</v>
          </cell>
          <cell r="AF207">
            <v>-15078.6</v>
          </cell>
          <cell r="AG207">
            <v>-23664.54</v>
          </cell>
          <cell r="AH207">
            <v>-14056.8</v>
          </cell>
          <cell r="AJ207">
            <v>40307.46</v>
          </cell>
        </row>
        <row r="208">
          <cell r="J208">
            <v>186185</v>
          </cell>
          <cell r="K208">
            <v>179773.39</v>
          </cell>
          <cell r="L208">
            <v>-255510.21</v>
          </cell>
          <cell r="M208">
            <v>4333.92</v>
          </cell>
          <cell r="N208">
            <v>-319762.5</v>
          </cell>
          <cell r="O208">
            <v>-177120.08</v>
          </cell>
          <cell r="P208">
            <v>68308.27</v>
          </cell>
          <cell r="Q208">
            <v>-54934.07</v>
          </cell>
          <cell r="R208">
            <v>47481.02</v>
          </cell>
          <cell r="S208">
            <v>-333443.08</v>
          </cell>
          <cell r="T208">
            <v>174322.59</v>
          </cell>
          <cell r="U208">
            <v>128809.98</v>
          </cell>
          <cell r="V208">
            <v>96555.15</v>
          </cell>
          <cell r="W208">
            <v>405652.03</v>
          </cell>
          <cell r="X208">
            <v>-204920.85</v>
          </cell>
          <cell r="Y208">
            <v>-57650.31</v>
          </cell>
          <cell r="Z208">
            <v>37793.379999999997</v>
          </cell>
          <cell r="AA208">
            <v>-157325.85</v>
          </cell>
          <cell r="AB208">
            <v>-87179.79</v>
          </cell>
          <cell r="AC208">
            <v>-142849.16</v>
          </cell>
          <cell r="AD208">
            <v>144118.29999999999</v>
          </cell>
          <cell r="AE208">
            <v>-52464.959999999999</v>
          </cell>
          <cell r="AF208">
            <v>-105854.95</v>
          </cell>
          <cell r="AG208">
            <v>269136.28000000003</v>
          </cell>
          <cell r="AH208">
            <v>75199.48</v>
          </cell>
          <cell r="AJ208">
            <v>179773.39</v>
          </cell>
        </row>
        <row r="209">
          <cell r="J209">
            <v>10749.35</v>
          </cell>
          <cell r="K209">
            <v>13873.93</v>
          </cell>
          <cell r="L209">
            <v>-16268.66</v>
          </cell>
          <cell r="M209">
            <v>2611.92</v>
          </cell>
          <cell r="N209">
            <v>-15602.25</v>
          </cell>
          <cell r="O209">
            <v>-28057.34</v>
          </cell>
          <cell r="P209">
            <v>7178.74</v>
          </cell>
          <cell r="Q209">
            <v>8110.57</v>
          </cell>
          <cell r="R209">
            <v>17811.099999999999</v>
          </cell>
          <cell r="S209">
            <v>-26666.25</v>
          </cell>
          <cell r="T209">
            <v>3821.91</v>
          </cell>
          <cell r="U209">
            <v>3125.91</v>
          </cell>
          <cell r="V209">
            <v>4172.7700000000004</v>
          </cell>
          <cell r="W209">
            <v>16694.419999999998</v>
          </cell>
          <cell r="X209">
            <v>-9337.86</v>
          </cell>
          <cell r="Y209">
            <v>-9526.92</v>
          </cell>
          <cell r="Z209">
            <v>-6179.14</v>
          </cell>
          <cell r="AA209">
            <v>620.29</v>
          </cell>
          <cell r="AB209">
            <v>-5125.91</v>
          </cell>
          <cell r="AC209">
            <v>7421.94</v>
          </cell>
          <cell r="AD209">
            <v>27645.84</v>
          </cell>
          <cell r="AE209">
            <v>-10709.29</v>
          </cell>
          <cell r="AF209">
            <v>-20672.93</v>
          </cell>
          <cell r="AG209">
            <v>15323.38</v>
          </cell>
          <cell r="AH209">
            <v>6877.12</v>
          </cell>
          <cell r="AJ209">
            <v>13873.93</v>
          </cell>
        </row>
        <row r="210"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J210">
            <v>0</v>
          </cell>
        </row>
        <row r="211"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J211">
            <v>0</v>
          </cell>
        </row>
        <row r="212"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J212">
            <v>0</v>
          </cell>
        </row>
        <row r="214"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J214">
            <v>0</v>
          </cell>
        </row>
        <row r="215"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J215">
            <v>0</v>
          </cell>
        </row>
        <row r="216"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J216">
            <v>0</v>
          </cell>
        </row>
        <row r="217"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J217">
            <v>0</v>
          </cell>
        </row>
        <row r="218"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J218">
            <v>0</v>
          </cell>
        </row>
        <row r="219"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J219">
            <v>0</v>
          </cell>
        </row>
        <row r="220"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J220">
            <v>0</v>
          </cell>
        </row>
        <row r="221"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J221">
            <v>0</v>
          </cell>
        </row>
        <row r="222"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J222">
            <v>0</v>
          </cell>
        </row>
        <row r="224"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12598000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J224">
            <v>0</v>
          </cell>
        </row>
        <row r="226"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2267791537.5700002</v>
          </cell>
          <cell r="Q226">
            <v>1967499913.9000001</v>
          </cell>
          <cell r="R226">
            <v>1990300889.75</v>
          </cell>
          <cell r="S226">
            <v>1986463315.24</v>
          </cell>
          <cell r="T226">
            <v>2170761144.6300001</v>
          </cell>
          <cell r="U226">
            <v>2168125375.25</v>
          </cell>
          <cell r="V226">
            <v>2026105664.25</v>
          </cell>
          <cell r="W226">
            <v>1954265390.9200001</v>
          </cell>
          <cell r="X226">
            <v>1606236217.6900001</v>
          </cell>
          <cell r="Y226">
            <v>1821300431.6300001</v>
          </cell>
          <cell r="Z226">
            <v>1999786686.54</v>
          </cell>
          <cell r="AA226">
            <v>2357052016.1999998</v>
          </cell>
          <cell r="AB226">
            <v>2348637744.5500002</v>
          </cell>
          <cell r="AC226">
            <v>2008674747.0899999</v>
          </cell>
          <cell r="AD226">
            <v>1888883716.1900001</v>
          </cell>
          <cell r="AE226">
            <v>2024327675.46</v>
          </cell>
          <cell r="AF226">
            <v>2258213062.23</v>
          </cell>
          <cell r="AG226">
            <v>2315774283.4699998</v>
          </cell>
          <cell r="AH226">
            <v>2225264495.8499999</v>
          </cell>
          <cell r="AJ226">
            <v>0</v>
          </cell>
        </row>
        <row r="227"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87571678.200000003</v>
          </cell>
          <cell r="Q227">
            <v>78490138.819999993</v>
          </cell>
          <cell r="R227">
            <v>76398536.030000001</v>
          </cell>
          <cell r="S227">
            <v>80195187.760000005</v>
          </cell>
          <cell r="T227">
            <v>92824456.75</v>
          </cell>
          <cell r="U227">
            <v>93357371.640000001</v>
          </cell>
          <cell r="V227">
            <v>84416894.819999993</v>
          </cell>
          <cell r="W227">
            <v>77301710.5</v>
          </cell>
          <cell r="X227">
            <v>70955916.689999998</v>
          </cell>
          <cell r="Y227">
            <v>77450769.810000002</v>
          </cell>
          <cell r="Z227">
            <v>82013807.900000006</v>
          </cell>
          <cell r="AA227">
            <v>82013807.900000006</v>
          </cell>
          <cell r="AB227">
            <v>109041000</v>
          </cell>
          <cell r="AC227">
            <v>93315000</v>
          </cell>
          <cell r="AD227">
            <v>89916000</v>
          </cell>
          <cell r="AE227">
            <v>97275000</v>
          </cell>
          <cell r="AF227">
            <v>108740000</v>
          </cell>
          <cell r="AG227">
            <v>119995000</v>
          </cell>
          <cell r="AH227">
            <v>100003000</v>
          </cell>
          <cell r="AJ227">
            <v>0</v>
          </cell>
        </row>
        <row r="228"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109739867.69</v>
          </cell>
          <cell r="Q228">
            <v>88724989.409999996</v>
          </cell>
          <cell r="R228">
            <v>71961139.969999999</v>
          </cell>
          <cell r="S228">
            <v>63372074.719999999</v>
          </cell>
          <cell r="T228">
            <v>71151338.180000007</v>
          </cell>
          <cell r="U228">
            <v>70036204.420000002</v>
          </cell>
          <cell r="V228">
            <v>64338309.229999997</v>
          </cell>
          <cell r="W228">
            <v>66822999.060000002</v>
          </cell>
          <cell r="X228">
            <v>71792248.969999999</v>
          </cell>
          <cell r="Y228">
            <v>91085101.590000004</v>
          </cell>
          <cell r="Z228">
            <v>93516091.390000001</v>
          </cell>
          <cell r="AA228">
            <v>93516091.390000001</v>
          </cell>
          <cell r="AB228">
            <v>103544836.27</v>
          </cell>
          <cell r="AC228">
            <v>82446092.489999995</v>
          </cell>
          <cell r="AD228">
            <v>74061946.010000005</v>
          </cell>
          <cell r="AE228">
            <v>63075788.100000001</v>
          </cell>
          <cell r="AF228">
            <v>70111623.400000006</v>
          </cell>
          <cell r="AG228">
            <v>67125588.829999998</v>
          </cell>
          <cell r="AH228">
            <v>64921905.990000002</v>
          </cell>
          <cell r="AJ228">
            <v>0</v>
          </cell>
        </row>
        <row r="230"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J230">
            <v>0</v>
          </cell>
        </row>
        <row r="231"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J231">
            <v>0</v>
          </cell>
        </row>
        <row r="232"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J232">
            <v>0</v>
          </cell>
        </row>
        <row r="233"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J233">
            <v>0</v>
          </cell>
        </row>
        <row r="234"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J234">
            <v>0</v>
          </cell>
        </row>
        <row r="235"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J235">
            <v>0</v>
          </cell>
        </row>
        <row r="236"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J236">
            <v>0</v>
          </cell>
        </row>
        <row r="237"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J237">
            <v>0</v>
          </cell>
        </row>
        <row r="238"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J238">
            <v>0</v>
          </cell>
        </row>
        <row r="239"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J239">
            <v>0</v>
          </cell>
        </row>
        <row r="240"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J240">
            <v>0</v>
          </cell>
        </row>
        <row r="241"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J241">
            <v>0</v>
          </cell>
        </row>
        <row r="243"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J243">
            <v>0</v>
          </cell>
        </row>
        <row r="244"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J244">
            <v>0</v>
          </cell>
        </row>
        <row r="245"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J245">
            <v>0</v>
          </cell>
        </row>
        <row r="246"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J246">
            <v>0</v>
          </cell>
        </row>
        <row r="247"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J247">
            <v>0</v>
          </cell>
        </row>
        <row r="248"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J248">
            <v>0</v>
          </cell>
        </row>
        <row r="249"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J249">
            <v>0</v>
          </cell>
        </row>
        <row r="250"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J250">
            <v>0</v>
          </cell>
        </row>
        <row r="251"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J251">
            <v>0</v>
          </cell>
        </row>
        <row r="252"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J252">
            <v>0</v>
          </cell>
        </row>
        <row r="253"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J253">
            <v>0</v>
          </cell>
        </row>
        <row r="254"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J254">
            <v>0</v>
          </cell>
        </row>
        <row r="256">
          <cell r="J256">
            <v>22682202.199999999</v>
          </cell>
          <cell r="K256">
            <v>23536609.100000001</v>
          </cell>
          <cell r="L256">
            <v>34557126</v>
          </cell>
          <cell r="M256">
            <v>38673608.399999999</v>
          </cell>
          <cell r="N256">
            <v>46001001.100000001</v>
          </cell>
          <cell r="O256">
            <v>56599201.100000001</v>
          </cell>
          <cell r="P256">
            <v>24268539.600000001</v>
          </cell>
          <cell r="Q256">
            <v>16106628.199999999</v>
          </cell>
          <cell r="R256">
            <v>11889854</v>
          </cell>
          <cell r="S256">
            <v>12421659.4</v>
          </cell>
          <cell r="T256">
            <v>13338279.4</v>
          </cell>
          <cell r="U256">
            <v>13677823.199999999</v>
          </cell>
          <cell r="V256">
            <v>10916709.9</v>
          </cell>
          <cell r="W256">
            <v>11844715.5</v>
          </cell>
          <cell r="X256">
            <v>17318571.399999999</v>
          </cell>
          <cell r="Y256">
            <v>22293856.100000001</v>
          </cell>
          <cell r="Z256">
            <v>24484778.5</v>
          </cell>
          <cell r="AA256">
            <v>30165005.100000001</v>
          </cell>
          <cell r="AB256">
            <v>22743858.699999999</v>
          </cell>
          <cell r="AC256">
            <v>14646482.800000001</v>
          </cell>
          <cell r="AD256">
            <v>12022023.699999999</v>
          </cell>
          <cell r="AE256">
            <v>11841886.300000001</v>
          </cell>
          <cell r="AF256">
            <v>13080196</v>
          </cell>
          <cell r="AG256">
            <v>12695306.6</v>
          </cell>
          <cell r="AH256">
            <v>11395703.800000001</v>
          </cell>
          <cell r="AJ256">
            <v>23536609.100000001</v>
          </cell>
        </row>
        <row r="257"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21756728.800000001</v>
          </cell>
          <cell r="Q257">
            <v>14851381.9</v>
          </cell>
          <cell r="R257">
            <v>10994785.1</v>
          </cell>
          <cell r="S257">
            <v>11413222.800000001</v>
          </cell>
          <cell r="T257">
            <v>12124208.1</v>
          </cell>
          <cell r="U257">
            <v>12558820.9</v>
          </cell>
          <cell r="V257">
            <v>10110751.800000001</v>
          </cell>
          <cell r="W257">
            <v>10955074</v>
          </cell>
          <cell r="X257">
            <v>16107482.1</v>
          </cell>
          <cell r="Y257">
            <v>20193869.699999999</v>
          </cell>
          <cell r="Z257">
            <v>22163305.800000001</v>
          </cell>
          <cell r="AA257">
            <v>27529797.600000001</v>
          </cell>
          <cell r="AB257">
            <v>19948317.100000001</v>
          </cell>
          <cell r="AC257">
            <v>13478321.9</v>
          </cell>
          <cell r="AD257">
            <v>11108859.199999999</v>
          </cell>
          <cell r="AE257">
            <v>10855516.199999999</v>
          </cell>
          <cell r="AF257">
            <v>11778383.1</v>
          </cell>
          <cell r="AG257">
            <v>11623157.4</v>
          </cell>
          <cell r="AH257">
            <v>10568770.1</v>
          </cell>
          <cell r="AJ257">
            <v>0</v>
          </cell>
        </row>
        <row r="258"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4672627.8</v>
          </cell>
          <cell r="Q258">
            <v>3390627.5</v>
          </cell>
          <cell r="R258">
            <v>3446426.4</v>
          </cell>
          <cell r="S258">
            <v>4029883.9</v>
          </cell>
          <cell r="T258">
            <v>3781578.5</v>
          </cell>
          <cell r="U258">
            <v>3950893.4</v>
          </cell>
          <cell r="V258">
            <v>3767581.5</v>
          </cell>
          <cell r="W258">
            <v>3331413.1</v>
          </cell>
          <cell r="X258">
            <v>3701127.2</v>
          </cell>
          <cell r="Y258">
            <v>3966842.1</v>
          </cell>
          <cell r="Z258">
            <v>4150010.5</v>
          </cell>
          <cell r="AA258">
            <v>4807305.0999999996</v>
          </cell>
          <cell r="AB258">
            <v>4448937.5</v>
          </cell>
          <cell r="AC258">
            <v>3009859.4</v>
          </cell>
          <cell r="AD258">
            <v>3241677.9</v>
          </cell>
          <cell r="AE258">
            <v>3689481.2</v>
          </cell>
          <cell r="AF258">
            <v>3667123.2</v>
          </cell>
          <cell r="AG258">
            <v>3719079</v>
          </cell>
          <cell r="AH258">
            <v>3447805.7</v>
          </cell>
          <cell r="AJ258">
            <v>0</v>
          </cell>
        </row>
        <row r="259">
          <cell r="J259">
            <v>14204034</v>
          </cell>
          <cell r="K259">
            <v>13282031.6</v>
          </cell>
          <cell r="L259">
            <v>14207166.300000001</v>
          </cell>
          <cell r="M259">
            <v>15058682.800000001</v>
          </cell>
          <cell r="N259">
            <v>16454689.800000001</v>
          </cell>
          <cell r="O259">
            <v>18839702.5</v>
          </cell>
          <cell r="P259">
            <v>11763086.699999999</v>
          </cell>
          <cell r="Q259">
            <v>9590917.3000000007</v>
          </cell>
          <cell r="R259">
            <v>9731487.8000000007</v>
          </cell>
          <cell r="S259">
            <v>11175103.300000001</v>
          </cell>
          <cell r="T259">
            <v>11111906.4</v>
          </cell>
          <cell r="U259">
            <v>11775028.4</v>
          </cell>
          <cell r="V259">
            <v>10513440.6</v>
          </cell>
          <cell r="W259">
            <v>9790090.1999999993</v>
          </cell>
          <cell r="X259">
            <v>10386306.699999999</v>
          </cell>
          <cell r="Y259">
            <v>11261042.4</v>
          </cell>
          <cell r="Z259">
            <v>11961338.300000001</v>
          </cell>
          <cell r="AA259">
            <v>14135332.5</v>
          </cell>
          <cell r="AB259">
            <v>10915329.1</v>
          </cell>
          <cell r="AC259">
            <v>9473663.1999999993</v>
          </cell>
          <cell r="AD259">
            <v>9245880.9000000004</v>
          </cell>
          <cell r="AE259">
            <v>10607283.6</v>
          </cell>
          <cell r="AF259">
            <v>11258562.199999999</v>
          </cell>
          <cell r="AG259">
            <v>11282430.4</v>
          </cell>
          <cell r="AH259">
            <v>9977769.9000000004</v>
          </cell>
          <cell r="AJ259">
            <v>13282031.6</v>
          </cell>
        </row>
        <row r="260">
          <cell r="J260">
            <v>3205567.5</v>
          </cell>
          <cell r="K260">
            <v>3253425.5</v>
          </cell>
          <cell r="L260">
            <v>3301599.4</v>
          </cell>
          <cell r="M260">
            <v>3340302.4</v>
          </cell>
          <cell r="N260">
            <v>3166920.1</v>
          </cell>
          <cell r="O260">
            <v>3444101.7</v>
          </cell>
          <cell r="P260">
            <v>3709904.1</v>
          </cell>
          <cell r="Q260">
            <v>3223695</v>
          </cell>
          <cell r="R260">
            <v>1481043.3</v>
          </cell>
          <cell r="S260">
            <v>2377171</v>
          </cell>
          <cell r="T260">
            <v>1816857.5</v>
          </cell>
          <cell r="U260">
            <v>3146092.4</v>
          </cell>
          <cell r="V260">
            <v>3007019.2</v>
          </cell>
          <cell r="W260">
            <v>2284728.7000000002</v>
          </cell>
          <cell r="X260">
            <v>2813922.3</v>
          </cell>
          <cell r="Y260">
            <v>2854355.2</v>
          </cell>
          <cell r="Z260">
            <v>3353082</v>
          </cell>
          <cell r="AA260">
            <v>3253421.3</v>
          </cell>
          <cell r="AB260">
            <v>4578309.2</v>
          </cell>
          <cell r="AC260">
            <v>3306456.2</v>
          </cell>
          <cell r="AD260">
            <v>1740036.6</v>
          </cell>
          <cell r="AE260">
            <v>2465111.2999999998</v>
          </cell>
          <cell r="AF260">
            <v>2883196.8</v>
          </cell>
          <cell r="AG260">
            <v>3568828.5</v>
          </cell>
          <cell r="AH260">
            <v>3896837.9</v>
          </cell>
          <cell r="AJ260">
            <v>3253425.5</v>
          </cell>
        </row>
        <row r="261">
          <cell r="J261">
            <v>16409117.800000001</v>
          </cell>
          <cell r="K261">
            <v>16120799.800000001</v>
          </cell>
          <cell r="L261">
            <v>17468045.800000001</v>
          </cell>
          <cell r="M261">
            <v>18398455.699999999</v>
          </cell>
          <cell r="N261">
            <v>19300740.399999999</v>
          </cell>
          <cell r="O261">
            <v>18591268.800000001</v>
          </cell>
          <cell r="P261">
            <v>19466412.399999999</v>
          </cell>
          <cell r="Q261">
            <v>18379769.5</v>
          </cell>
          <cell r="R261">
            <v>17880522.899999999</v>
          </cell>
          <cell r="S261">
            <v>18055827.199999999</v>
          </cell>
          <cell r="T261">
            <v>16818960.300000001</v>
          </cell>
          <cell r="U261">
            <v>15015802.300000001</v>
          </cell>
          <cell r="V261">
            <v>17103450.600000001</v>
          </cell>
          <cell r="W261">
            <v>17443617</v>
          </cell>
          <cell r="X261">
            <v>18439028.399999999</v>
          </cell>
          <cell r="Y261">
            <v>19568214.600000001</v>
          </cell>
          <cell r="Z261">
            <v>19660309.399999999</v>
          </cell>
          <cell r="AA261">
            <v>19526635.300000001</v>
          </cell>
          <cell r="AB261">
            <v>19303469.899999999</v>
          </cell>
          <cell r="AC261">
            <v>18097413.800000001</v>
          </cell>
          <cell r="AD261">
            <v>17749536.100000001</v>
          </cell>
          <cell r="AE261">
            <v>17337190.399999999</v>
          </cell>
          <cell r="AF261">
            <v>16844295.100000001</v>
          </cell>
          <cell r="AG261">
            <v>14637189.1</v>
          </cell>
          <cell r="AH261">
            <v>16736662.9</v>
          </cell>
          <cell r="AJ261">
            <v>16120799.800000001</v>
          </cell>
        </row>
        <row r="262">
          <cell r="J262">
            <v>209034.7</v>
          </cell>
          <cell r="K262">
            <v>222664.1</v>
          </cell>
          <cell r="L262">
            <v>242139.4</v>
          </cell>
          <cell r="M262">
            <v>278624.7</v>
          </cell>
          <cell r="N262">
            <v>264460.59999999998</v>
          </cell>
          <cell r="O262">
            <v>317613.5</v>
          </cell>
          <cell r="P262">
            <v>331975.3</v>
          </cell>
          <cell r="Q262">
            <v>307366.3</v>
          </cell>
          <cell r="R262">
            <v>290591.2</v>
          </cell>
          <cell r="S262">
            <v>261771</v>
          </cell>
          <cell r="T262">
            <v>235673.9</v>
          </cell>
          <cell r="U262">
            <v>221499.7</v>
          </cell>
          <cell r="V262">
            <v>206881.8</v>
          </cell>
          <cell r="W262">
            <v>221905.9</v>
          </cell>
          <cell r="X262">
            <v>239524.4</v>
          </cell>
          <cell r="Y262">
            <v>280005.59999999998</v>
          </cell>
          <cell r="Z262">
            <v>267066.5</v>
          </cell>
          <cell r="AA262">
            <v>316897.59999999998</v>
          </cell>
          <cell r="AB262">
            <v>330932.8</v>
          </cell>
          <cell r="AC262">
            <v>309623.5</v>
          </cell>
          <cell r="AD262">
            <v>288101.3</v>
          </cell>
          <cell r="AE262">
            <v>252559.9</v>
          </cell>
          <cell r="AF262">
            <v>240592.1</v>
          </cell>
          <cell r="AG262">
            <v>221284.4</v>
          </cell>
          <cell r="AH262">
            <v>201564.1</v>
          </cell>
          <cell r="AJ262">
            <v>222664.1</v>
          </cell>
        </row>
        <row r="263">
          <cell r="J263">
            <v>6145376.4000000004</v>
          </cell>
          <cell r="K263">
            <v>6288572.7000000002</v>
          </cell>
          <cell r="L263">
            <v>6688439.9000000004</v>
          </cell>
          <cell r="M263">
            <v>7838648.0999999996</v>
          </cell>
          <cell r="N263">
            <v>8771994.3000000007</v>
          </cell>
          <cell r="O263">
            <v>9445202.5999999996</v>
          </cell>
          <cell r="P263">
            <v>8171852.5999999996</v>
          </cell>
          <cell r="Q263">
            <v>6619561.5</v>
          </cell>
          <cell r="R263">
            <v>6032299.2000000002</v>
          </cell>
          <cell r="S263">
            <v>7109026.2999999998</v>
          </cell>
          <cell r="T263">
            <v>5696424.5</v>
          </cell>
          <cell r="U263">
            <v>5784811</v>
          </cell>
          <cell r="V263">
            <v>6286188</v>
          </cell>
          <cell r="W263">
            <v>6190122.0999999996</v>
          </cell>
          <cell r="X263">
            <v>6703383</v>
          </cell>
          <cell r="Y263">
            <v>7839876.2000000002</v>
          </cell>
          <cell r="Z263">
            <v>8331275.4000000004</v>
          </cell>
          <cell r="AA263">
            <v>9557583.6999999993</v>
          </cell>
          <cell r="AB263">
            <v>7009581.2999999998</v>
          </cell>
          <cell r="AC263">
            <v>6344099.7000000002</v>
          </cell>
          <cell r="AD263">
            <v>6025690.2999999998</v>
          </cell>
          <cell r="AE263">
            <v>6704971.5</v>
          </cell>
          <cell r="AF263">
            <v>5862144.2000000002</v>
          </cell>
          <cell r="AG263">
            <v>5467550.9000000004</v>
          </cell>
          <cell r="AH263">
            <v>5930915.7999999998</v>
          </cell>
          <cell r="AJ263">
            <v>6288572.7000000002</v>
          </cell>
        </row>
        <row r="264">
          <cell r="J264">
            <v>158910.1</v>
          </cell>
          <cell r="K264">
            <v>153884.9</v>
          </cell>
          <cell r="L264">
            <v>167467.6</v>
          </cell>
          <cell r="M264">
            <v>173250.3</v>
          </cell>
          <cell r="N264">
            <v>181524.6</v>
          </cell>
          <cell r="O264">
            <v>217568.2</v>
          </cell>
          <cell r="P264">
            <v>205641.5</v>
          </cell>
          <cell r="Q264">
            <v>167638.1</v>
          </cell>
          <cell r="R264">
            <v>172553.2</v>
          </cell>
          <cell r="S264">
            <v>171391.2</v>
          </cell>
          <cell r="T264">
            <v>159421.79999999999</v>
          </cell>
          <cell r="U264">
            <v>169329</v>
          </cell>
          <cell r="V264">
            <v>151335.4</v>
          </cell>
          <cell r="W264">
            <v>147095.1</v>
          </cell>
          <cell r="X264">
            <v>158984.29999999999</v>
          </cell>
          <cell r="Y264">
            <v>174089.7</v>
          </cell>
          <cell r="Z264">
            <v>175752.4</v>
          </cell>
          <cell r="AA264">
            <v>218015.1</v>
          </cell>
          <cell r="AB264">
            <v>188878.4</v>
          </cell>
          <cell r="AC264">
            <v>158317.4</v>
          </cell>
          <cell r="AD264">
            <v>168449.1</v>
          </cell>
          <cell r="AE264">
            <v>135951.6</v>
          </cell>
          <cell r="AF264">
            <v>138167.20000000001</v>
          </cell>
          <cell r="AG264">
            <v>143654.79999999999</v>
          </cell>
          <cell r="AH264">
            <v>140652.70000000001</v>
          </cell>
          <cell r="AJ264">
            <v>153884.9</v>
          </cell>
        </row>
        <row r="265"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J265">
            <v>0</v>
          </cell>
        </row>
        <row r="266"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J266">
            <v>0</v>
          </cell>
        </row>
        <row r="267"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J267">
            <v>0</v>
          </cell>
        </row>
        <row r="269">
          <cell r="J269">
            <v>1336163.2</v>
          </cell>
          <cell r="K269">
            <v>1366949.2</v>
          </cell>
          <cell r="L269">
            <v>1942878.1</v>
          </cell>
          <cell r="M269">
            <v>2087057</v>
          </cell>
          <cell r="N269">
            <v>2489027.2000000002</v>
          </cell>
          <cell r="O269">
            <v>2986527.4</v>
          </cell>
          <cell r="P269">
            <v>1167675.2</v>
          </cell>
          <cell r="Q269">
            <v>794919.9</v>
          </cell>
          <cell r="R269">
            <v>606329.4</v>
          </cell>
          <cell r="S269">
            <v>628174.19999999995</v>
          </cell>
          <cell r="T269">
            <v>671108.5</v>
          </cell>
          <cell r="U269">
            <v>691117.6</v>
          </cell>
          <cell r="V269">
            <v>557772.19999999995</v>
          </cell>
          <cell r="W269">
            <v>602575.6</v>
          </cell>
          <cell r="X269">
            <v>858129.1</v>
          </cell>
          <cell r="Y269">
            <v>1072682.8999999999</v>
          </cell>
          <cell r="Z269">
            <v>1160379.1000000001</v>
          </cell>
          <cell r="AA269">
            <v>1421670.6</v>
          </cell>
          <cell r="AB269">
            <v>1109098.5</v>
          </cell>
          <cell r="AC269">
            <v>737297.8</v>
          </cell>
          <cell r="AD269">
            <v>622209.69999999995</v>
          </cell>
          <cell r="AE269">
            <v>607530.69999999995</v>
          </cell>
          <cell r="AF269">
            <v>665229</v>
          </cell>
          <cell r="AG269">
            <v>647188.19999999995</v>
          </cell>
          <cell r="AH269">
            <v>590123.9</v>
          </cell>
          <cell r="AJ269">
            <v>1366949.2</v>
          </cell>
        </row>
        <row r="270"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1053333.2</v>
          </cell>
          <cell r="Q270">
            <v>737169.1</v>
          </cell>
          <cell r="R270">
            <v>564550.69999999995</v>
          </cell>
          <cell r="S270">
            <v>581537.80000000005</v>
          </cell>
          <cell r="T270">
            <v>615514.1</v>
          </cell>
          <cell r="U270">
            <v>639734.69999999995</v>
          </cell>
          <cell r="V270">
            <v>520523.2</v>
          </cell>
          <cell r="W270">
            <v>562306.80000000005</v>
          </cell>
          <cell r="X270">
            <v>801816.2</v>
          </cell>
          <cell r="Y270">
            <v>977144</v>
          </cell>
          <cell r="Z270">
            <v>1055401.1000000001</v>
          </cell>
          <cell r="AA270">
            <v>1301260.1000000001</v>
          </cell>
          <cell r="AB270">
            <v>978415.8</v>
          </cell>
          <cell r="AC270">
            <v>681180.8</v>
          </cell>
          <cell r="AD270">
            <v>578082.80000000005</v>
          </cell>
          <cell r="AE270">
            <v>560476.4</v>
          </cell>
          <cell r="AF270">
            <v>603270.1</v>
          </cell>
          <cell r="AG270">
            <v>597775.4</v>
          </cell>
          <cell r="AH270">
            <v>552324</v>
          </cell>
          <cell r="AJ270">
            <v>0</v>
          </cell>
        </row>
        <row r="271"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243266.5</v>
          </cell>
          <cell r="Q271">
            <v>185486.8</v>
          </cell>
          <cell r="R271">
            <v>184184.5</v>
          </cell>
          <cell r="S271">
            <v>208183.6</v>
          </cell>
          <cell r="T271">
            <v>199193.1</v>
          </cell>
          <cell r="U271">
            <v>206993.7</v>
          </cell>
          <cell r="V271">
            <v>203009.9</v>
          </cell>
          <cell r="W271">
            <v>177664.9</v>
          </cell>
          <cell r="X271">
            <v>197379</v>
          </cell>
          <cell r="Y271">
            <v>214709.3</v>
          </cell>
          <cell r="Z271">
            <v>218305.9</v>
          </cell>
          <cell r="AA271">
            <v>252210.8</v>
          </cell>
          <cell r="AB271">
            <v>235625.60000000001</v>
          </cell>
          <cell r="AC271">
            <v>163020.70000000001</v>
          </cell>
          <cell r="AD271">
            <v>174208.1</v>
          </cell>
          <cell r="AE271">
            <v>195599.7</v>
          </cell>
          <cell r="AF271">
            <v>191814.7</v>
          </cell>
          <cell r="AG271">
            <v>196214.8</v>
          </cell>
          <cell r="AH271">
            <v>184800.9</v>
          </cell>
          <cell r="AJ271">
            <v>0</v>
          </cell>
        </row>
        <row r="272">
          <cell r="J272">
            <v>831084.10000000009</v>
          </cell>
          <cell r="K272">
            <v>762858.2</v>
          </cell>
          <cell r="L272">
            <v>821852.3</v>
          </cell>
          <cell r="M272">
            <v>864353.6</v>
          </cell>
          <cell r="N272">
            <v>941074</v>
          </cell>
          <cell r="O272">
            <v>1040111.2</v>
          </cell>
          <cell r="P272">
            <v>584348.80000000005</v>
          </cell>
          <cell r="Q272">
            <v>485810.4</v>
          </cell>
          <cell r="R272">
            <v>481418.1</v>
          </cell>
          <cell r="S272">
            <v>553164.80000000005</v>
          </cell>
          <cell r="T272">
            <v>545096.5</v>
          </cell>
          <cell r="U272">
            <v>571476.5</v>
          </cell>
          <cell r="V272">
            <v>523844.7</v>
          </cell>
          <cell r="W272">
            <v>483762.3</v>
          </cell>
          <cell r="X272">
            <v>524906.6</v>
          </cell>
          <cell r="Y272">
            <v>572001.4</v>
          </cell>
          <cell r="Z272">
            <v>596365.30000000005</v>
          </cell>
          <cell r="AA272">
            <v>687758.3</v>
          </cell>
          <cell r="AB272">
            <v>542603</v>
          </cell>
          <cell r="AC272">
            <v>484001.4</v>
          </cell>
          <cell r="AD272">
            <v>463066.5</v>
          </cell>
          <cell r="AE272">
            <v>523042.9</v>
          </cell>
          <cell r="AF272">
            <v>556400.19999999995</v>
          </cell>
          <cell r="AG272">
            <v>552492.30000000005</v>
          </cell>
          <cell r="AH272">
            <v>490690.1</v>
          </cell>
          <cell r="AJ272">
            <v>762858.2</v>
          </cell>
        </row>
        <row r="273">
          <cell r="J273">
            <v>168847.09999999998</v>
          </cell>
          <cell r="K273">
            <v>170095.8</v>
          </cell>
          <cell r="L273">
            <v>177018.3</v>
          </cell>
          <cell r="M273">
            <v>171721.5</v>
          </cell>
          <cell r="N273">
            <v>162442.4</v>
          </cell>
          <cell r="O273">
            <v>169461.3</v>
          </cell>
          <cell r="P273">
            <v>166640.79999999999</v>
          </cell>
          <cell r="Q273">
            <v>145526.1</v>
          </cell>
          <cell r="R273">
            <v>67816.800000000003</v>
          </cell>
          <cell r="S273">
            <v>108898.9</v>
          </cell>
          <cell r="T273">
            <v>83106.399999999994</v>
          </cell>
          <cell r="U273">
            <v>141407.9</v>
          </cell>
          <cell r="V273">
            <v>135454.39999999999</v>
          </cell>
          <cell r="W273">
            <v>103492.2</v>
          </cell>
          <cell r="X273">
            <v>132406.29999999999</v>
          </cell>
          <cell r="Y273">
            <v>130411.7</v>
          </cell>
          <cell r="Z273">
            <v>149833.79999999999</v>
          </cell>
          <cell r="AA273">
            <v>141955.20000000001</v>
          </cell>
          <cell r="AB273">
            <v>207822.2</v>
          </cell>
          <cell r="AC273">
            <v>154569.60000000001</v>
          </cell>
          <cell r="AD273">
            <v>80807.399999999994</v>
          </cell>
          <cell r="AE273">
            <v>113307.5</v>
          </cell>
          <cell r="AF273">
            <v>133528.5</v>
          </cell>
          <cell r="AG273">
            <v>162951.9</v>
          </cell>
          <cell r="AH273">
            <v>179457.2</v>
          </cell>
          <cell r="AJ273">
            <v>170095.8</v>
          </cell>
        </row>
        <row r="274">
          <cell r="J274">
            <v>823865.70000000007</v>
          </cell>
          <cell r="K274">
            <v>784765.1</v>
          </cell>
          <cell r="L274">
            <v>841239.3</v>
          </cell>
          <cell r="M274">
            <v>861030.2</v>
          </cell>
          <cell r="N274">
            <v>904206.1</v>
          </cell>
          <cell r="O274">
            <v>853264.7</v>
          </cell>
          <cell r="P274">
            <v>790744.3</v>
          </cell>
          <cell r="Q274">
            <v>752776.8</v>
          </cell>
          <cell r="R274">
            <v>756096.7</v>
          </cell>
          <cell r="S274">
            <v>764893.1</v>
          </cell>
          <cell r="T274">
            <v>709572.9</v>
          </cell>
          <cell r="U274">
            <v>652378.69999999995</v>
          </cell>
          <cell r="V274">
            <v>728278.5</v>
          </cell>
          <cell r="W274">
            <v>727321.8</v>
          </cell>
          <cell r="X274">
            <v>767004.7</v>
          </cell>
          <cell r="Y274">
            <v>803837.1</v>
          </cell>
          <cell r="Z274">
            <v>791134.1</v>
          </cell>
          <cell r="AA274">
            <v>787416.4</v>
          </cell>
          <cell r="AB274">
            <v>807246.9</v>
          </cell>
          <cell r="AC274">
            <v>759972</v>
          </cell>
          <cell r="AD274">
            <v>771369.6</v>
          </cell>
          <cell r="AE274">
            <v>751822.4</v>
          </cell>
          <cell r="AF274">
            <v>722825.8</v>
          </cell>
          <cell r="AG274">
            <v>656812.4</v>
          </cell>
          <cell r="AH274">
            <v>715211.8</v>
          </cell>
          <cell r="AJ274">
            <v>784765.1</v>
          </cell>
        </row>
        <row r="275">
          <cell r="J275">
            <v>40320.400000000001</v>
          </cell>
          <cell r="K275">
            <v>39628.800000000003</v>
          </cell>
          <cell r="L275">
            <v>40467.9</v>
          </cell>
          <cell r="M275">
            <v>41030.400000000001</v>
          </cell>
          <cell r="N275">
            <v>39428.199999999997</v>
          </cell>
          <cell r="O275">
            <v>40625.699999999997</v>
          </cell>
          <cell r="P275">
            <v>40050</v>
          </cell>
          <cell r="Q275">
            <v>39554.6</v>
          </cell>
          <cell r="R275">
            <v>35636.9</v>
          </cell>
          <cell r="S275">
            <v>14672.3</v>
          </cell>
          <cell r="T275">
            <v>38934.9</v>
          </cell>
          <cell r="U275">
            <v>39825.599999999999</v>
          </cell>
          <cell r="V275">
            <v>38327.4</v>
          </cell>
          <cell r="W275">
            <v>37943.9</v>
          </cell>
          <cell r="X275">
            <v>38459.1</v>
          </cell>
          <cell r="Y275">
            <v>39632.1</v>
          </cell>
          <cell r="Z275">
            <v>38051.9</v>
          </cell>
          <cell r="AA275">
            <v>38768.9</v>
          </cell>
          <cell r="AB275">
            <v>34467</v>
          </cell>
          <cell r="AC275">
            <v>34640.800000000003</v>
          </cell>
          <cell r="AD275">
            <v>33775.300000000003</v>
          </cell>
          <cell r="AE275">
            <v>33686.800000000003</v>
          </cell>
          <cell r="AF275">
            <v>31710.9</v>
          </cell>
          <cell r="AG275">
            <v>32108.2</v>
          </cell>
          <cell r="AH275">
            <v>30977.9</v>
          </cell>
          <cell r="AJ275">
            <v>39628.800000000003</v>
          </cell>
        </row>
        <row r="276">
          <cell r="J276">
            <v>355510.6</v>
          </cell>
          <cell r="K276">
            <v>361578.5</v>
          </cell>
          <cell r="L276">
            <v>389226</v>
          </cell>
          <cell r="M276">
            <v>439771.8</v>
          </cell>
          <cell r="N276">
            <v>487524.9</v>
          </cell>
          <cell r="O276">
            <v>509014</v>
          </cell>
          <cell r="P276">
            <v>411569.7</v>
          </cell>
          <cell r="Q276">
            <v>342653.4</v>
          </cell>
          <cell r="R276">
            <v>317195.40000000002</v>
          </cell>
          <cell r="S276">
            <v>365613.4</v>
          </cell>
          <cell r="T276">
            <v>295998.5</v>
          </cell>
          <cell r="U276">
            <v>299274.8</v>
          </cell>
          <cell r="V276">
            <v>315711.8</v>
          </cell>
          <cell r="W276">
            <v>312681.7</v>
          </cell>
          <cell r="X276">
            <v>346108.4</v>
          </cell>
          <cell r="Y276">
            <v>394994</v>
          </cell>
          <cell r="Z276">
            <v>407977</v>
          </cell>
          <cell r="AA276">
            <v>461827.6</v>
          </cell>
          <cell r="AB276">
            <v>353335.3</v>
          </cell>
          <cell r="AC276">
            <v>329828.90000000002</v>
          </cell>
          <cell r="AD276">
            <v>309269.2</v>
          </cell>
          <cell r="AE276">
            <v>341117.2</v>
          </cell>
          <cell r="AF276">
            <v>305632.40000000002</v>
          </cell>
          <cell r="AG276">
            <v>282410</v>
          </cell>
          <cell r="AH276">
            <v>313014.59999999998</v>
          </cell>
          <cell r="AJ276">
            <v>361578.5</v>
          </cell>
        </row>
        <row r="277">
          <cell r="J277">
            <v>9462.3000000000011</v>
          </cell>
          <cell r="K277">
            <v>8995.7999999999993</v>
          </cell>
          <cell r="L277">
            <v>9590.7000000000007</v>
          </cell>
          <cell r="M277">
            <v>9826.1</v>
          </cell>
          <cell r="N277">
            <v>10126.1</v>
          </cell>
          <cell r="O277">
            <v>11592.9</v>
          </cell>
          <cell r="P277">
            <v>10366.200000000001</v>
          </cell>
          <cell r="Q277">
            <v>8818.4</v>
          </cell>
          <cell r="R277">
            <v>8972.4</v>
          </cell>
          <cell r="S277">
            <v>8687.4</v>
          </cell>
          <cell r="T277">
            <v>8131.3</v>
          </cell>
          <cell r="U277">
            <v>8515.6</v>
          </cell>
          <cell r="V277">
            <v>7857</v>
          </cell>
          <cell r="W277">
            <v>7571.4</v>
          </cell>
          <cell r="X277">
            <v>8061.6</v>
          </cell>
          <cell r="Y277">
            <v>8877.9</v>
          </cell>
          <cell r="Z277">
            <v>8642.7000000000007</v>
          </cell>
          <cell r="AA277">
            <v>10402.200000000001</v>
          </cell>
          <cell r="AB277">
            <v>8627.6</v>
          </cell>
          <cell r="AC277">
            <v>7270.3</v>
          </cell>
          <cell r="AD277">
            <v>7750.6</v>
          </cell>
          <cell r="AE277">
            <v>6155.4</v>
          </cell>
          <cell r="AF277">
            <v>6364</v>
          </cell>
          <cell r="AG277">
            <v>6569.5</v>
          </cell>
          <cell r="AH277">
            <v>6486.5</v>
          </cell>
          <cell r="AJ277">
            <v>8995.7999999999993</v>
          </cell>
        </row>
        <row r="278"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J278">
            <v>0</v>
          </cell>
        </row>
        <row r="279"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J279">
            <v>0</v>
          </cell>
        </row>
        <row r="280"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J280">
            <v>0</v>
          </cell>
        </row>
        <row r="282"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J282">
            <v>0</v>
          </cell>
        </row>
        <row r="283"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J283">
            <v>0</v>
          </cell>
        </row>
        <row r="284"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J284">
            <v>0</v>
          </cell>
        </row>
        <row r="285"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J285">
            <v>0</v>
          </cell>
        </row>
        <row r="286"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J286">
            <v>0</v>
          </cell>
        </row>
        <row r="287"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J287">
            <v>0</v>
          </cell>
        </row>
        <row r="288"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J288">
            <v>0</v>
          </cell>
        </row>
        <row r="289"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J289">
            <v>0</v>
          </cell>
        </row>
        <row r="290"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J290">
            <v>0</v>
          </cell>
        </row>
        <row r="291"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J291">
            <v>0</v>
          </cell>
        </row>
        <row r="292"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J292">
            <v>0</v>
          </cell>
        </row>
        <row r="293"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J293">
            <v>0</v>
          </cell>
        </row>
        <row r="295"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J295">
            <v>0</v>
          </cell>
        </row>
        <row r="296"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J296">
            <v>0</v>
          </cell>
        </row>
        <row r="297"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J297">
            <v>0</v>
          </cell>
        </row>
        <row r="298"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J298">
            <v>0</v>
          </cell>
        </row>
        <row r="299"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J299">
            <v>0</v>
          </cell>
        </row>
        <row r="300"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J300">
            <v>0</v>
          </cell>
        </row>
        <row r="301"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J301">
            <v>0</v>
          </cell>
        </row>
        <row r="302"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J302">
            <v>0</v>
          </cell>
        </row>
        <row r="303"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J303">
            <v>0</v>
          </cell>
        </row>
        <row r="304"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J304">
            <v>0</v>
          </cell>
        </row>
        <row r="305"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J305">
            <v>0</v>
          </cell>
        </row>
        <row r="306"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J306">
            <v>0</v>
          </cell>
        </row>
        <row r="308"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J308">
            <v>0</v>
          </cell>
        </row>
        <row r="309"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J309">
            <v>0</v>
          </cell>
        </row>
        <row r="310"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J310">
            <v>0</v>
          </cell>
        </row>
        <row r="311"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J311">
            <v>0</v>
          </cell>
        </row>
        <row r="312"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J312">
            <v>0</v>
          </cell>
        </row>
        <row r="313"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J313">
            <v>0</v>
          </cell>
        </row>
        <row r="314"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J314">
            <v>0</v>
          </cell>
        </row>
        <row r="315"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J315">
            <v>0</v>
          </cell>
        </row>
        <row r="316"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J316">
            <v>0</v>
          </cell>
        </row>
        <row r="317"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J317">
            <v>0</v>
          </cell>
        </row>
        <row r="318"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J318">
            <v>0</v>
          </cell>
        </row>
        <row r="319"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J319">
            <v>0</v>
          </cell>
        </row>
        <row r="321"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J321">
            <v>0</v>
          </cell>
        </row>
        <row r="322"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J322">
            <v>0</v>
          </cell>
        </row>
        <row r="323"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J323">
            <v>0</v>
          </cell>
        </row>
        <row r="324"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J324">
            <v>0</v>
          </cell>
        </row>
        <row r="325"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J325">
            <v>0</v>
          </cell>
        </row>
        <row r="326"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J326">
            <v>0</v>
          </cell>
        </row>
        <row r="327"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J327">
            <v>0</v>
          </cell>
        </row>
        <row r="328"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J328">
            <v>0</v>
          </cell>
        </row>
        <row r="329"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J329">
            <v>0</v>
          </cell>
        </row>
        <row r="330"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J330">
            <v>0</v>
          </cell>
        </row>
        <row r="331"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J331">
            <v>0</v>
          </cell>
        </row>
        <row r="332"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J332">
            <v>0</v>
          </cell>
        </row>
        <row r="334"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J334">
            <v>0</v>
          </cell>
        </row>
        <row r="335"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J335">
            <v>0</v>
          </cell>
        </row>
        <row r="336"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J336">
            <v>0</v>
          </cell>
        </row>
        <row r="337"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J337">
            <v>0</v>
          </cell>
        </row>
        <row r="338"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J338">
            <v>0</v>
          </cell>
        </row>
        <row r="339"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J339">
            <v>0</v>
          </cell>
        </row>
        <row r="340"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J340">
            <v>0</v>
          </cell>
        </row>
        <row r="341"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J341">
            <v>0</v>
          </cell>
        </row>
        <row r="342"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J342">
            <v>0</v>
          </cell>
        </row>
        <row r="343"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J343">
            <v>0</v>
          </cell>
        </row>
        <row r="344"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J344">
            <v>0</v>
          </cell>
        </row>
        <row r="345"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J345">
            <v>0</v>
          </cell>
        </row>
        <row r="347">
          <cell r="J347">
            <v>-39883.800000000003</v>
          </cell>
          <cell r="K347">
            <v>-41188</v>
          </cell>
          <cell r="L347">
            <v>-58257.2</v>
          </cell>
          <cell r="M347">
            <v>-62747.8</v>
          </cell>
          <cell r="N347">
            <v>-73101.2</v>
          </cell>
          <cell r="O347">
            <v>-89171.5</v>
          </cell>
          <cell r="P347">
            <v>-43744.5</v>
          </cell>
          <cell r="Q347">
            <v>-30028.400000000001</v>
          </cell>
          <cell r="R347">
            <v>-23141.200000000001</v>
          </cell>
          <cell r="S347">
            <v>-23913</v>
          </cell>
          <cell r="T347">
            <v>-25506.9</v>
          </cell>
          <cell r="U347">
            <v>-26302.2</v>
          </cell>
          <cell r="V347">
            <v>-21300.5</v>
          </cell>
          <cell r="W347">
            <v>-22980.9</v>
          </cell>
          <cell r="X347">
            <v>-32457.3</v>
          </cell>
          <cell r="Y347">
            <v>-40186</v>
          </cell>
          <cell r="Z347">
            <v>-43250.8</v>
          </cell>
          <cell r="AA347">
            <v>-52890</v>
          </cell>
          <cell r="AB347">
            <v>-27247.599999999999</v>
          </cell>
          <cell r="AC347">
            <v>-17546.8</v>
          </cell>
          <cell r="AD347">
            <v>-14402.6</v>
          </cell>
          <cell r="AE347">
            <v>-14186.8</v>
          </cell>
          <cell r="AF347">
            <v>-15670.3</v>
          </cell>
          <cell r="AG347">
            <v>-15209.2</v>
          </cell>
          <cell r="AH347">
            <v>-12535.3</v>
          </cell>
          <cell r="AJ347">
            <v>-41188</v>
          </cell>
        </row>
        <row r="348"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-39542</v>
          </cell>
          <cell r="Q348">
            <v>-27897.8</v>
          </cell>
          <cell r="R348">
            <v>-21592.1</v>
          </cell>
          <cell r="S348">
            <v>-22189.3</v>
          </cell>
          <cell r="T348">
            <v>-23459.3</v>
          </cell>
          <cell r="U348">
            <v>-24407.8</v>
          </cell>
          <cell r="V348">
            <v>-19924.099999999999</v>
          </cell>
          <cell r="W348">
            <v>-21503.9</v>
          </cell>
          <cell r="X348">
            <v>-30372.1</v>
          </cell>
          <cell r="Y348">
            <v>-36675.4</v>
          </cell>
          <cell r="Z348">
            <v>-39401.699999999997</v>
          </cell>
          <cell r="AA348">
            <v>-48458.6</v>
          </cell>
          <cell r="AB348">
            <v>-23898.5</v>
          </cell>
          <cell r="AC348">
            <v>-16147.3</v>
          </cell>
          <cell r="AD348">
            <v>-13308.6</v>
          </cell>
          <cell r="AE348">
            <v>-13005.1</v>
          </cell>
          <cell r="AF348">
            <v>-14110.7</v>
          </cell>
          <cell r="AG348">
            <v>-13924.8</v>
          </cell>
          <cell r="AH348">
            <v>-11625.6</v>
          </cell>
          <cell r="AJ348">
            <v>0</v>
          </cell>
        </row>
        <row r="349"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-9343.1</v>
          </cell>
          <cell r="Q349">
            <v>-7227.1</v>
          </cell>
          <cell r="R349">
            <v>-7128.6</v>
          </cell>
          <cell r="S349">
            <v>-7977</v>
          </cell>
          <cell r="T349">
            <v>-7677</v>
          </cell>
          <cell r="U349">
            <v>-7964.9</v>
          </cell>
          <cell r="V349">
            <v>-7875.9</v>
          </cell>
          <cell r="W349">
            <v>-6872.1</v>
          </cell>
          <cell r="X349">
            <v>-7634.6</v>
          </cell>
          <cell r="Y349">
            <v>-8340.5</v>
          </cell>
          <cell r="Z349">
            <v>-8410.2999999999993</v>
          </cell>
          <cell r="AA349">
            <v>-9708.7999999999993</v>
          </cell>
          <cell r="AB349">
            <v>-5329.9</v>
          </cell>
          <cell r="AC349">
            <v>-3605.9</v>
          </cell>
          <cell r="AD349">
            <v>-3883.6</v>
          </cell>
          <cell r="AE349">
            <v>-4420.1000000000004</v>
          </cell>
          <cell r="AF349">
            <v>-4393.3</v>
          </cell>
          <cell r="AG349">
            <v>-4455.5</v>
          </cell>
          <cell r="AH349">
            <v>-3792.6</v>
          </cell>
          <cell r="AJ349">
            <v>0</v>
          </cell>
        </row>
        <row r="350">
          <cell r="J350">
            <v>-24723.200000000001</v>
          </cell>
          <cell r="K350">
            <v>-22861.1</v>
          </cell>
          <cell r="L350">
            <v>-24984.6</v>
          </cell>
          <cell r="M350">
            <v>-26746.9</v>
          </cell>
          <cell r="N350">
            <v>-28419.9</v>
          </cell>
          <cell r="O350">
            <v>-31741.4</v>
          </cell>
          <cell r="P350">
            <v>-22120.1</v>
          </cell>
          <cell r="Q350">
            <v>-18502.900000000001</v>
          </cell>
          <cell r="R350">
            <v>-18199.5</v>
          </cell>
          <cell r="S350">
            <v>-20915.8</v>
          </cell>
          <cell r="T350">
            <v>-20551</v>
          </cell>
          <cell r="U350">
            <v>-21470.400000000001</v>
          </cell>
          <cell r="V350">
            <v>-19848.7</v>
          </cell>
          <cell r="W350">
            <v>-18281.400000000001</v>
          </cell>
          <cell r="X350">
            <v>-19977.900000000001</v>
          </cell>
          <cell r="Y350">
            <v>-21804.5</v>
          </cell>
          <cell r="Z350">
            <v>-22601.1</v>
          </cell>
          <cell r="AA350">
            <v>-25860.5</v>
          </cell>
          <cell r="AB350">
            <v>-13076.8</v>
          </cell>
          <cell r="AC350">
            <v>-11349.6</v>
          </cell>
          <cell r="AD350">
            <v>-11076.7</v>
          </cell>
          <cell r="AE350">
            <v>-12707.7</v>
          </cell>
          <cell r="AF350">
            <v>-13488</v>
          </cell>
          <cell r="AG350">
            <v>-13516.6</v>
          </cell>
          <cell r="AH350">
            <v>-10975.5</v>
          </cell>
          <cell r="AJ350">
            <v>-22861.1</v>
          </cell>
        </row>
        <row r="351">
          <cell r="J351">
            <v>-4741.8999999999996</v>
          </cell>
          <cell r="K351">
            <v>-4849.3</v>
          </cell>
          <cell r="L351">
            <v>-5180.7</v>
          </cell>
          <cell r="M351">
            <v>-5037.3</v>
          </cell>
          <cell r="N351">
            <v>-4633.6000000000004</v>
          </cell>
          <cell r="O351">
            <v>-4876.8999999999996</v>
          </cell>
          <cell r="P351">
            <v>-6095.2</v>
          </cell>
          <cell r="Q351">
            <v>-5332.6</v>
          </cell>
          <cell r="R351">
            <v>-2497.8000000000002</v>
          </cell>
          <cell r="S351">
            <v>-4011.5</v>
          </cell>
          <cell r="T351">
            <v>-3059.7</v>
          </cell>
          <cell r="U351">
            <v>-5173.5</v>
          </cell>
          <cell r="V351">
            <v>-4959.6000000000004</v>
          </cell>
          <cell r="W351">
            <v>-3797</v>
          </cell>
          <cell r="X351">
            <v>-4923.2</v>
          </cell>
          <cell r="Y351">
            <v>-4799.3999999999996</v>
          </cell>
          <cell r="Z351">
            <v>-5470.1</v>
          </cell>
          <cell r="AA351">
            <v>-5136.5</v>
          </cell>
          <cell r="AB351">
            <v>-5484.9</v>
          </cell>
          <cell r="AC351">
            <v>-3961.2</v>
          </cell>
          <cell r="AD351">
            <v>-2084.6</v>
          </cell>
          <cell r="AE351">
            <v>-2953.3</v>
          </cell>
          <cell r="AF351">
            <v>-3454.1</v>
          </cell>
          <cell r="AG351">
            <v>-4275.5</v>
          </cell>
          <cell r="AH351">
            <v>-4286.5</v>
          </cell>
          <cell r="AJ351">
            <v>-4849.3</v>
          </cell>
        </row>
        <row r="352">
          <cell r="J352">
            <v>-22462.7</v>
          </cell>
          <cell r="K352">
            <v>-21429.3</v>
          </cell>
          <cell r="L352">
            <v>-23142.9</v>
          </cell>
          <cell r="M352">
            <v>-23948.9</v>
          </cell>
          <cell r="N352">
            <v>-24398.9</v>
          </cell>
          <cell r="O352">
            <v>-23572.799999999999</v>
          </cell>
          <cell r="P352">
            <v>-27807.7</v>
          </cell>
          <cell r="Q352">
            <v>-26563.5</v>
          </cell>
          <cell r="R352">
            <v>-27028.2</v>
          </cell>
          <cell r="S352">
            <v>-27362.3</v>
          </cell>
          <cell r="T352">
            <v>-25342</v>
          </cell>
          <cell r="U352">
            <v>-23567.4</v>
          </cell>
          <cell r="V352">
            <v>-26105.200000000001</v>
          </cell>
          <cell r="W352">
            <v>-25853.7</v>
          </cell>
          <cell r="X352">
            <v>-27238.2</v>
          </cell>
          <cell r="Y352">
            <v>-28400.2</v>
          </cell>
          <cell r="Z352">
            <v>-27711</v>
          </cell>
          <cell r="AA352">
            <v>-27605.5</v>
          </cell>
          <cell r="AB352">
            <v>-23125.9</v>
          </cell>
          <cell r="AC352">
            <v>-21681.1</v>
          </cell>
          <cell r="AD352">
            <v>-21264.3</v>
          </cell>
          <cell r="AE352">
            <v>-20770.3</v>
          </cell>
          <cell r="AF352">
            <v>-20179.8</v>
          </cell>
          <cell r="AG352">
            <v>-17535.599999999999</v>
          </cell>
          <cell r="AH352">
            <v>-18410.3</v>
          </cell>
          <cell r="AJ352">
            <v>-21429.3</v>
          </cell>
        </row>
        <row r="353">
          <cell r="J353">
            <v>-1621.3</v>
          </cell>
          <cell r="K353">
            <v>-1584.7</v>
          </cell>
          <cell r="L353">
            <v>-1610.3</v>
          </cell>
          <cell r="M353">
            <v>-1615.7</v>
          </cell>
          <cell r="N353">
            <v>-1544.7</v>
          </cell>
          <cell r="O353">
            <v>-1568.8</v>
          </cell>
          <cell r="P353">
            <v>-1800.1</v>
          </cell>
          <cell r="Q353">
            <v>-1790.1</v>
          </cell>
          <cell r="R353">
            <v>-1604.6</v>
          </cell>
          <cell r="S353">
            <v>-575.5</v>
          </cell>
          <cell r="T353">
            <v>-1802.1</v>
          </cell>
          <cell r="U353">
            <v>-1855.1</v>
          </cell>
          <cell r="V353">
            <v>-1789</v>
          </cell>
          <cell r="W353">
            <v>-1760.9</v>
          </cell>
          <cell r="X353">
            <v>-1776.1</v>
          </cell>
          <cell r="Y353">
            <v>-1810.4</v>
          </cell>
          <cell r="Z353">
            <v>-1739.2</v>
          </cell>
          <cell r="AA353">
            <v>-1745.2</v>
          </cell>
          <cell r="AB353">
            <v>-396.5</v>
          </cell>
          <cell r="AC353">
            <v>-370.9</v>
          </cell>
          <cell r="AD353">
            <v>-345.2</v>
          </cell>
          <cell r="AE353">
            <v>-302.60000000000002</v>
          </cell>
          <cell r="AF353">
            <v>-288.2</v>
          </cell>
          <cell r="AG353">
            <v>-265.10000000000002</v>
          </cell>
          <cell r="AH353">
            <v>-221.7</v>
          </cell>
          <cell r="AJ353">
            <v>-1584.7</v>
          </cell>
        </row>
        <row r="354">
          <cell r="J354">
            <v>-10514.8</v>
          </cell>
          <cell r="K354">
            <v>-10841.5</v>
          </cell>
          <cell r="L354">
            <v>-11865.8</v>
          </cell>
          <cell r="M354">
            <v>-13468.1</v>
          </cell>
          <cell r="N354">
            <v>-14516.7</v>
          </cell>
          <cell r="O354">
            <v>-15356.5</v>
          </cell>
          <cell r="P354">
            <v>-15647.4</v>
          </cell>
          <cell r="Q354">
            <v>-13137.5</v>
          </cell>
          <cell r="R354">
            <v>-12218.6</v>
          </cell>
          <cell r="S354">
            <v>-13990.3</v>
          </cell>
          <cell r="T354">
            <v>-11361.8</v>
          </cell>
          <cell r="U354">
            <v>-11472.4</v>
          </cell>
          <cell r="V354">
            <v>-11992.5</v>
          </cell>
          <cell r="W354">
            <v>-11898.7</v>
          </cell>
          <cell r="X354">
            <v>-13259.7</v>
          </cell>
          <cell r="Y354">
            <v>-15018.9</v>
          </cell>
          <cell r="Z354">
            <v>-15372.6</v>
          </cell>
          <cell r="AA354">
            <v>-17325.900000000001</v>
          </cell>
          <cell r="AB354">
            <v>-8397.6</v>
          </cell>
          <cell r="AC354">
            <v>-7600.4</v>
          </cell>
          <cell r="AD354">
            <v>-7218.9</v>
          </cell>
          <cell r="AE354">
            <v>-8032.7</v>
          </cell>
          <cell r="AF354">
            <v>-7023</v>
          </cell>
          <cell r="AG354">
            <v>-6550.2</v>
          </cell>
          <cell r="AH354">
            <v>-6524</v>
          </cell>
          <cell r="AJ354">
            <v>-10841.5</v>
          </cell>
        </row>
        <row r="355">
          <cell r="J355">
            <v>-284</v>
          </cell>
          <cell r="K355">
            <v>-271.89999999999998</v>
          </cell>
          <cell r="L355">
            <v>-290.2</v>
          </cell>
          <cell r="M355">
            <v>-302.39999999999998</v>
          </cell>
          <cell r="N355">
            <v>-302.10000000000002</v>
          </cell>
          <cell r="O355">
            <v>-347.8</v>
          </cell>
          <cell r="P355">
            <v>-394.2</v>
          </cell>
          <cell r="Q355">
            <v>-339.7</v>
          </cell>
          <cell r="R355">
            <v>-344.5</v>
          </cell>
          <cell r="S355">
            <v>-330.9</v>
          </cell>
          <cell r="T355">
            <v>-310.39999999999998</v>
          </cell>
          <cell r="U355">
            <v>-323.60000000000002</v>
          </cell>
          <cell r="V355">
            <v>-301.5</v>
          </cell>
          <cell r="W355">
            <v>-289.8</v>
          </cell>
          <cell r="X355">
            <v>-307.10000000000002</v>
          </cell>
          <cell r="Y355">
            <v>-338.8</v>
          </cell>
          <cell r="Z355">
            <v>-326.10000000000002</v>
          </cell>
          <cell r="AA355">
            <v>-388.6</v>
          </cell>
          <cell r="AB355">
            <v>-226.3</v>
          </cell>
          <cell r="AC355">
            <v>-189.7</v>
          </cell>
          <cell r="AD355">
            <v>-201.8</v>
          </cell>
          <cell r="AE355">
            <v>-162.9</v>
          </cell>
          <cell r="AF355">
            <v>-165.5</v>
          </cell>
          <cell r="AG355">
            <v>-172.1</v>
          </cell>
          <cell r="AH355">
            <v>-154.69999999999999</v>
          </cell>
          <cell r="AJ355">
            <v>-271.89999999999998</v>
          </cell>
        </row>
        <row r="356"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J356">
            <v>0</v>
          </cell>
        </row>
        <row r="357"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J357">
            <v>0</v>
          </cell>
        </row>
        <row r="358"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J358">
            <v>0</v>
          </cell>
        </row>
        <row r="360"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J360">
            <v>0</v>
          </cell>
        </row>
        <row r="361"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J361">
            <v>0</v>
          </cell>
        </row>
        <row r="362"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J362">
            <v>0</v>
          </cell>
        </row>
        <row r="363"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J363">
            <v>0</v>
          </cell>
        </row>
        <row r="364"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J364">
            <v>0</v>
          </cell>
        </row>
        <row r="365"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J365">
            <v>0</v>
          </cell>
        </row>
        <row r="366"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J366">
            <v>0</v>
          </cell>
        </row>
        <row r="367"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J367">
            <v>0</v>
          </cell>
        </row>
        <row r="368"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J368">
            <v>0</v>
          </cell>
        </row>
        <row r="369"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J369">
            <v>0</v>
          </cell>
        </row>
        <row r="370"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J370">
            <v>0</v>
          </cell>
        </row>
        <row r="371"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J371">
            <v>0</v>
          </cell>
        </row>
        <row r="373"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J373">
            <v>0</v>
          </cell>
        </row>
        <row r="374"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J374">
            <v>0</v>
          </cell>
        </row>
        <row r="375"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J375">
            <v>0</v>
          </cell>
        </row>
        <row r="376"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J376">
            <v>0</v>
          </cell>
        </row>
        <row r="377"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J377">
            <v>0</v>
          </cell>
        </row>
        <row r="378"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J378">
            <v>0</v>
          </cell>
        </row>
        <row r="379"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J379">
            <v>0</v>
          </cell>
        </row>
        <row r="380"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J380">
            <v>0</v>
          </cell>
        </row>
        <row r="381"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J381">
            <v>0</v>
          </cell>
        </row>
        <row r="382"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J382">
            <v>0</v>
          </cell>
        </row>
        <row r="383"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J383">
            <v>0</v>
          </cell>
        </row>
        <row r="384"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J384">
            <v>0</v>
          </cell>
        </row>
        <row r="386">
          <cell r="J386">
            <v>1296279.3999999999</v>
          </cell>
          <cell r="K386">
            <v>1325761.2</v>
          </cell>
          <cell r="L386">
            <v>1884620.9</v>
          </cell>
          <cell r="M386">
            <v>2024309.2</v>
          </cell>
          <cell r="N386">
            <v>2415926</v>
          </cell>
          <cell r="O386">
            <v>2897355.9</v>
          </cell>
          <cell r="P386">
            <v>1123930.7</v>
          </cell>
          <cell r="Q386">
            <v>764891.5</v>
          </cell>
          <cell r="R386">
            <v>583188.19999999995</v>
          </cell>
          <cell r="S386">
            <v>604261.19999999995</v>
          </cell>
          <cell r="T386">
            <v>645601.6</v>
          </cell>
          <cell r="U386">
            <v>664815.4</v>
          </cell>
          <cell r="V386">
            <v>536471.69999999995</v>
          </cell>
          <cell r="W386">
            <v>579594.69999999995</v>
          </cell>
          <cell r="X386">
            <v>825671.8</v>
          </cell>
          <cell r="Y386">
            <v>1032496.9</v>
          </cell>
          <cell r="Z386">
            <v>1117128.3</v>
          </cell>
          <cell r="AA386">
            <v>1368780.6</v>
          </cell>
          <cell r="AB386">
            <v>1081850.8999999999</v>
          </cell>
          <cell r="AC386">
            <v>719751</v>
          </cell>
          <cell r="AD386">
            <v>607807.1</v>
          </cell>
          <cell r="AE386">
            <v>593343.9</v>
          </cell>
          <cell r="AF386">
            <v>649558.69999999995</v>
          </cell>
          <cell r="AG386">
            <v>631979</v>
          </cell>
          <cell r="AH386">
            <v>577588.6</v>
          </cell>
          <cell r="AJ386">
            <v>1325761.2</v>
          </cell>
        </row>
        <row r="387"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1013791.2</v>
          </cell>
          <cell r="Q387">
            <v>709271.3</v>
          </cell>
          <cell r="R387">
            <v>542958.6</v>
          </cell>
          <cell r="S387">
            <v>559348.5</v>
          </cell>
          <cell r="T387">
            <v>592054.80000000005</v>
          </cell>
          <cell r="U387">
            <v>615326.9</v>
          </cell>
          <cell r="V387">
            <v>500599.1</v>
          </cell>
          <cell r="W387">
            <v>540802.9</v>
          </cell>
          <cell r="X387">
            <v>771444.1</v>
          </cell>
          <cell r="Y387">
            <v>940468.6</v>
          </cell>
          <cell r="Z387">
            <v>1015999.4</v>
          </cell>
          <cell r="AA387">
            <v>1252801.5</v>
          </cell>
          <cell r="AB387">
            <v>954517.3</v>
          </cell>
          <cell r="AC387">
            <v>665033.5</v>
          </cell>
          <cell r="AD387">
            <v>564774.19999999995</v>
          </cell>
          <cell r="AE387">
            <v>547471.30000000005</v>
          </cell>
          <cell r="AF387">
            <v>589159.4</v>
          </cell>
          <cell r="AG387">
            <v>583850.6</v>
          </cell>
          <cell r="AH387">
            <v>540698.4</v>
          </cell>
          <cell r="AJ387">
            <v>0</v>
          </cell>
        </row>
        <row r="388"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233923.4</v>
          </cell>
          <cell r="Q388">
            <v>178259.7</v>
          </cell>
          <cell r="R388">
            <v>177055.9</v>
          </cell>
          <cell r="S388">
            <v>200206.6</v>
          </cell>
          <cell r="T388">
            <v>191516.1</v>
          </cell>
          <cell r="U388">
            <v>199028.8</v>
          </cell>
          <cell r="V388">
            <v>195134</v>
          </cell>
          <cell r="W388">
            <v>170792.8</v>
          </cell>
          <cell r="X388">
            <v>189744.4</v>
          </cell>
          <cell r="Y388">
            <v>206368.8</v>
          </cell>
          <cell r="Z388">
            <v>209895.6</v>
          </cell>
          <cell r="AA388">
            <v>242502</v>
          </cell>
          <cell r="AB388">
            <v>230295.7</v>
          </cell>
          <cell r="AC388">
            <v>159414.79999999999</v>
          </cell>
          <cell r="AD388">
            <v>170324.5</v>
          </cell>
          <cell r="AE388">
            <v>191179.6</v>
          </cell>
          <cell r="AF388">
            <v>187421.4</v>
          </cell>
          <cell r="AG388">
            <v>191759.3</v>
          </cell>
          <cell r="AH388">
            <v>181008.3</v>
          </cell>
          <cell r="AJ388">
            <v>0</v>
          </cell>
        </row>
        <row r="389">
          <cell r="J389">
            <v>806360.90000000014</v>
          </cell>
          <cell r="K389">
            <v>739997.1</v>
          </cell>
          <cell r="L389">
            <v>796867.7</v>
          </cell>
          <cell r="M389">
            <v>837606.7</v>
          </cell>
          <cell r="N389">
            <v>912654.1</v>
          </cell>
          <cell r="O389">
            <v>1008369.8</v>
          </cell>
          <cell r="P389">
            <v>562228.69999999995</v>
          </cell>
          <cell r="Q389">
            <v>467307.5</v>
          </cell>
          <cell r="R389">
            <v>463218.6</v>
          </cell>
          <cell r="S389">
            <v>532249</v>
          </cell>
          <cell r="T389">
            <v>524545.5</v>
          </cell>
          <cell r="U389">
            <v>550006.1</v>
          </cell>
          <cell r="V389">
            <v>503996</v>
          </cell>
          <cell r="W389">
            <v>465480.9</v>
          </cell>
          <cell r="X389">
            <v>504928.7</v>
          </cell>
          <cell r="Y389">
            <v>550196.9</v>
          </cell>
          <cell r="Z389">
            <v>573764.19999999995</v>
          </cell>
          <cell r="AA389">
            <v>661897.80000000005</v>
          </cell>
          <cell r="AB389">
            <v>529526.19999999995</v>
          </cell>
          <cell r="AC389">
            <v>472651.8</v>
          </cell>
          <cell r="AD389">
            <v>451989.8</v>
          </cell>
          <cell r="AE389">
            <v>510335.2</v>
          </cell>
          <cell r="AF389">
            <v>542912.19999999995</v>
          </cell>
          <cell r="AG389">
            <v>538975.69999999995</v>
          </cell>
          <cell r="AH389">
            <v>479714.6</v>
          </cell>
          <cell r="AJ389">
            <v>739997.1</v>
          </cell>
        </row>
        <row r="390">
          <cell r="J390">
            <v>164105.19999999998</v>
          </cell>
          <cell r="K390">
            <v>165246.5</v>
          </cell>
          <cell r="L390">
            <v>171837.6</v>
          </cell>
          <cell r="M390">
            <v>166684.20000000001</v>
          </cell>
          <cell r="N390">
            <v>157808.79999999999</v>
          </cell>
          <cell r="O390">
            <v>164584.4</v>
          </cell>
          <cell r="P390">
            <v>160545.60000000001</v>
          </cell>
          <cell r="Q390">
            <v>140193.5</v>
          </cell>
          <cell r="R390">
            <v>65319</v>
          </cell>
          <cell r="S390">
            <v>104887.4</v>
          </cell>
          <cell r="T390">
            <v>80046.7</v>
          </cell>
          <cell r="U390">
            <v>136234.4</v>
          </cell>
          <cell r="V390">
            <v>130494.8</v>
          </cell>
          <cell r="W390">
            <v>99695.2</v>
          </cell>
          <cell r="X390">
            <v>127483.1</v>
          </cell>
          <cell r="Y390">
            <v>125612.3</v>
          </cell>
          <cell r="Z390">
            <v>144363.70000000001</v>
          </cell>
          <cell r="AA390">
            <v>136818.70000000001</v>
          </cell>
          <cell r="AB390">
            <v>202337.3</v>
          </cell>
          <cell r="AC390">
            <v>150608.4</v>
          </cell>
          <cell r="AD390">
            <v>78722.8</v>
          </cell>
          <cell r="AE390">
            <v>110354.2</v>
          </cell>
          <cell r="AF390">
            <v>130074.4</v>
          </cell>
          <cell r="AG390">
            <v>158676.4</v>
          </cell>
          <cell r="AH390">
            <v>175170.7</v>
          </cell>
          <cell r="AJ390">
            <v>165246.5</v>
          </cell>
        </row>
        <row r="391">
          <cell r="J391">
            <v>801403.00000000012</v>
          </cell>
          <cell r="K391">
            <v>763335.8</v>
          </cell>
          <cell r="L391">
            <v>818096.4</v>
          </cell>
          <cell r="M391">
            <v>837081.3</v>
          </cell>
          <cell r="N391">
            <v>879807.2</v>
          </cell>
          <cell r="O391">
            <v>829691.9</v>
          </cell>
          <cell r="P391">
            <v>762936.6</v>
          </cell>
          <cell r="Q391">
            <v>726213.3</v>
          </cell>
          <cell r="R391">
            <v>729068.5</v>
          </cell>
          <cell r="S391">
            <v>737530.8</v>
          </cell>
          <cell r="T391">
            <v>684230.9</v>
          </cell>
          <cell r="U391">
            <v>628811.30000000005</v>
          </cell>
          <cell r="V391">
            <v>702173.3</v>
          </cell>
          <cell r="W391">
            <v>701468.1</v>
          </cell>
          <cell r="X391">
            <v>739766.5</v>
          </cell>
          <cell r="Y391">
            <v>775436.9</v>
          </cell>
          <cell r="Z391">
            <v>763423.1</v>
          </cell>
          <cell r="AA391">
            <v>759810.9</v>
          </cell>
          <cell r="AB391">
            <v>784121</v>
          </cell>
          <cell r="AC391">
            <v>738290.9</v>
          </cell>
          <cell r="AD391">
            <v>750105.3</v>
          </cell>
          <cell r="AE391">
            <v>731052.1</v>
          </cell>
          <cell r="AF391">
            <v>702646</v>
          </cell>
          <cell r="AG391">
            <v>639276.80000000005</v>
          </cell>
          <cell r="AH391">
            <v>696801.5</v>
          </cell>
          <cell r="AJ391">
            <v>763335.8</v>
          </cell>
        </row>
        <row r="392">
          <cell r="J392">
            <v>38699.1</v>
          </cell>
          <cell r="K392">
            <v>38044.1</v>
          </cell>
          <cell r="L392">
            <v>38857.599999999999</v>
          </cell>
          <cell r="M392">
            <v>39414.699999999997</v>
          </cell>
          <cell r="N392">
            <v>37883.5</v>
          </cell>
          <cell r="O392">
            <v>39056.9</v>
          </cell>
          <cell r="P392">
            <v>38249.9</v>
          </cell>
          <cell r="Q392">
            <v>37764.5</v>
          </cell>
          <cell r="R392">
            <v>34032.300000000003</v>
          </cell>
          <cell r="S392">
            <v>14096.8</v>
          </cell>
          <cell r="T392">
            <v>37132.800000000003</v>
          </cell>
          <cell r="U392">
            <v>37970.5</v>
          </cell>
          <cell r="V392">
            <v>36538.400000000001</v>
          </cell>
          <cell r="W392">
            <v>36183</v>
          </cell>
          <cell r="X392">
            <v>36683</v>
          </cell>
          <cell r="Y392">
            <v>37821.699999999997</v>
          </cell>
          <cell r="Z392">
            <v>36312.699999999997</v>
          </cell>
          <cell r="AA392">
            <v>37023.699999999997</v>
          </cell>
          <cell r="AB392">
            <v>34070.5</v>
          </cell>
          <cell r="AC392">
            <v>34269.9</v>
          </cell>
          <cell r="AD392">
            <v>33430.1</v>
          </cell>
          <cell r="AE392">
            <v>33384.199999999997</v>
          </cell>
          <cell r="AF392">
            <v>31422.7</v>
          </cell>
          <cell r="AG392">
            <v>31843.1</v>
          </cell>
          <cell r="AH392">
            <v>30756.2</v>
          </cell>
          <cell r="AJ392">
            <v>38044.1</v>
          </cell>
        </row>
        <row r="393">
          <cell r="J393">
            <v>344995.8</v>
          </cell>
          <cell r="K393">
            <v>350737</v>
          </cell>
          <cell r="L393">
            <v>377360.2</v>
          </cell>
          <cell r="M393">
            <v>426303.7</v>
          </cell>
          <cell r="N393">
            <v>473008.2</v>
          </cell>
          <cell r="O393">
            <v>493657.5</v>
          </cell>
          <cell r="P393">
            <v>395922.3</v>
          </cell>
          <cell r="Q393">
            <v>329515.90000000002</v>
          </cell>
          <cell r="R393">
            <v>304976.8</v>
          </cell>
          <cell r="S393">
            <v>351623.1</v>
          </cell>
          <cell r="T393">
            <v>284636.7</v>
          </cell>
          <cell r="U393">
            <v>287802.40000000002</v>
          </cell>
          <cell r="V393">
            <v>303719.3</v>
          </cell>
          <cell r="W393">
            <v>300783</v>
          </cell>
          <cell r="X393">
            <v>332848.7</v>
          </cell>
          <cell r="Y393">
            <v>379975.1</v>
          </cell>
          <cell r="Z393">
            <v>392604.4</v>
          </cell>
          <cell r="AA393">
            <v>444501.7</v>
          </cell>
          <cell r="AB393">
            <v>344937.7</v>
          </cell>
          <cell r="AC393">
            <v>322228.5</v>
          </cell>
          <cell r="AD393">
            <v>302050.3</v>
          </cell>
          <cell r="AE393">
            <v>333084.5</v>
          </cell>
          <cell r="AF393">
            <v>298609.40000000002</v>
          </cell>
          <cell r="AG393">
            <v>275859.8</v>
          </cell>
          <cell r="AH393">
            <v>306490.59999999998</v>
          </cell>
          <cell r="AJ393">
            <v>350737</v>
          </cell>
        </row>
        <row r="394">
          <cell r="J394">
            <v>9178.3000000000011</v>
          </cell>
          <cell r="K394">
            <v>8723.9</v>
          </cell>
          <cell r="L394">
            <v>9300.5</v>
          </cell>
          <cell r="M394">
            <v>9523.7000000000007</v>
          </cell>
          <cell r="N394">
            <v>9824</v>
          </cell>
          <cell r="O394">
            <v>11245.1</v>
          </cell>
          <cell r="P394">
            <v>9972</v>
          </cell>
          <cell r="Q394">
            <v>8478.7000000000007</v>
          </cell>
          <cell r="R394">
            <v>8627.9</v>
          </cell>
          <cell r="S394">
            <v>8356.5</v>
          </cell>
          <cell r="T394">
            <v>7820.9</v>
          </cell>
          <cell r="U394">
            <v>8192</v>
          </cell>
          <cell r="V394">
            <v>7555.5</v>
          </cell>
          <cell r="W394">
            <v>7281.6</v>
          </cell>
          <cell r="X394">
            <v>7754.5</v>
          </cell>
          <cell r="Y394">
            <v>8539.1</v>
          </cell>
          <cell r="Z394">
            <v>8316.6</v>
          </cell>
          <cell r="AA394">
            <v>10013.6</v>
          </cell>
          <cell r="AB394">
            <v>8401.2999999999993</v>
          </cell>
          <cell r="AC394">
            <v>7080.6</v>
          </cell>
          <cell r="AD394">
            <v>7548.8</v>
          </cell>
          <cell r="AE394">
            <v>5992.5</v>
          </cell>
          <cell r="AF394">
            <v>6198.5</v>
          </cell>
          <cell r="AG394">
            <v>6397.4</v>
          </cell>
          <cell r="AH394">
            <v>6331.8</v>
          </cell>
          <cell r="AJ394">
            <v>8723.9</v>
          </cell>
        </row>
        <row r="395"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J395">
            <v>0</v>
          </cell>
        </row>
        <row r="396"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J396">
            <v>0</v>
          </cell>
        </row>
        <row r="397"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J397">
            <v>0</v>
          </cell>
        </row>
        <row r="399"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J399">
            <v>0</v>
          </cell>
        </row>
        <row r="400"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J400">
            <v>0</v>
          </cell>
        </row>
        <row r="402"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-3921</v>
          </cell>
          <cell r="Q402">
            <v>19797.2</v>
          </cell>
          <cell r="R402">
            <v>19737.7</v>
          </cell>
          <cell r="S402">
            <v>11992.6</v>
          </cell>
          <cell r="T402">
            <v>-8783.7000000000007</v>
          </cell>
          <cell r="U402">
            <v>11271.1</v>
          </cell>
          <cell r="V402">
            <v>13061.9</v>
          </cell>
          <cell r="W402">
            <v>11847.4</v>
          </cell>
          <cell r="X402">
            <v>12836.8</v>
          </cell>
          <cell r="Y402">
            <v>11515.5</v>
          </cell>
          <cell r="Z402">
            <v>11173.4</v>
          </cell>
          <cell r="AA402">
            <v>10662.7</v>
          </cell>
          <cell r="AB402">
            <v>65281.1</v>
          </cell>
          <cell r="AC402">
            <v>12503.1</v>
          </cell>
          <cell r="AD402">
            <v>12713.6</v>
          </cell>
          <cell r="AE402">
            <v>25557.3</v>
          </cell>
          <cell r="AF402">
            <v>15321</v>
          </cell>
          <cell r="AG402">
            <v>12260.5</v>
          </cell>
          <cell r="AH402">
            <v>14768.9</v>
          </cell>
          <cell r="AJ402">
            <v>0</v>
          </cell>
        </row>
        <row r="404">
          <cell r="J404">
            <v>1321903.2</v>
          </cell>
          <cell r="K404">
            <v>1064411.8999999999</v>
          </cell>
          <cell r="L404">
            <v>-2107388.2000000002</v>
          </cell>
          <cell r="M404">
            <v>52582.9</v>
          </cell>
          <cell r="N404">
            <v>-3356944</v>
          </cell>
          <cell r="O404">
            <v>-2260152.7000000002</v>
          </cell>
          <cell r="P404">
            <v>3782861.3</v>
          </cell>
          <cell r="Q404">
            <v>3330182.1</v>
          </cell>
          <cell r="R404">
            <v>1282169.6000000001</v>
          </cell>
          <cell r="S404">
            <v>-2005921.5</v>
          </cell>
          <cell r="T404">
            <v>342634.2</v>
          </cell>
          <cell r="U404">
            <v>865649.8</v>
          </cell>
          <cell r="V404">
            <v>-740055</v>
          </cell>
          <cell r="W404">
            <v>-1081304.7</v>
          </cell>
          <cell r="X404">
            <v>-2855529.1</v>
          </cell>
          <cell r="Y404">
            <v>-979336.3</v>
          </cell>
          <cell r="Z404">
            <v>-2510171.5</v>
          </cell>
          <cell r="AA404">
            <v>905465.6</v>
          </cell>
          <cell r="AB404">
            <v>3908644.9</v>
          </cell>
          <cell r="AC404">
            <v>2489952.9</v>
          </cell>
          <cell r="AD404">
            <v>1867514.3</v>
          </cell>
          <cell r="AE404">
            <v>-1403851.8</v>
          </cell>
          <cell r="AF404">
            <v>-66635</v>
          </cell>
          <cell r="AG404">
            <v>524532.19999999995</v>
          </cell>
          <cell r="AH404">
            <v>-654843</v>
          </cell>
          <cell r="AJ404">
            <v>1064411.8999999999</v>
          </cell>
        </row>
        <row r="405"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3153852.5</v>
          </cell>
          <cell r="Q405">
            <v>3054839.1</v>
          </cell>
          <cell r="R405">
            <v>1213254.1000000001</v>
          </cell>
          <cell r="S405">
            <v>-1777336.3</v>
          </cell>
          <cell r="T405">
            <v>253060.2</v>
          </cell>
          <cell r="U405">
            <v>751130</v>
          </cell>
          <cell r="V405">
            <v>-677459.7</v>
          </cell>
          <cell r="W405">
            <v>-1037868</v>
          </cell>
          <cell r="X405">
            <v>-2409529.6</v>
          </cell>
          <cell r="Y405">
            <v>-880218.1</v>
          </cell>
          <cell r="Z405">
            <v>-2373836.9</v>
          </cell>
          <cell r="AA405">
            <v>1032778.5</v>
          </cell>
          <cell r="AB405">
            <v>2984072.4</v>
          </cell>
          <cell r="AC405">
            <v>2261720.2999999998</v>
          </cell>
          <cell r="AD405">
            <v>1769201.7</v>
          </cell>
          <cell r="AE405">
            <v>-1167822.8</v>
          </cell>
          <cell r="AF405">
            <v>-171610</v>
          </cell>
          <cell r="AG405">
            <v>398453.2</v>
          </cell>
          <cell r="AH405">
            <v>-515002.5</v>
          </cell>
          <cell r="AJ405">
            <v>0</v>
          </cell>
        </row>
        <row r="406"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561406.19999999995</v>
          </cell>
          <cell r="Q406">
            <v>228241.8</v>
          </cell>
          <cell r="R406">
            <v>210041.1</v>
          </cell>
          <cell r="S406">
            <v>-377401.7</v>
          </cell>
          <cell r="T406">
            <v>63284.2</v>
          </cell>
          <cell r="U406">
            <v>-57943.7</v>
          </cell>
          <cell r="V406">
            <v>141426.29999999999</v>
          </cell>
          <cell r="W406">
            <v>188651.3</v>
          </cell>
          <cell r="X406">
            <v>-247119.2</v>
          </cell>
          <cell r="Y406">
            <v>-80311.199999999997</v>
          </cell>
          <cell r="Z406">
            <v>-287330.3</v>
          </cell>
          <cell r="AA406">
            <v>-222371.6</v>
          </cell>
          <cell r="AB406">
            <v>662790.40000000002</v>
          </cell>
          <cell r="AC406">
            <v>11269.1</v>
          </cell>
          <cell r="AD406">
            <v>254834.5</v>
          </cell>
          <cell r="AE406">
            <v>-208411.9</v>
          </cell>
          <cell r="AF406">
            <v>-111919.3</v>
          </cell>
          <cell r="AG406">
            <v>87587.199999999997</v>
          </cell>
          <cell r="AH406">
            <v>160149.79999999999</v>
          </cell>
          <cell r="AJ406">
            <v>0</v>
          </cell>
        </row>
        <row r="407">
          <cell r="J407">
            <v>827801.3</v>
          </cell>
          <cell r="K407">
            <v>600662.30000000005</v>
          </cell>
          <cell r="L407">
            <v>-866391.9</v>
          </cell>
          <cell r="M407">
            <v>20474.7</v>
          </cell>
          <cell r="N407">
            <v>-1200788.5</v>
          </cell>
          <cell r="O407">
            <v>-752318.1</v>
          </cell>
          <cell r="P407">
            <v>804792</v>
          </cell>
          <cell r="Q407">
            <v>654269.4</v>
          </cell>
          <cell r="R407">
            <v>669825.4</v>
          </cell>
          <cell r="S407">
            <v>-1359846</v>
          </cell>
          <cell r="T407">
            <v>109202.8</v>
          </cell>
          <cell r="U407">
            <v>185944.6</v>
          </cell>
          <cell r="V407">
            <v>135611</v>
          </cell>
          <cell r="W407">
            <v>760910.2</v>
          </cell>
          <cell r="X407">
            <v>-752247.4</v>
          </cell>
          <cell r="Y407">
            <v>-309954</v>
          </cell>
          <cell r="Z407">
            <v>-954546.5</v>
          </cell>
          <cell r="AA407">
            <v>356728.1</v>
          </cell>
          <cell r="AB407">
            <v>158250.20000000001</v>
          </cell>
          <cell r="AC407">
            <v>656779.30000000005</v>
          </cell>
          <cell r="AD407">
            <v>684652.9</v>
          </cell>
          <cell r="AE407">
            <v>-1000600.7</v>
          </cell>
          <cell r="AF407">
            <v>-264495.09999999998</v>
          </cell>
          <cell r="AG407">
            <v>556528.9</v>
          </cell>
          <cell r="AH407">
            <v>232940.5</v>
          </cell>
          <cell r="AJ407">
            <v>600662.30000000005</v>
          </cell>
        </row>
        <row r="408">
          <cell r="J408">
            <v>186818.3</v>
          </cell>
          <cell r="K408">
            <v>147131.9</v>
          </cell>
          <cell r="L408">
            <v>-201340.6</v>
          </cell>
          <cell r="M408">
            <v>4541.7</v>
          </cell>
          <cell r="N408">
            <v>-231107.4</v>
          </cell>
          <cell r="O408">
            <v>-137531.9</v>
          </cell>
          <cell r="P408">
            <v>139139.1</v>
          </cell>
          <cell r="Q408">
            <v>1116874.7</v>
          </cell>
          <cell r="R408">
            <v>-152697.4</v>
          </cell>
          <cell r="S408">
            <v>-15302.7</v>
          </cell>
          <cell r="T408">
            <v>-547967.1</v>
          </cell>
          <cell r="U408">
            <v>-49599.199999999997</v>
          </cell>
          <cell r="V408">
            <v>309169.2</v>
          </cell>
          <cell r="W408">
            <v>13272.1</v>
          </cell>
          <cell r="X408">
            <v>-114309.4</v>
          </cell>
          <cell r="Y408">
            <v>-224581.4</v>
          </cell>
          <cell r="Z408">
            <v>53054.5</v>
          </cell>
          <cell r="AA408">
            <v>-385078.6</v>
          </cell>
          <cell r="AB408">
            <v>535158.9</v>
          </cell>
          <cell r="AC408">
            <v>1194128.5</v>
          </cell>
          <cell r="AD408">
            <v>-106096.3</v>
          </cell>
          <cell r="AE408">
            <v>-382168.1</v>
          </cell>
          <cell r="AF408">
            <v>-464055.9</v>
          </cell>
          <cell r="AG408">
            <v>-271135.90000000002</v>
          </cell>
          <cell r="AH408">
            <v>34161.699999999997</v>
          </cell>
          <cell r="AJ408">
            <v>147131.9</v>
          </cell>
        </row>
        <row r="409">
          <cell r="J409">
            <v>956312.1</v>
          </cell>
          <cell r="K409">
            <v>729041.8</v>
          </cell>
          <cell r="L409">
            <v>-1065249.3</v>
          </cell>
          <cell r="M409">
            <v>25015.599999999999</v>
          </cell>
          <cell r="N409">
            <v>-1408480.3</v>
          </cell>
          <cell r="O409">
            <v>-742397.5</v>
          </cell>
          <cell r="P409">
            <v>-114513.1</v>
          </cell>
          <cell r="Q409">
            <v>1639003.8</v>
          </cell>
          <cell r="R409">
            <v>2163260.6</v>
          </cell>
          <cell r="S409">
            <v>-1628652.1</v>
          </cell>
          <cell r="T409">
            <v>1466214.2</v>
          </cell>
          <cell r="U409">
            <v>-1616322.7</v>
          </cell>
          <cell r="V409">
            <v>-575174.6</v>
          </cell>
          <cell r="W409">
            <v>1383943.8</v>
          </cell>
          <cell r="X409">
            <v>-1142542.2</v>
          </cell>
          <cell r="Y409">
            <v>-27305.3</v>
          </cell>
          <cell r="Z409">
            <v>107290.4</v>
          </cell>
          <cell r="AA409">
            <v>-1212669.2</v>
          </cell>
          <cell r="AB409">
            <v>-664144.5</v>
          </cell>
          <cell r="AC409">
            <v>1198016.6000000001</v>
          </cell>
          <cell r="AD409">
            <v>2830586.4</v>
          </cell>
          <cell r="AE409">
            <v>-761778.2</v>
          </cell>
          <cell r="AF409">
            <v>912376.1</v>
          </cell>
          <cell r="AG409">
            <v>-1567350.5</v>
          </cell>
          <cell r="AH409">
            <v>-621098.1</v>
          </cell>
          <cell r="AJ409">
            <v>729041.8</v>
          </cell>
        </row>
        <row r="410">
          <cell r="J410">
            <v>12182.4</v>
          </cell>
          <cell r="K410">
            <v>10069.700000000001</v>
          </cell>
          <cell r="L410">
            <v>-14766.3</v>
          </cell>
          <cell r="M410">
            <v>378.8</v>
          </cell>
          <cell r="N410">
            <v>-19299.099999999999</v>
          </cell>
          <cell r="O410">
            <v>-12683.1</v>
          </cell>
          <cell r="P410">
            <v>1552</v>
          </cell>
          <cell r="Q410">
            <v>31631.7</v>
          </cell>
          <cell r="R410">
            <v>47078.8</v>
          </cell>
          <cell r="S410">
            <v>-19521.5</v>
          </cell>
          <cell r="T410">
            <v>15404.1</v>
          </cell>
          <cell r="U410">
            <v>-1072</v>
          </cell>
          <cell r="V410">
            <v>-12680.5</v>
          </cell>
          <cell r="W410">
            <v>15518.2</v>
          </cell>
          <cell r="X410">
            <v>-26594.7</v>
          </cell>
          <cell r="Y410">
            <v>6090</v>
          </cell>
          <cell r="Z410">
            <v>-21896.5</v>
          </cell>
          <cell r="AA410">
            <v>-28051.1</v>
          </cell>
          <cell r="AB410">
            <v>-10941.1</v>
          </cell>
          <cell r="AC410">
            <v>30600.6</v>
          </cell>
          <cell r="AD410">
            <v>60400.4</v>
          </cell>
          <cell r="AE410">
            <v>-8411.5</v>
          </cell>
          <cell r="AF410">
            <v>5906.3</v>
          </cell>
          <cell r="AG410">
            <v>7372.5</v>
          </cell>
          <cell r="AH410">
            <v>-14628.9</v>
          </cell>
          <cell r="AJ410">
            <v>10069.700000000001</v>
          </cell>
        </row>
        <row r="411">
          <cell r="J411">
            <v>358148.3</v>
          </cell>
          <cell r="K411">
            <v>284392.40000000002</v>
          </cell>
          <cell r="L411">
            <v>-407879.4</v>
          </cell>
          <cell r="M411">
            <v>10657.9</v>
          </cell>
          <cell r="N411">
            <v>-640140.30000000005</v>
          </cell>
          <cell r="O411">
            <v>-377171.4</v>
          </cell>
          <cell r="P411">
            <v>584049.5</v>
          </cell>
          <cell r="Q411">
            <v>794481.1</v>
          </cell>
          <cell r="R411">
            <v>346743.9</v>
          </cell>
          <cell r="S411">
            <v>-177536.9</v>
          </cell>
          <cell r="T411">
            <v>172574</v>
          </cell>
          <cell r="U411">
            <v>-470815.2</v>
          </cell>
          <cell r="V411">
            <v>-95413.7</v>
          </cell>
          <cell r="W411">
            <v>423705.3</v>
          </cell>
          <cell r="X411">
            <v>-745912.8</v>
          </cell>
          <cell r="Y411">
            <v>-217541.5</v>
          </cell>
          <cell r="Z411">
            <v>-534666.80000000005</v>
          </cell>
          <cell r="AA411">
            <v>96352.9</v>
          </cell>
          <cell r="AB411">
            <v>-81292.3</v>
          </cell>
          <cell r="AC411">
            <v>547456.30000000005</v>
          </cell>
          <cell r="AD411">
            <v>550410.5</v>
          </cell>
          <cell r="AE411">
            <v>71265.8</v>
          </cell>
          <cell r="AF411">
            <v>99672</v>
          </cell>
          <cell r="AG411">
            <v>-391749.3</v>
          </cell>
          <cell r="AH411">
            <v>-126864.4</v>
          </cell>
          <cell r="AJ411">
            <v>284392.40000000002</v>
          </cell>
        </row>
        <row r="412">
          <cell r="J412">
            <v>9261.2000000000007</v>
          </cell>
          <cell r="K412">
            <v>6959.2</v>
          </cell>
          <cell r="L412">
            <v>-10212.6</v>
          </cell>
          <cell r="M412">
            <v>235.6</v>
          </cell>
          <cell r="N412">
            <v>-13246.8</v>
          </cell>
          <cell r="O412">
            <v>-8688.1</v>
          </cell>
          <cell r="P412">
            <v>14086.4</v>
          </cell>
          <cell r="Q412">
            <v>10204</v>
          </cell>
          <cell r="R412">
            <v>21950.5</v>
          </cell>
          <cell r="S412">
            <v>-15345.1</v>
          </cell>
          <cell r="T412">
            <v>1384.3</v>
          </cell>
          <cell r="U412">
            <v>2599.5</v>
          </cell>
          <cell r="V412">
            <v>-1285.8</v>
          </cell>
          <cell r="W412">
            <v>10197.9</v>
          </cell>
          <cell r="X412">
            <v>-12295.9</v>
          </cell>
          <cell r="Y412">
            <v>-626.29999999999995</v>
          </cell>
          <cell r="Z412">
            <v>-18691.8</v>
          </cell>
          <cell r="AA412">
            <v>-6945.3</v>
          </cell>
          <cell r="AB412">
            <v>6683.4</v>
          </cell>
          <cell r="AC412">
            <v>1930.8</v>
          </cell>
          <cell r="AD412">
            <v>41186.6</v>
          </cell>
          <cell r="AE412">
            <v>-9384.7999999999993</v>
          </cell>
          <cell r="AF412">
            <v>-6275.7</v>
          </cell>
          <cell r="AG412">
            <v>-1130.4000000000001</v>
          </cell>
          <cell r="AH412">
            <v>-592.1</v>
          </cell>
          <cell r="AJ412">
            <v>6959.2</v>
          </cell>
        </row>
        <row r="413"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J413">
            <v>0</v>
          </cell>
        </row>
        <row r="414"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J414">
            <v>0</v>
          </cell>
        </row>
        <row r="415"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J415">
            <v>0</v>
          </cell>
        </row>
        <row r="417">
          <cell r="J417">
            <v>79280.600000000006</v>
          </cell>
          <cell r="K417">
            <v>86994.6</v>
          </cell>
          <cell r="L417">
            <v>-88298.6</v>
          </cell>
          <cell r="M417">
            <v>18052.099999999999</v>
          </cell>
          <cell r="N417">
            <v>-172131.8</v>
          </cell>
          <cell r="O417">
            <v>-147753.79999999999</v>
          </cell>
          <cell r="P417">
            <v>169136.6</v>
          </cell>
          <cell r="Q417">
            <v>152849.70000000001</v>
          </cell>
          <cell r="R417">
            <v>55601.8</v>
          </cell>
          <cell r="S417">
            <v>-99455.5</v>
          </cell>
          <cell r="T417">
            <v>18952.8</v>
          </cell>
          <cell r="U417">
            <v>42384.1</v>
          </cell>
          <cell r="V417">
            <v>-40905.199999999997</v>
          </cell>
          <cell r="W417">
            <v>-53639.1</v>
          </cell>
          <cell r="X417">
            <v>-131836.9</v>
          </cell>
          <cell r="Y417">
            <v>-32565.200000000001</v>
          </cell>
          <cell r="Z417">
            <v>-110906.1</v>
          </cell>
          <cell r="AA417">
            <v>46248.9</v>
          </cell>
          <cell r="AB417">
            <v>176534.9</v>
          </cell>
          <cell r="AC417">
            <v>109136</v>
          </cell>
          <cell r="AD417">
            <v>85606</v>
          </cell>
          <cell r="AE417">
            <v>-69338.7</v>
          </cell>
          <cell r="AF417">
            <v>-117.7</v>
          </cell>
          <cell r="AG417">
            <v>25845.3</v>
          </cell>
          <cell r="AH417">
            <v>-39457.599999999999</v>
          </cell>
          <cell r="AJ417">
            <v>86994.6</v>
          </cell>
        </row>
        <row r="418"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139252.29999999999</v>
          </cell>
          <cell r="Q418">
            <v>141163</v>
          </cell>
          <cell r="R418">
            <v>52871.4</v>
          </cell>
          <cell r="S418">
            <v>-88867.199999999997</v>
          </cell>
          <cell r="T418">
            <v>13974.7</v>
          </cell>
          <cell r="U418">
            <v>37262.300000000003</v>
          </cell>
          <cell r="V418">
            <v>-37630.199999999997</v>
          </cell>
          <cell r="W418">
            <v>-52388.800000000003</v>
          </cell>
          <cell r="X418">
            <v>-109432.2</v>
          </cell>
          <cell r="Y418">
            <v>-29802.9</v>
          </cell>
          <cell r="Z418">
            <v>-105294.5</v>
          </cell>
          <cell r="AA418">
            <v>53198.2</v>
          </cell>
          <cell r="AB418">
            <v>132469.79999999999</v>
          </cell>
          <cell r="AC418">
            <v>100180.1</v>
          </cell>
          <cell r="AD418">
            <v>81259.600000000006</v>
          </cell>
          <cell r="AE418">
            <v>-58079</v>
          </cell>
          <cell r="AF418">
            <v>-6066.3</v>
          </cell>
          <cell r="AG418">
            <v>19060</v>
          </cell>
          <cell r="AH418">
            <v>-32211.9</v>
          </cell>
          <cell r="AJ418">
            <v>0</v>
          </cell>
        </row>
        <row r="419"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30239.8</v>
          </cell>
          <cell r="Q419">
            <v>7316.8</v>
          </cell>
          <cell r="R419">
            <v>13407.3</v>
          </cell>
          <cell r="S419">
            <v>-16792.8</v>
          </cell>
          <cell r="T419">
            <v>1411.2</v>
          </cell>
          <cell r="U419">
            <v>-2517.6</v>
          </cell>
          <cell r="V419">
            <v>4802.5</v>
          </cell>
          <cell r="W419">
            <v>11027.6</v>
          </cell>
          <cell r="X419">
            <v>-13177.6</v>
          </cell>
          <cell r="Y419">
            <v>-5785.7</v>
          </cell>
          <cell r="Z419">
            <v>-12242.9</v>
          </cell>
          <cell r="AA419">
            <v>-11363</v>
          </cell>
          <cell r="AB419">
            <v>35822</v>
          </cell>
          <cell r="AC419">
            <v>-1927.6</v>
          </cell>
          <cell r="AD419">
            <v>14582.8</v>
          </cell>
          <cell r="AE419">
            <v>-9709.4</v>
          </cell>
          <cell r="AF419">
            <v>-4395.8</v>
          </cell>
          <cell r="AG419">
            <v>3639.8</v>
          </cell>
          <cell r="AH419">
            <v>6834.3</v>
          </cell>
          <cell r="AJ419">
            <v>0</v>
          </cell>
        </row>
        <row r="420">
          <cell r="J420">
            <v>50723.4</v>
          </cell>
          <cell r="K420">
            <v>27559.4</v>
          </cell>
          <cell r="L420">
            <v>-52947.6</v>
          </cell>
          <cell r="M420">
            <v>10385.9</v>
          </cell>
          <cell r="N420">
            <v>-58963.6</v>
          </cell>
          <cell r="O420">
            <v>-48554.1</v>
          </cell>
          <cell r="P420">
            <v>33509</v>
          </cell>
          <cell r="Q420">
            <v>27738.799999999999</v>
          </cell>
          <cell r="R420">
            <v>38905.599999999999</v>
          </cell>
          <cell r="S420">
            <v>-67436.600000000006</v>
          </cell>
          <cell r="T420">
            <v>7831.8</v>
          </cell>
          <cell r="U420">
            <v>11874.6</v>
          </cell>
          <cell r="V420">
            <v>-60.6</v>
          </cell>
          <cell r="W420">
            <v>39718.9</v>
          </cell>
          <cell r="X420">
            <v>-42938.6</v>
          </cell>
          <cell r="Y420">
            <v>-17058.599999999999</v>
          </cell>
          <cell r="Z420">
            <v>-42497</v>
          </cell>
          <cell r="AA420">
            <v>25042.7</v>
          </cell>
          <cell r="AB420">
            <v>-7.4</v>
          </cell>
          <cell r="AC420">
            <v>24374.9</v>
          </cell>
          <cell r="AD420">
            <v>40323.4</v>
          </cell>
          <cell r="AE420">
            <v>-45226.7</v>
          </cell>
          <cell r="AF420">
            <v>-13768.6</v>
          </cell>
          <cell r="AG420">
            <v>30220</v>
          </cell>
          <cell r="AH420">
            <v>10196.200000000001</v>
          </cell>
          <cell r="AJ420">
            <v>27559.4</v>
          </cell>
        </row>
        <row r="421">
          <cell r="J421">
            <v>9320.6</v>
          </cell>
          <cell r="K421">
            <v>6367.7</v>
          </cell>
          <cell r="L421">
            <v>-9484.9</v>
          </cell>
          <cell r="M421">
            <v>1100.7</v>
          </cell>
          <cell r="N421">
            <v>-10547.6</v>
          </cell>
          <cell r="O421">
            <v>-8401.2000000000007</v>
          </cell>
          <cell r="P421">
            <v>3681.7</v>
          </cell>
          <cell r="Q421">
            <v>50000.7</v>
          </cell>
          <cell r="R421">
            <v>-7472.4</v>
          </cell>
          <cell r="S421">
            <v>-719.2</v>
          </cell>
          <cell r="T421">
            <v>-25002.7</v>
          </cell>
          <cell r="U421">
            <v>-1070.5999999999999</v>
          </cell>
          <cell r="V421">
            <v>13777.7</v>
          </cell>
          <cell r="W421">
            <v>300</v>
          </cell>
          <cell r="X421">
            <v>-7460.9</v>
          </cell>
          <cell r="Y421">
            <v>-8486.4</v>
          </cell>
          <cell r="Z421">
            <v>3899.9</v>
          </cell>
          <cell r="AA421">
            <v>-15253.1</v>
          </cell>
          <cell r="AB421">
            <v>21562.6</v>
          </cell>
          <cell r="AC421">
            <v>52674.8</v>
          </cell>
          <cell r="AD421">
            <v>-4579.6000000000004</v>
          </cell>
          <cell r="AE421">
            <v>-16978.7</v>
          </cell>
          <cell r="AF421">
            <v>-22054.9</v>
          </cell>
          <cell r="AG421">
            <v>-11021</v>
          </cell>
          <cell r="AH421">
            <v>650.4</v>
          </cell>
          <cell r="AJ421">
            <v>6367.7</v>
          </cell>
        </row>
        <row r="422">
          <cell r="J422">
            <v>54659.5</v>
          </cell>
          <cell r="K422">
            <v>35577.800000000003</v>
          </cell>
          <cell r="L422">
            <v>-45630.9</v>
          </cell>
          <cell r="M422">
            <v>9260.2999999999993</v>
          </cell>
          <cell r="N422">
            <v>-65983.899999999994</v>
          </cell>
          <cell r="O422">
            <v>-37834.1</v>
          </cell>
          <cell r="P422">
            <v>-7752.1</v>
          </cell>
          <cell r="Q422">
            <v>63568.5</v>
          </cell>
          <cell r="R422">
            <v>79565.3</v>
          </cell>
          <cell r="S422">
            <v>-69514.899999999994</v>
          </cell>
          <cell r="T422">
            <v>63322.400000000001</v>
          </cell>
          <cell r="U422">
            <v>-78973.100000000006</v>
          </cell>
          <cell r="V422">
            <v>-17070.2</v>
          </cell>
          <cell r="W422">
            <v>65804.899999999994</v>
          </cell>
          <cell r="X422">
            <v>-46758.9</v>
          </cell>
          <cell r="Y422">
            <v>3494.3</v>
          </cell>
          <cell r="Z422">
            <v>11811.4</v>
          </cell>
          <cell r="AA422">
            <v>-49652.4</v>
          </cell>
          <cell r="AB422">
            <v>-29394.1</v>
          </cell>
          <cell r="AC422">
            <v>48087.7</v>
          </cell>
          <cell r="AD422">
            <v>106137.2</v>
          </cell>
          <cell r="AE422">
            <v>-32218.9</v>
          </cell>
          <cell r="AF422">
            <v>43428.1</v>
          </cell>
          <cell r="AG422">
            <v>-87069.5</v>
          </cell>
          <cell r="AH422">
            <v>-4922.2</v>
          </cell>
          <cell r="AJ422">
            <v>35577.800000000003</v>
          </cell>
        </row>
        <row r="423">
          <cell r="J423">
            <v>2886.3</v>
          </cell>
          <cell r="K423">
            <v>2083.6</v>
          </cell>
          <cell r="L423">
            <v>-1626.7</v>
          </cell>
          <cell r="M423">
            <v>15.1</v>
          </cell>
          <cell r="N423">
            <v>-1602.5</v>
          </cell>
          <cell r="O423">
            <v>-1499.1</v>
          </cell>
          <cell r="P423">
            <v>983.2</v>
          </cell>
          <cell r="Q423">
            <v>3148.1</v>
          </cell>
          <cell r="R423">
            <v>7156.6</v>
          </cell>
          <cell r="S423">
            <v>5833.2</v>
          </cell>
          <cell r="T423">
            <v>-9972.2000000000007</v>
          </cell>
          <cell r="U423">
            <v>-1370.4</v>
          </cell>
          <cell r="V423">
            <v>-2633.5</v>
          </cell>
          <cell r="W423">
            <v>4671.8999999999996</v>
          </cell>
          <cell r="X423">
            <v>-2898.7</v>
          </cell>
          <cell r="Y423">
            <v>3700.2</v>
          </cell>
          <cell r="Z423">
            <v>-2859.5</v>
          </cell>
          <cell r="AA423">
            <v>-100.7</v>
          </cell>
          <cell r="AB423">
            <v>-2346.8000000000002</v>
          </cell>
          <cell r="AC423">
            <v>1842.9</v>
          </cell>
          <cell r="AD423">
            <v>6187.4</v>
          </cell>
          <cell r="AE423">
            <v>-3089.4</v>
          </cell>
          <cell r="AF423">
            <v>1065.5</v>
          </cell>
          <cell r="AG423">
            <v>-579.4</v>
          </cell>
          <cell r="AH423">
            <v>-3236.5</v>
          </cell>
          <cell r="AJ423">
            <v>2083.6</v>
          </cell>
        </row>
        <row r="424">
          <cell r="J424">
            <v>19422.400000000001</v>
          </cell>
          <cell r="K424">
            <v>13701.1</v>
          </cell>
          <cell r="L424">
            <v>-20345</v>
          </cell>
          <cell r="M424">
            <v>4134.8</v>
          </cell>
          <cell r="N424">
            <v>-33111.800000000003</v>
          </cell>
          <cell r="O424">
            <v>-27655.8</v>
          </cell>
          <cell r="P424">
            <v>29164.7</v>
          </cell>
          <cell r="Q424">
            <v>43147.6</v>
          </cell>
          <cell r="R424">
            <v>21654.3</v>
          </cell>
          <cell r="S424">
            <v>1146.7</v>
          </cell>
          <cell r="T424">
            <v>12393.7</v>
          </cell>
          <cell r="U424">
            <v>-19575.7</v>
          </cell>
          <cell r="V424">
            <v>5390</v>
          </cell>
          <cell r="W424">
            <v>27035.4</v>
          </cell>
          <cell r="X424">
            <v>-36317.800000000003</v>
          </cell>
          <cell r="Y424">
            <v>235.3</v>
          </cell>
          <cell r="Z424">
            <v>-13459.7</v>
          </cell>
          <cell r="AA424">
            <v>15376.8</v>
          </cell>
          <cell r="AB424">
            <v>-8162.9</v>
          </cell>
          <cell r="AC424">
            <v>22697.8</v>
          </cell>
          <cell r="AD424">
            <v>32198</v>
          </cell>
          <cell r="AE424">
            <v>6564.9</v>
          </cell>
          <cell r="AF424">
            <v>2106.4</v>
          </cell>
          <cell r="AG424">
            <v>-17933.7</v>
          </cell>
          <cell r="AH424">
            <v>-9676.9</v>
          </cell>
          <cell r="AJ424">
            <v>13701.1</v>
          </cell>
        </row>
        <row r="425">
          <cell r="J425">
            <v>596.1</v>
          </cell>
          <cell r="K425">
            <v>498</v>
          </cell>
          <cell r="L425">
            <v>-618.6</v>
          </cell>
          <cell r="M425">
            <v>265.60000000000002</v>
          </cell>
          <cell r="N425">
            <v>-508.2</v>
          </cell>
          <cell r="O425">
            <v>-898.7</v>
          </cell>
          <cell r="P425">
            <v>411.5</v>
          </cell>
          <cell r="Q425">
            <v>324.60000000000002</v>
          </cell>
          <cell r="R425">
            <v>1193.8</v>
          </cell>
          <cell r="S425">
            <v>-693.3</v>
          </cell>
          <cell r="T425">
            <v>45.3</v>
          </cell>
          <cell r="U425">
            <v>186.8</v>
          </cell>
          <cell r="V425">
            <v>-190.3</v>
          </cell>
          <cell r="W425">
            <v>559.29999999999995</v>
          </cell>
          <cell r="X425">
            <v>-572.20000000000005</v>
          </cell>
          <cell r="Y425">
            <v>-54.9</v>
          </cell>
          <cell r="Z425">
            <v>-773.7</v>
          </cell>
          <cell r="AA425">
            <v>-187.3</v>
          </cell>
          <cell r="AB425">
            <v>182.8</v>
          </cell>
          <cell r="AC425">
            <v>61.6</v>
          </cell>
          <cell r="AD425">
            <v>1885.3</v>
          </cell>
          <cell r="AE425">
            <v>-374.8</v>
          </cell>
          <cell r="AF425">
            <v>-349.8</v>
          </cell>
          <cell r="AG425">
            <v>-24.2</v>
          </cell>
          <cell r="AH425">
            <v>-60.1</v>
          </cell>
          <cell r="AJ425">
            <v>498</v>
          </cell>
        </row>
        <row r="426"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J426">
            <v>0</v>
          </cell>
        </row>
        <row r="427"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J427">
            <v>0</v>
          </cell>
        </row>
        <row r="428"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J428">
            <v>0</v>
          </cell>
        </row>
        <row r="430"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J430">
            <v>0</v>
          </cell>
        </row>
        <row r="431"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J431">
            <v>0</v>
          </cell>
        </row>
        <row r="432"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J432">
            <v>0</v>
          </cell>
        </row>
        <row r="433"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J433">
            <v>0</v>
          </cell>
        </row>
        <row r="434"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J434">
            <v>0</v>
          </cell>
        </row>
        <row r="435"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J435">
            <v>0</v>
          </cell>
        </row>
        <row r="436"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J436">
            <v>0</v>
          </cell>
        </row>
        <row r="437"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J437">
            <v>0</v>
          </cell>
        </row>
        <row r="438"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J438">
            <v>0</v>
          </cell>
        </row>
        <row r="440"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J440">
            <v>0</v>
          </cell>
        </row>
        <row r="442"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109739867.7</v>
          </cell>
          <cell r="Q442">
            <v>88724989.400000006</v>
          </cell>
          <cell r="R442">
            <v>71961140</v>
          </cell>
          <cell r="S442">
            <v>63372074.700000003</v>
          </cell>
          <cell r="T442">
            <v>71151338.200000003</v>
          </cell>
          <cell r="U442">
            <v>70036204.400000006</v>
          </cell>
          <cell r="V442">
            <v>64338309.200000003</v>
          </cell>
          <cell r="W442">
            <v>66822999.100000001</v>
          </cell>
          <cell r="X442">
            <v>71792249</v>
          </cell>
          <cell r="Y442">
            <v>91085101.599999994</v>
          </cell>
          <cell r="Z442">
            <v>93516091.400000006</v>
          </cell>
          <cell r="AA442">
            <v>93516091.400000006</v>
          </cell>
          <cell r="AB442">
            <v>103544836.3</v>
          </cell>
          <cell r="AC442">
            <v>82446092.5</v>
          </cell>
          <cell r="AD442">
            <v>74061946</v>
          </cell>
          <cell r="AE442">
            <v>63075788.100000001</v>
          </cell>
          <cell r="AF442">
            <v>70111623.400000006</v>
          </cell>
          <cell r="AG442">
            <v>67125588.799999997</v>
          </cell>
          <cell r="AH442">
            <v>64921906</v>
          </cell>
          <cell r="AJ442">
            <v>0</v>
          </cell>
        </row>
        <row r="443"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6465873</v>
          </cell>
          <cell r="Q443">
            <v>5227676.4000000004</v>
          </cell>
          <cell r="R443">
            <v>4239950.4000000004</v>
          </cell>
          <cell r="S443">
            <v>3733882.6</v>
          </cell>
          <cell r="T443">
            <v>4192236.8</v>
          </cell>
          <cell r="U443">
            <v>4126533.2</v>
          </cell>
          <cell r="V443">
            <v>3790813.2</v>
          </cell>
          <cell r="W443">
            <v>3937211.1</v>
          </cell>
          <cell r="X443">
            <v>4229999.3</v>
          </cell>
          <cell r="Y443">
            <v>5366734.2</v>
          </cell>
          <cell r="Z443">
            <v>5509968.0999999996</v>
          </cell>
          <cell r="AA443">
            <v>5509968.0999999996</v>
          </cell>
          <cell r="AB443">
            <v>6578000</v>
          </cell>
          <cell r="AC443">
            <v>5230000</v>
          </cell>
          <cell r="AD443">
            <v>4519000</v>
          </cell>
          <cell r="AE443">
            <v>4057000</v>
          </cell>
          <cell r="AF443">
            <v>4426000</v>
          </cell>
          <cell r="AG443">
            <v>4424000</v>
          </cell>
          <cell r="AH443">
            <v>4131000</v>
          </cell>
          <cell r="AJ443">
            <v>0</v>
          </cell>
        </row>
      </sheetData>
      <sheetData sheetId="4">
        <row r="5">
          <cell r="I5">
            <v>38504</v>
          </cell>
          <cell r="J5">
            <v>38473</v>
          </cell>
          <cell r="K5">
            <v>38443</v>
          </cell>
          <cell r="L5">
            <v>38412</v>
          </cell>
          <cell r="M5">
            <v>38384</v>
          </cell>
          <cell r="N5">
            <v>38353</v>
          </cell>
          <cell r="O5">
            <v>38322</v>
          </cell>
          <cell r="P5">
            <v>38292</v>
          </cell>
          <cell r="Q5">
            <v>38261</v>
          </cell>
          <cell r="R5">
            <v>38231</v>
          </cell>
          <cell r="S5">
            <v>38200</v>
          </cell>
          <cell r="T5">
            <v>38169</v>
          </cell>
          <cell r="U5">
            <v>38139</v>
          </cell>
          <cell r="V5">
            <v>38108</v>
          </cell>
          <cell r="W5">
            <v>38078</v>
          </cell>
          <cell r="X5">
            <v>38047</v>
          </cell>
          <cell r="Y5">
            <v>38018</v>
          </cell>
          <cell r="Z5">
            <v>37987</v>
          </cell>
          <cell r="AA5">
            <v>37956</v>
          </cell>
          <cell r="AB5">
            <v>37926</v>
          </cell>
          <cell r="AC5">
            <v>37895</v>
          </cell>
          <cell r="AD5">
            <v>37865</v>
          </cell>
          <cell r="AE5">
            <v>37834</v>
          </cell>
          <cell r="AF5">
            <v>37803</v>
          </cell>
          <cell r="AG5">
            <v>37773</v>
          </cell>
          <cell r="AI5">
            <v>38473</v>
          </cell>
        </row>
        <row r="7">
          <cell r="I7">
            <v>17636826</v>
          </cell>
          <cell r="J7">
            <v>17330886</v>
          </cell>
          <cell r="K7">
            <v>25521974</v>
          </cell>
          <cell r="L7">
            <v>27503582</v>
          </cell>
          <cell r="M7">
            <v>28634682</v>
          </cell>
          <cell r="N7">
            <v>33210231</v>
          </cell>
          <cell r="O7">
            <v>14506383</v>
          </cell>
          <cell r="P7">
            <v>10689388</v>
          </cell>
          <cell r="Q7">
            <v>14898942</v>
          </cell>
          <cell r="R7">
            <v>15888033</v>
          </cell>
          <cell r="S7">
            <v>18612297</v>
          </cell>
          <cell r="T7">
            <v>16333863</v>
          </cell>
          <cell r="U7">
            <v>14781109</v>
          </cell>
          <cell r="V7">
            <v>12534708</v>
          </cell>
          <cell r="W7">
            <v>13498990</v>
          </cell>
          <cell r="X7">
            <v>17239197</v>
          </cell>
          <cell r="Y7">
            <v>19378677</v>
          </cell>
          <cell r="Z7">
            <v>19292230</v>
          </cell>
          <cell r="AA7">
            <v>13085885</v>
          </cell>
          <cell r="AB7">
            <v>9769819</v>
          </cell>
          <cell r="AC7">
            <v>12555729</v>
          </cell>
          <cell r="AD7">
            <v>17396529</v>
          </cell>
          <cell r="AE7">
            <v>17297136</v>
          </cell>
          <cell r="AF7">
            <v>12838763</v>
          </cell>
          <cell r="AG7">
            <v>10766457</v>
          </cell>
          <cell r="AI7">
            <v>17330886</v>
          </cell>
        </row>
        <row r="8">
          <cell r="I8">
            <v>18514430</v>
          </cell>
          <cell r="J8">
            <v>17972375</v>
          </cell>
          <cell r="K8">
            <v>25689303</v>
          </cell>
          <cell r="L8">
            <v>26761558</v>
          </cell>
          <cell r="M8">
            <v>29853422</v>
          </cell>
          <cell r="N8">
            <v>33831385</v>
          </cell>
          <cell r="O8">
            <v>14366496</v>
          </cell>
          <cell r="P8">
            <v>10864811</v>
          </cell>
          <cell r="Q8">
            <v>14245972</v>
          </cell>
          <cell r="R8">
            <v>15762758</v>
          </cell>
          <cell r="S8">
            <v>18809766</v>
          </cell>
          <cell r="T8">
            <v>16400307</v>
          </cell>
          <cell r="U8">
            <v>14931950</v>
          </cell>
          <cell r="V8">
            <v>12582492</v>
          </cell>
          <cell r="W8">
            <v>13396891</v>
          </cell>
          <cell r="X8">
            <v>17565875</v>
          </cell>
          <cell r="Y8">
            <v>21348543</v>
          </cell>
          <cell r="Z8">
            <v>20829018</v>
          </cell>
          <cell r="AA8">
            <v>14860809</v>
          </cell>
          <cell r="AB8">
            <v>10809454</v>
          </cell>
          <cell r="AC8">
            <v>12987125</v>
          </cell>
          <cell r="AD8">
            <v>19771127</v>
          </cell>
          <cell r="AE8">
            <v>19730345</v>
          </cell>
          <cell r="AF8">
            <v>15298082</v>
          </cell>
          <cell r="AG8">
            <v>11910798</v>
          </cell>
          <cell r="AI8">
            <v>17972375</v>
          </cell>
        </row>
        <row r="9">
          <cell r="I9">
            <v>18364535</v>
          </cell>
          <cell r="J9">
            <v>17665981</v>
          </cell>
          <cell r="K9">
            <v>26036108</v>
          </cell>
          <cell r="L9">
            <v>27681899</v>
          </cell>
          <cell r="M9">
            <v>30347903</v>
          </cell>
          <cell r="N9">
            <v>34141143</v>
          </cell>
          <cell r="O9">
            <v>15451364</v>
          </cell>
          <cell r="P9">
            <v>11758584</v>
          </cell>
          <cell r="Q9">
            <v>15398898</v>
          </cell>
          <cell r="R9">
            <v>16798212</v>
          </cell>
          <cell r="S9">
            <v>20785924</v>
          </cell>
          <cell r="T9">
            <v>18447053</v>
          </cell>
          <cell r="U9">
            <v>16205823</v>
          </cell>
          <cell r="V9">
            <v>12808130</v>
          </cell>
          <cell r="W9">
            <v>14653462</v>
          </cell>
          <cell r="X9">
            <v>17918269</v>
          </cell>
          <cell r="Y9">
            <v>22528293</v>
          </cell>
          <cell r="Z9">
            <v>21931952</v>
          </cell>
          <cell r="AA9">
            <v>15744047</v>
          </cell>
          <cell r="AB9">
            <v>11231714</v>
          </cell>
          <cell r="AC9">
            <v>13134091</v>
          </cell>
          <cell r="AD9">
            <v>20852753</v>
          </cell>
          <cell r="AE9">
            <v>20159937</v>
          </cell>
          <cell r="AF9">
            <v>17173156</v>
          </cell>
          <cell r="AG9">
            <v>12006365</v>
          </cell>
          <cell r="AI9">
            <v>17665981</v>
          </cell>
        </row>
        <row r="10">
          <cell r="I10">
            <v>18294682</v>
          </cell>
          <cell r="J10">
            <v>16493000</v>
          </cell>
          <cell r="K10">
            <v>23791733</v>
          </cell>
          <cell r="L10">
            <v>25767479</v>
          </cell>
          <cell r="M10">
            <v>27713934</v>
          </cell>
          <cell r="N10">
            <v>30603190</v>
          </cell>
          <cell r="O10">
            <v>14907911</v>
          </cell>
          <cell r="P10">
            <v>11180142</v>
          </cell>
          <cell r="Q10">
            <v>14455761</v>
          </cell>
          <cell r="R10">
            <v>15737161</v>
          </cell>
          <cell r="S10">
            <v>18684232</v>
          </cell>
          <cell r="T10">
            <v>18029325</v>
          </cell>
          <cell r="U10">
            <v>15354369</v>
          </cell>
          <cell r="V10">
            <v>12293760</v>
          </cell>
          <cell r="W10">
            <v>14509946</v>
          </cell>
          <cell r="X10">
            <v>16658504</v>
          </cell>
          <cell r="Y10">
            <v>20997385</v>
          </cell>
          <cell r="Z10">
            <v>21100916</v>
          </cell>
          <cell r="AA10">
            <v>15134740</v>
          </cell>
          <cell r="AB10">
            <v>10931946</v>
          </cell>
          <cell r="AC10">
            <v>12559674</v>
          </cell>
          <cell r="AD10">
            <v>19122766</v>
          </cell>
          <cell r="AE10">
            <v>17557816</v>
          </cell>
          <cell r="AF10">
            <v>16986002</v>
          </cell>
          <cell r="AG10">
            <v>10988377</v>
          </cell>
          <cell r="AI10">
            <v>16493000</v>
          </cell>
        </row>
        <row r="11">
          <cell r="I11">
            <v>19399210</v>
          </cell>
          <cell r="J11">
            <v>17325272</v>
          </cell>
          <cell r="K11">
            <v>23892859</v>
          </cell>
          <cell r="L11">
            <v>27421692</v>
          </cell>
          <cell r="M11">
            <v>30236317</v>
          </cell>
          <cell r="N11">
            <v>32037487</v>
          </cell>
          <cell r="O11">
            <v>14547356</v>
          </cell>
          <cell r="P11">
            <v>10171203</v>
          </cell>
          <cell r="Q11">
            <v>12868422</v>
          </cell>
          <cell r="R11">
            <v>15343755</v>
          </cell>
          <cell r="S11">
            <v>16903062</v>
          </cell>
          <cell r="T11">
            <v>17622341</v>
          </cell>
          <cell r="U11">
            <v>14691556</v>
          </cell>
          <cell r="V11">
            <v>11000274</v>
          </cell>
          <cell r="W11">
            <v>15023466</v>
          </cell>
          <cell r="X11">
            <v>16900332</v>
          </cell>
          <cell r="Y11">
            <v>21688079</v>
          </cell>
          <cell r="Z11">
            <v>21855797</v>
          </cell>
          <cell r="AA11">
            <v>15367318</v>
          </cell>
          <cell r="AB11">
            <v>10865223</v>
          </cell>
          <cell r="AC11">
            <v>12282092</v>
          </cell>
          <cell r="AD11">
            <v>19538739</v>
          </cell>
          <cell r="AE11">
            <v>17627839</v>
          </cell>
          <cell r="AF11">
            <v>17506120</v>
          </cell>
          <cell r="AG11">
            <v>11661450</v>
          </cell>
          <cell r="AI11">
            <v>17325272</v>
          </cell>
        </row>
        <row r="12">
          <cell r="I12">
            <v>20185584</v>
          </cell>
          <cell r="J12">
            <v>17833549</v>
          </cell>
          <cell r="K12">
            <v>23342097</v>
          </cell>
          <cell r="L12">
            <v>27609233</v>
          </cell>
          <cell r="M12">
            <v>30809083</v>
          </cell>
          <cell r="N12">
            <v>33077177</v>
          </cell>
          <cell r="O12">
            <v>16038463</v>
          </cell>
          <cell r="P12">
            <v>11157089</v>
          </cell>
          <cell r="Q12">
            <v>13193614</v>
          </cell>
          <cell r="R12">
            <v>16741968</v>
          </cell>
          <cell r="S12">
            <v>18323013</v>
          </cell>
          <cell r="T12">
            <v>18976741</v>
          </cell>
          <cell r="U12">
            <v>16238150</v>
          </cell>
          <cell r="V12">
            <v>12240567</v>
          </cell>
          <cell r="W12">
            <v>15357543</v>
          </cell>
          <cell r="X12">
            <v>17090209</v>
          </cell>
          <cell r="Y12">
            <v>22893176</v>
          </cell>
          <cell r="Z12">
            <v>23399983</v>
          </cell>
          <cell r="AA12">
            <v>17303464</v>
          </cell>
          <cell r="AB12">
            <v>11394833</v>
          </cell>
          <cell r="AC12">
            <v>12449446</v>
          </cell>
          <cell r="AD12">
            <v>20997294</v>
          </cell>
          <cell r="AE12">
            <v>18760203</v>
          </cell>
          <cell r="AF12">
            <v>19255456</v>
          </cell>
          <cell r="AG12">
            <v>12613293</v>
          </cell>
          <cell r="AI12">
            <v>17833549</v>
          </cell>
        </row>
        <row r="13">
          <cell r="I13">
            <v>20089624</v>
          </cell>
          <cell r="J13">
            <v>18270758</v>
          </cell>
          <cell r="K13">
            <v>23673881</v>
          </cell>
          <cell r="L13">
            <v>27857094</v>
          </cell>
          <cell r="M13">
            <v>31427803</v>
          </cell>
          <cell r="N13">
            <v>33668586</v>
          </cell>
          <cell r="O13">
            <v>15795055</v>
          </cell>
          <cell r="P13">
            <v>11227960</v>
          </cell>
          <cell r="Q13">
            <v>12320619</v>
          </cell>
          <cell r="R13">
            <v>16239590</v>
          </cell>
          <cell r="S13">
            <v>17348266</v>
          </cell>
          <cell r="T13">
            <v>18537322</v>
          </cell>
          <cell r="U13">
            <v>15053779</v>
          </cell>
          <cell r="V13">
            <v>12216853</v>
          </cell>
          <cell r="W13">
            <v>14396689</v>
          </cell>
          <cell r="X13">
            <v>16638801</v>
          </cell>
          <cell r="Y13">
            <v>21604004</v>
          </cell>
          <cell r="Z13">
            <v>22020020</v>
          </cell>
          <cell r="AA13">
            <v>16230824</v>
          </cell>
          <cell r="AB13">
            <v>10752937</v>
          </cell>
          <cell r="AC13">
            <v>12290090</v>
          </cell>
          <cell r="AD13">
            <v>18073420</v>
          </cell>
          <cell r="AE13">
            <v>16970066</v>
          </cell>
          <cell r="AF13">
            <v>17330034</v>
          </cell>
          <cell r="AG13">
            <v>11001504</v>
          </cell>
          <cell r="AI13">
            <v>18270758</v>
          </cell>
        </row>
        <row r="14">
          <cell r="I14">
            <v>21238591</v>
          </cell>
          <cell r="J14">
            <v>19053109</v>
          </cell>
          <cell r="K14">
            <v>25513124</v>
          </cell>
          <cell r="L14">
            <v>30879605</v>
          </cell>
          <cell r="M14">
            <v>34496115</v>
          </cell>
          <cell r="N14">
            <v>36690031</v>
          </cell>
          <cell r="O14">
            <v>18645715</v>
          </cell>
          <cell r="P14">
            <v>12007240</v>
          </cell>
          <cell r="Q14">
            <v>12842785</v>
          </cell>
          <cell r="R14">
            <v>16743603</v>
          </cell>
          <cell r="S14">
            <v>17274332</v>
          </cell>
          <cell r="T14">
            <v>19157787</v>
          </cell>
          <cell r="U14">
            <v>15148452</v>
          </cell>
          <cell r="V14">
            <v>12213485</v>
          </cell>
          <cell r="W14">
            <v>16738913</v>
          </cell>
          <cell r="X14">
            <v>18077244</v>
          </cell>
          <cell r="Y14">
            <v>24659988</v>
          </cell>
          <cell r="Z14">
            <v>25828088</v>
          </cell>
          <cell r="AA14">
            <v>18142804</v>
          </cell>
          <cell r="AB14">
            <v>12007954</v>
          </cell>
          <cell r="AC14">
            <v>12798626</v>
          </cell>
          <cell r="AD14">
            <v>19566545</v>
          </cell>
          <cell r="AE14">
            <v>18686190</v>
          </cell>
          <cell r="AF14">
            <v>19830685</v>
          </cell>
          <cell r="AG14">
            <v>12337701</v>
          </cell>
          <cell r="AI14">
            <v>19053109</v>
          </cell>
        </row>
        <row r="15">
          <cell r="I15">
            <v>18611784</v>
          </cell>
          <cell r="J15">
            <v>15942471</v>
          </cell>
          <cell r="K15">
            <v>19791685</v>
          </cell>
          <cell r="L15">
            <v>25557335</v>
          </cell>
          <cell r="M15">
            <v>27948675</v>
          </cell>
          <cell r="N15">
            <v>29582208</v>
          </cell>
          <cell r="O15">
            <v>16938757</v>
          </cell>
          <cell r="P15">
            <v>9876778</v>
          </cell>
          <cell r="Q15">
            <v>10199405</v>
          </cell>
          <cell r="R15">
            <v>14169609</v>
          </cell>
          <cell r="S15">
            <v>14130212</v>
          </cell>
          <cell r="T15">
            <v>16599946</v>
          </cell>
          <cell r="U15">
            <v>13330909</v>
          </cell>
          <cell r="V15">
            <v>9948642</v>
          </cell>
          <cell r="W15">
            <v>13184727</v>
          </cell>
          <cell r="X15">
            <v>13685781</v>
          </cell>
          <cell r="Y15">
            <v>18481078</v>
          </cell>
          <cell r="Z15">
            <v>20019182</v>
          </cell>
          <cell r="AA15">
            <v>13972063</v>
          </cell>
          <cell r="AB15">
            <v>9515446</v>
          </cell>
          <cell r="AC15">
            <v>10259271</v>
          </cell>
          <cell r="AD15">
            <v>15435111</v>
          </cell>
          <cell r="AE15">
            <v>14405058</v>
          </cell>
          <cell r="AF15">
            <v>15798567</v>
          </cell>
          <cell r="AG15">
            <v>9675524</v>
          </cell>
          <cell r="AI15">
            <v>15942471</v>
          </cell>
        </row>
        <row r="16">
          <cell r="I16">
            <v>21216951</v>
          </cell>
          <cell r="J16">
            <v>17649664</v>
          </cell>
          <cell r="K16">
            <v>20714505</v>
          </cell>
          <cell r="L16">
            <v>27774819</v>
          </cell>
          <cell r="M16">
            <v>31179329</v>
          </cell>
          <cell r="N16">
            <v>31991837</v>
          </cell>
          <cell r="O16">
            <v>24176383</v>
          </cell>
          <cell r="P16">
            <v>10518634</v>
          </cell>
          <cell r="Q16">
            <v>11189063</v>
          </cell>
          <cell r="R16">
            <v>15475165</v>
          </cell>
          <cell r="S16">
            <v>15186812</v>
          </cell>
          <cell r="T16">
            <v>17403273</v>
          </cell>
          <cell r="U16">
            <v>14876841</v>
          </cell>
          <cell r="V16">
            <v>11035869</v>
          </cell>
          <cell r="W16">
            <v>13742012</v>
          </cell>
          <cell r="X16">
            <v>14996049</v>
          </cell>
          <cell r="Y16">
            <v>20061159</v>
          </cell>
          <cell r="Z16">
            <v>21092887</v>
          </cell>
          <cell r="AA16">
            <v>15526012</v>
          </cell>
          <cell r="AB16">
            <v>10531456</v>
          </cell>
          <cell r="AC16">
            <v>10967302</v>
          </cell>
          <cell r="AD16">
            <v>18499463</v>
          </cell>
          <cell r="AE16">
            <v>16295867</v>
          </cell>
          <cell r="AF16">
            <v>17277299</v>
          </cell>
          <cell r="AG16">
            <v>11470948</v>
          </cell>
          <cell r="AI16">
            <v>17649664</v>
          </cell>
        </row>
        <row r="17">
          <cell r="I17">
            <v>23378375</v>
          </cell>
          <cell r="J17">
            <v>20169472</v>
          </cell>
          <cell r="K17">
            <v>22165830</v>
          </cell>
          <cell r="L17">
            <v>31084073</v>
          </cell>
          <cell r="M17">
            <v>35400773</v>
          </cell>
          <cell r="N17">
            <v>36057255</v>
          </cell>
          <cell r="O17">
            <v>27519089</v>
          </cell>
          <cell r="P17">
            <v>11991313</v>
          </cell>
          <cell r="Q17">
            <v>12303621</v>
          </cell>
          <cell r="R17">
            <v>17328729</v>
          </cell>
          <cell r="S17">
            <v>17082992</v>
          </cell>
          <cell r="T17">
            <v>19745272</v>
          </cell>
          <cell r="U17">
            <v>16941888</v>
          </cell>
          <cell r="V17">
            <v>12573270</v>
          </cell>
          <cell r="W17">
            <v>15128491</v>
          </cell>
          <cell r="X17">
            <v>16941413</v>
          </cell>
          <cell r="Y17">
            <v>23347508</v>
          </cell>
          <cell r="Z17">
            <v>23730991</v>
          </cell>
          <cell r="AA17">
            <v>18432753</v>
          </cell>
          <cell r="AB17">
            <v>11709907</v>
          </cell>
          <cell r="AC17">
            <v>11564620</v>
          </cell>
          <cell r="AD17">
            <v>18196632</v>
          </cell>
          <cell r="AE17">
            <v>17093221</v>
          </cell>
          <cell r="AF17">
            <v>18546169</v>
          </cell>
          <cell r="AG17">
            <v>12416396</v>
          </cell>
          <cell r="AI17">
            <v>20169472</v>
          </cell>
        </row>
        <row r="18">
          <cell r="I18">
            <v>24607757</v>
          </cell>
          <cell r="J18">
            <v>21180750</v>
          </cell>
          <cell r="K18">
            <v>23506165</v>
          </cell>
          <cell r="L18">
            <v>32604130</v>
          </cell>
          <cell r="M18">
            <v>36686938</v>
          </cell>
          <cell r="N18">
            <v>38967501</v>
          </cell>
          <cell r="O18">
            <v>28917910</v>
          </cell>
          <cell r="P18">
            <v>13870763</v>
          </cell>
          <cell r="Q18">
            <v>13582952</v>
          </cell>
          <cell r="R18">
            <v>19475107</v>
          </cell>
          <cell r="S18">
            <v>18570132</v>
          </cell>
          <cell r="T18">
            <v>21581462</v>
          </cell>
          <cell r="U18">
            <v>18686124</v>
          </cell>
          <cell r="V18">
            <v>14047494</v>
          </cell>
          <cell r="W18">
            <v>16505707</v>
          </cell>
          <cell r="X18">
            <v>18687125</v>
          </cell>
          <cell r="Y18">
            <v>27070588</v>
          </cell>
          <cell r="Z18">
            <v>27484575</v>
          </cell>
          <cell r="AA18">
            <v>21068780</v>
          </cell>
          <cell r="AB18">
            <v>13902381</v>
          </cell>
          <cell r="AC18">
            <v>12816132</v>
          </cell>
          <cell r="AD18">
            <v>19497208</v>
          </cell>
          <cell r="AE18">
            <v>19907141</v>
          </cell>
          <cell r="AF18">
            <v>20447546</v>
          </cell>
          <cell r="AG18">
            <v>13482944</v>
          </cell>
          <cell r="AI18">
            <v>21180750</v>
          </cell>
        </row>
        <row r="19">
          <cell r="I19">
            <v>21833338</v>
          </cell>
          <cell r="J19">
            <v>18068049</v>
          </cell>
          <cell r="K19">
            <v>20133169</v>
          </cell>
          <cell r="L19">
            <v>27552321</v>
          </cell>
          <cell r="M19">
            <v>29780765</v>
          </cell>
          <cell r="N19">
            <v>33336113</v>
          </cell>
          <cell r="O19">
            <v>25285645</v>
          </cell>
          <cell r="P19">
            <v>11779392</v>
          </cell>
          <cell r="Q19">
            <v>11326363</v>
          </cell>
          <cell r="R19">
            <v>16360498</v>
          </cell>
          <cell r="S19">
            <v>15385539</v>
          </cell>
          <cell r="T19">
            <v>18642939</v>
          </cell>
          <cell r="U19">
            <v>16043366</v>
          </cell>
          <cell r="V19">
            <v>12042184</v>
          </cell>
          <cell r="W19">
            <v>14388236</v>
          </cell>
          <cell r="X19">
            <v>15026539</v>
          </cell>
          <cell r="Y19">
            <v>20783273</v>
          </cell>
          <cell r="Z19">
            <v>22656449</v>
          </cell>
          <cell r="AA19">
            <v>17450519</v>
          </cell>
          <cell r="AB19">
            <v>11980317</v>
          </cell>
          <cell r="AC19">
            <v>11001419</v>
          </cell>
          <cell r="AD19">
            <v>17494218</v>
          </cell>
          <cell r="AE19">
            <v>17885716</v>
          </cell>
          <cell r="AF19">
            <v>19655535</v>
          </cell>
          <cell r="AG19">
            <v>12393091</v>
          </cell>
          <cell r="AI19">
            <v>18068049</v>
          </cell>
        </row>
        <row r="20">
          <cell r="I20">
            <v>22951784</v>
          </cell>
          <cell r="J20">
            <v>19411871</v>
          </cell>
          <cell r="K20">
            <v>20807639</v>
          </cell>
          <cell r="L20">
            <v>30167151</v>
          </cell>
          <cell r="M20">
            <v>31944115</v>
          </cell>
          <cell r="N20">
            <v>35717680</v>
          </cell>
          <cell r="O20">
            <v>27733142</v>
          </cell>
          <cell r="P20">
            <v>13416106</v>
          </cell>
          <cell r="Q20">
            <v>13149263</v>
          </cell>
          <cell r="R20">
            <v>18558623</v>
          </cell>
          <cell r="S20">
            <v>16928547</v>
          </cell>
          <cell r="T20">
            <v>20796158</v>
          </cell>
          <cell r="U20">
            <v>17856625</v>
          </cell>
          <cell r="V20">
            <v>14167557</v>
          </cell>
          <cell r="W20">
            <v>15580286</v>
          </cell>
          <cell r="X20">
            <v>16243665</v>
          </cell>
          <cell r="Y20">
            <v>22645263</v>
          </cell>
          <cell r="Z20">
            <v>24651428</v>
          </cell>
          <cell r="AA20">
            <v>18870341</v>
          </cell>
          <cell r="AB20">
            <v>12923158</v>
          </cell>
          <cell r="AC20">
            <v>11710680</v>
          </cell>
          <cell r="AD20">
            <v>17207065</v>
          </cell>
          <cell r="AE20">
            <v>17989017</v>
          </cell>
          <cell r="AF20">
            <v>19424425</v>
          </cell>
          <cell r="AG20">
            <v>12740393</v>
          </cell>
          <cell r="AI20">
            <v>19411871</v>
          </cell>
        </row>
        <row r="21">
          <cell r="I21">
            <v>21888126</v>
          </cell>
          <cell r="J21">
            <v>17634052</v>
          </cell>
          <cell r="K21">
            <v>18095187</v>
          </cell>
          <cell r="L21">
            <v>26379242</v>
          </cell>
          <cell r="M21">
            <v>28265497</v>
          </cell>
          <cell r="N21">
            <v>31538829</v>
          </cell>
          <cell r="O21">
            <v>25742995</v>
          </cell>
          <cell r="P21">
            <v>11930014</v>
          </cell>
          <cell r="Q21">
            <v>11465037</v>
          </cell>
          <cell r="R21">
            <v>16668360</v>
          </cell>
          <cell r="S21">
            <v>15579112</v>
          </cell>
          <cell r="T21">
            <v>18507395</v>
          </cell>
          <cell r="U21">
            <v>16985594</v>
          </cell>
          <cell r="V21">
            <v>12702656</v>
          </cell>
          <cell r="W21">
            <v>13319816</v>
          </cell>
          <cell r="X21">
            <v>14962295</v>
          </cell>
          <cell r="Y21">
            <v>20477547</v>
          </cell>
          <cell r="Z21">
            <v>22202238</v>
          </cell>
          <cell r="AA21">
            <v>17881900</v>
          </cell>
          <cell r="AB21">
            <v>11849060</v>
          </cell>
          <cell r="AC21">
            <v>10955859</v>
          </cell>
          <cell r="AD21">
            <v>16276757</v>
          </cell>
          <cell r="AE21">
            <v>17345162</v>
          </cell>
          <cell r="AF21">
            <v>18416413</v>
          </cell>
          <cell r="AG21">
            <v>12368439</v>
          </cell>
          <cell r="AI21">
            <v>17634052</v>
          </cell>
        </row>
        <row r="22">
          <cell r="I22">
            <v>20613217</v>
          </cell>
          <cell r="J22">
            <v>16998655</v>
          </cell>
          <cell r="K22">
            <v>16157382</v>
          </cell>
          <cell r="L22">
            <v>24053933</v>
          </cell>
          <cell r="M22">
            <v>25833664</v>
          </cell>
          <cell r="N22">
            <v>28353989</v>
          </cell>
          <cell r="O22">
            <v>25792134</v>
          </cell>
          <cell r="P22">
            <v>10838399</v>
          </cell>
          <cell r="Q22">
            <v>10210886</v>
          </cell>
          <cell r="R22">
            <v>15160538</v>
          </cell>
          <cell r="S22">
            <v>14900295</v>
          </cell>
          <cell r="T22">
            <v>17906550</v>
          </cell>
          <cell r="U22">
            <v>15642548</v>
          </cell>
          <cell r="V22">
            <v>12755454</v>
          </cell>
          <cell r="W22">
            <v>11528943</v>
          </cell>
          <cell r="X22">
            <v>13371172</v>
          </cell>
          <cell r="Y22">
            <v>17788491</v>
          </cell>
          <cell r="Z22">
            <v>19228758</v>
          </cell>
          <cell r="AA22">
            <v>16155197</v>
          </cell>
          <cell r="AB22">
            <v>10572797</v>
          </cell>
          <cell r="AC22">
            <v>9240821</v>
          </cell>
          <cell r="AD22">
            <v>14524703</v>
          </cell>
          <cell r="AE22">
            <v>15538917</v>
          </cell>
          <cell r="AF22">
            <v>16595533</v>
          </cell>
          <cell r="AG22">
            <v>11175324</v>
          </cell>
          <cell r="AI22">
            <v>16998655</v>
          </cell>
        </row>
        <row r="23">
          <cell r="I23">
            <v>22385815</v>
          </cell>
          <cell r="J23">
            <v>18002891</v>
          </cell>
          <cell r="K23">
            <v>18324510</v>
          </cell>
          <cell r="L23">
            <v>26815484</v>
          </cell>
          <cell r="M23">
            <v>28428514</v>
          </cell>
          <cell r="N23">
            <v>32583055</v>
          </cell>
          <cell r="O23">
            <v>29750127</v>
          </cell>
          <cell r="P23">
            <v>11015126</v>
          </cell>
          <cell r="Q23">
            <v>9995619</v>
          </cell>
          <cell r="R23">
            <v>14043421</v>
          </cell>
          <cell r="S23">
            <v>13478086</v>
          </cell>
          <cell r="T23">
            <v>16488520</v>
          </cell>
          <cell r="U23">
            <v>14234688</v>
          </cell>
          <cell r="V23">
            <v>11846440</v>
          </cell>
          <cell r="W23">
            <v>11273084</v>
          </cell>
          <cell r="X23">
            <v>12039305</v>
          </cell>
          <cell r="Y23">
            <v>16960432</v>
          </cell>
          <cell r="Z23">
            <v>18509646</v>
          </cell>
          <cell r="AA23">
            <v>16449183</v>
          </cell>
          <cell r="AB23">
            <v>10130262</v>
          </cell>
          <cell r="AC23">
            <v>8881668</v>
          </cell>
          <cell r="AD23">
            <v>13193725</v>
          </cell>
          <cell r="AE23">
            <v>15568058</v>
          </cell>
          <cell r="AF23">
            <v>15933970</v>
          </cell>
          <cell r="AG23">
            <v>10664202</v>
          </cell>
          <cell r="AI23">
            <v>18002891</v>
          </cell>
        </row>
        <row r="24">
          <cell r="I24">
            <v>23768453</v>
          </cell>
          <cell r="J24">
            <v>18324936</v>
          </cell>
          <cell r="K24">
            <v>18878512</v>
          </cell>
          <cell r="L24">
            <v>27914337</v>
          </cell>
          <cell r="M24">
            <v>28601804</v>
          </cell>
          <cell r="N24">
            <v>30245910</v>
          </cell>
          <cell r="O24">
            <v>34004571</v>
          </cell>
          <cell r="P24">
            <v>12110411</v>
          </cell>
          <cell r="Q24">
            <v>11083438</v>
          </cell>
          <cell r="R24">
            <v>15343897</v>
          </cell>
          <cell r="S24">
            <v>14969635</v>
          </cell>
          <cell r="T24">
            <v>18666262</v>
          </cell>
          <cell r="U24">
            <v>15481292</v>
          </cell>
          <cell r="V24">
            <v>13284906</v>
          </cell>
          <cell r="W24">
            <v>13017475</v>
          </cell>
          <cell r="X24">
            <v>14829091</v>
          </cell>
          <cell r="Y24">
            <v>19995455</v>
          </cell>
          <cell r="Z24">
            <v>21889789</v>
          </cell>
          <cell r="AA24">
            <v>21078236</v>
          </cell>
          <cell r="AB24">
            <v>12597025</v>
          </cell>
          <cell r="AC24">
            <v>10657458</v>
          </cell>
          <cell r="AD24">
            <v>15495317</v>
          </cell>
          <cell r="AE24">
            <v>18465017</v>
          </cell>
          <cell r="AF24">
            <v>19517840</v>
          </cell>
          <cell r="AG24">
            <v>13204631</v>
          </cell>
          <cell r="AI24">
            <v>18324936</v>
          </cell>
        </row>
        <row r="25">
          <cell r="I25">
            <v>24439188</v>
          </cell>
          <cell r="J25">
            <v>17511077</v>
          </cell>
          <cell r="K25">
            <v>17029407</v>
          </cell>
          <cell r="L25">
            <v>28478482</v>
          </cell>
          <cell r="M25">
            <v>27331599</v>
          </cell>
          <cell r="N25">
            <v>28501886</v>
          </cell>
          <cell r="O25">
            <v>33601427</v>
          </cell>
          <cell r="P25">
            <v>11959891</v>
          </cell>
          <cell r="Q25">
            <v>10532270</v>
          </cell>
          <cell r="R25">
            <v>14568011</v>
          </cell>
          <cell r="S25">
            <v>14826348</v>
          </cell>
          <cell r="T25">
            <v>17824894</v>
          </cell>
          <cell r="U25">
            <v>15308585</v>
          </cell>
          <cell r="V25">
            <v>13515660</v>
          </cell>
          <cell r="W25">
            <v>12224629</v>
          </cell>
          <cell r="X25">
            <v>13139205</v>
          </cell>
          <cell r="Y25">
            <v>17481987</v>
          </cell>
          <cell r="Z25">
            <v>18778989</v>
          </cell>
          <cell r="AA25">
            <v>19411614</v>
          </cell>
          <cell r="AB25">
            <v>11166811</v>
          </cell>
          <cell r="AC25">
            <v>9837087</v>
          </cell>
          <cell r="AD25">
            <v>12908804</v>
          </cell>
          <cell r="AE25">
            <v>15714402</v>
          </cell>
          <cell r="AF25">
            <v>16934052</v>
          </cell>
          <cell r="AG25">
            <v>11407471</v>
          </cell>
          <cell r="AI25">
            <v>17511077</v>
          </cell>
        </row>
        <row r="26">
          <cell r="I26">
            <v>25531345</v>
          </cell>
          <cell r="J26">
            <v>18272305</v>
          </cell>
          <cell r="K26">
            <v>17316767</v>
          </cell>
          <cell r="L26">
            <v>27781708</v>
          </cell>
          <cell r="M26">
            <v>27063565</v>
          </cell>
          <cell r="N26">
            <v>28185379</v>
          </cell>
          <cell r="O26">
            <v>33781911</v>
          </cell>
          <cell r="P26">
            <v>12694146</v>
          </cell>
          <cell r="Q26">
            <v>10383914</v>
          </cell>
          <cell r="R26">
            <v>14623475</v>
          </cell>
          <cell r="S26">
            <v>15009371</v>
          </cell>
          <cell r="T26">
            <v>17262900</v>
          </cell>
          <cell r="U26">
            <v>15317205</v>
          </cell>
          <cell r="V26">
            <v>13779509</v>
          </cell>
          <cell r="W26">
            <v>11676072</v>
          </cell>
          <cell r="X26">
            <v>14190620</v>
          </cell>
          <cell r="Y26">
            <v>17494035</v>
          </cell>
          <cell r="Z26">
            <v>19438585</v>
          </cell>
          <cell r="AA26">
            <v>19754435</v>
          </cell>
          <cell r="AB26">
            <v>12287763</v>
          </cell>
          <cell r="AC26">
            <v>10314537</v>
          </cell>
          <cell r="AD26">
            <v>14287966</v>
          </cell>
          <cell r="AE26">
            <v>17503912</v>
          </cell>
          <cell r="AF26">
            <v>18113141</v>
          </cell>
          <cell r="AG26">
            <v>13059981</v>
          </cell>
          <cell r="AI26">
            <v>18272305</v>
          </cell>
        </row>
        <row r="28">
          <cell r="I28">
            <v>-6919</v>
          </cell>
          <cell r="J28">
            <v>-1060</v>
          </cell>
          <cell r="K28">
            <v>-6630</v>
          </cell>
          <cell r="L28">
            <v>-7045</v>
          </cell>
          <cell r="M28">
            <v>-1203</v>
          </cell>
          <cell r="N28">
            <v>-5321</v>
          </cell>
          <cell r="O28">
            <v>6642960</v>
          </cell>
          <cell r="P28">
            <v>4727179</v>
          </cell>
          <cell r="Q28">
            <v>5531909</v>
          </cell>
          <cell r="R28">
            <v>6303777</v>
          </cell>
          <cell r="S28">
            <v>7518316</v>
          </cell>
          <cell r="T28">
            <v>6447945</v>
          </cell>
          <cell r="U28">
            <v>5807807</v>
          </cell>
          <cell r="V28">
            <v>5902180</v>
          </cell>
          <cell r="W28">
            <v>7280421</v>
          </cell>
          <cell r="X28">
            <v>10164211</v>
          </cell>
          <cell r="Y28">
            <v>11813648</v>
          </cell>
          <cell r="Z28">
            <v>11557377</v>
          </cell>
          <cell r="AA28">
            <v>7023995</v>
          </cell>
          <cell r="AB28">
            <v>4886732</v>
          </cell>
          <cell r="AC28">
            <v>5391094</v>
          </cell>
          <cell r="AD28">
            <v>6867066</v>
          </cell>
          <cell r="AE28">
            <v>6941282</v>
          </cell>
          <cell r="AF28">
            <v>5387138</v>
          </cell>
          <cell r="AG28">
            <v>4754657</v>
          </cell>
          <cell r="AI28">
            <v>-1060</v>
          </cell>
        </row>
        <row r="29">
          <cell r="I29">
            <v>0</v>
          </cell>
          <cell r="J29">
            <v>146</v>
          </cell>
          <cell r="K29">
            <v>130</v>
          </cell>
          <cell r="L29">
            <v>-846</v>
          </cell>
          <cell r="M29">
            <v>-5645</v>
          </cell>
          <cell r="N29">
            <v>-17527</v>
          </cell>
          <cell r="O29">
            <v>7909363</v>
          </cell>
          <cell r="P29">
            <v>5321473</v>
          </cell>
          <cell r="Q29">
            <v>6475081</v>
          </cell>
          <cell r="R29">
            <v>7105572</v>
          </cell>
          <cell r="S29">
            <v>8317374</v>
          </cell>
          <cell r="T29">
            <v>7202866</v>
          </cell>
          <cell r="U29">
            <v>6444879</v>
          </cell>
          <cell r="V29">
            <v>6717608</v>
          </cell>
          <cell r="W29">
            <v>7929816</v>
          </cell>
          <cell r="X29">
            <v>10718108</v>
          </cell>
          <cell r="Y29">
            <v>13215708</v>
          </cell>
          <cell r="Z29">
            <v>12540430</v>
          </cell>
          <cell r="AA29">
            <v>8201971</v>
          </cell>
          <cell r="AB29">
            <v>5584335</v>
          </cell>
          <cell r="AC29">
            <v>6071789</v>
          </cell>
          <cell r="AD29">
            <v>8332832</v>
          </cell>
          <cell r="AE29">
            <v>8450064</v>
          </cell>
          <cell r="AF29">
            <v>6633994</v>
          </cell>
          <cell r="AG29">
            <v>5562879</v>
          </cell>
          <cell r="AI29">
            <v>146</v>
          </cell>
        </row>
        <row r="30">
          <cell r="I30">
            <v>-360</v>
          </cell>
          <cell r="J30">
            <v>-400</v>
          </cell>
          <cell r="K30">
            <v>209</v>
          </cell>
          <cell r="L30">
            <v>100</v>
          </cell>
          <cell r="M30">
            <v>3</v>
          </cell>
          <cell r="N30">
            <v>-11302</v>
          </cell>
          <cell r="O30">
            <v>6880161</v>
          </cell>
          <cell r="P30">
            <v>4737672</v>
          </cell>
          <cell r="Q30">
            <v>5469349</v>
          </cell>
          <cell r="R30">
            <v>5824846</v>
          </cell>
          <cell r="S30">
            <v>6791944</v>
          </cell>
          <cell r="T30">
            <v>6310463</v>
          </cell>
          <cell r="U30">
            <v>5563490</v>
          </cell>
          <cell r="V30">
            <v>6044849</v>
          </cell>
          <cell r="W30">
            <v>6831420</v>
          </cell>
          <cell r="X30">
            <v>8920798</v>
          </cell>
          <cell r="Y30">
            <v>11279915</v>
          </cell>
          <cell r="Z30">
            <v>11051690</v>
          </cell>
          <cell r="AA30">
            <v>7221992</v>
          </cell>
          <cell r="AB30">
            <v>4829456</v>
          </cell>
          <cell r="AC30">
            <v>4974841</v>
          </cell>
          <cell r="AD30">
            <v>7004878</v>
          </cell>
          <cell r="AE30">
            <v>6867218</v>
          </cell>
          <cell r="AF30">
            <v>6220868</v>
          </cell>
          <cell r="AG30">
            <v>4574372</v>
          </cell>
          <cell r="AI30">
            <v>-400</v>
          </cell>
        </row>
        <row r="31">
          <cell r="I31">
            <v>0</v>
          </cell>
          <cell r="J31">
            <v>66</v>
          </cell>
          <cell r="K31">
            <v>57</v>
          </cell>
          <cell r="L31">
            <v>23</v>
          </cell>
          <cell r="M31">
            <v>-1692</v>
          </cell>
          <cell r="N31">
            <v>-7211</v>
          </cell>
          <cell r="O31">
            <v>6225487</v>
          </cell>
          <cell r="P31">
            <v>4175681</v>
          </cell>
          <cell r="Q31">
            <v>5089361</v>
          </cell>
          <cell r="R31">
            <v>5580328</v>
          </cell>
          <cell r="S31">
            <v>6437456</v>
          </cell>
          <cell r="T31">
            <v>6130105</v>
          </cell>
          <cell r="U31">
            <v>5419496</v>
          </cell>
          <cell r="V31">
            <v>4922980</v>
          </cell>
          <cell r="W31">
            <v>6328977</v>
          </cell>
          <cell r="X31">
            <v>7722667</v>
          </cell>
          <cell r="Y31">
            <v>9793356</v>
          </cell>
          <cell r="Z31">
            <v>9985505</v>
          </cell>
          <cell r="AA31">
            <v>6502904</v>
          </cell>
          <cell r="AB31">
            <v>4361673</v>
          </cell>
          <cell r="AC31">
            <v>4467734</v>
          </cell>
          <cell r="AD31">
            <v>6335542</v>
          </cell>
          <cell r="AE31">
            <v>6080264</v>
          </cell>
          <cell r="AF31">
            <v>5622805</v>
          </cell>
          <cell r="AG31">
            <v>4036742</v>
          </cell>
          <cell r="AI31">
            <v>66</v>
          </cell>
        </row>
        <row r="32">
          <cell r="I32">
            <v>0</v>
          </cell>
          <cell r="J32">
            <v>34</v>
          </cell>
          <cell r="K32">
            <v>0</v>
          </cell>
          <cell r="L32">
            <v>-27128</v>
          </cell>
          <cell r="M32">
            <v>-1338</v>
          </cell>
          <cell r="N32">
            <v>-6704</v>
          </cell>
          <cell r="O32">
            <v>8892227</v>
          </cell>
          <cell r="P32">
            <v>5602019</v>
          </cell>
          <cell r="Q32">
            <v>6220891</v>
          </cell>
          <cell r="R32">
            <v>7382625</v>
          </cell>
          <cell r="S32">
            <v>8025339</v>
          </cell>
          <cell r="T32">
            <v>8289065</v>
          </cell>
          <cell r="U32">
            <v>6968919</v>
          </cell>
          <cell r="V32">
            <v>5813450</v>
          </cell>
          <cell r="W32">
            <v>7991894</v>
          </cell>
          <cell r="X32">
            <v>9421048</v>
          </cell>
          <cell r="Y32">
            <v>12571268</v>
          </cell>
          <cell r="Z32">
            <v>12730812</v>
          </cell>
          <cell r="AA32">
            <v>8325179</v>
          </cell>
          <cell r="AB32">
            <v>5262839</v>
          </cell>
          <cell r="AC32">
            <v>5525475</v>
          </cell>
          <cell r="AD32">
            <v>7824875</v>
          </cell>
          <cell r="AE32">
            <v>7437712</v>
          </cell>
          <cell r="AF32">
            <v>7148986</v>
          </cell>
          <cell r="AG32">
            <v>5194114</v>
          </cell>
          <cell r="AI32">
            <v>34</v>
          </cell>
        </row>
        <row r="33">
          <cell r="I33">
            <v>14</v>
          </cell>
          <cell r="J33">
            <v>-14</v>
          </cell>
          <cell r="K33">
            <v>88</v>
          </cell>
          <cell r="L33">
            <v>-2767</v>
          </cell>
          <cell r="M33">
            <v>-76</v>
          </cell>
          <cell r="N33">
            <v>-10467</v>
          </cell>
          <cell r="O33">
            <v>7730456</v>
          </cell>
          <cell r="P33">
            <v>4861251</v>
          </cell>
          <cell r="Q33">
            <v>5321871</v>
          </cell>
          <cell r="R33">
            <v>6251391</v>
          </cell>
          <cell r="S33">
            <v>7039342</v>
          </cell>
          <cell r="T33">
            <v>7489780</v>
          </cell>
          <cell r="U33">
            <v>5852916</v>
          </cell>
          <cell r="V33">
            <v>5132761</v>
          </cell>
          <cell r="W33">
            <v>6391379</v>
          </cell>
          <cell r="X33">
            <v>7408083</v>
          </cell>
          <cell r="Y33">
            <v>10430216</v>
          </cell>
          <cell r="Z33">
            <v>10227146</v>
          </cell>
          <cell r="AA33">
            <v>7187608</v>
          </cell>
          <cell r="AB33">
            <v>4408861</v>
          </cell>
          <cell r="AC33">
            <v>4443603</v>
          </cell>
          <cell r="AD33">
            <v>6308025</v>
          </cell>
          <cell r="AE33">
            <v>5307926</v>
          </cell>
          <cell r="AF33">
            <v>5197472</v>
          </cell>
          <cell r="AG33">
            <v>3678691</v>
          </cell>
          <cell r="AI33">
            <v>-14</v>
          </cell>
        </row>
        <row r="34">
          <cell r="I34">
            <v>-14</v>
          </cell>
          <cell r="J34">
            <v>-25603</v>
          </cell>
          <cell r="K34">
            <v>-83</v>
          </cell>
          <cell r="L34">
            <v>0</v>
          </cell>
          <cell r="M34">
            <v>-16887</v>
          </cell>
          <cell r="N34">
            <v>-2797</v>
          </cell>
          <cell r="O34">
            <v>8148309</v>
          </cell>
          <cell r="P34">
            <v>5322219</v>
          </cell>
          <cell r="Q34">
            <v>5515347</v>
          </cell>
          <cell r="R34">
            <v>6960684</v>
          </cell>
          <cell r="S34">
            <v>7312886</v>
          </cell>
          <cell r="T34">
            <v>8277588</v>
          </cell>
          <cell r="U34">
            <v>6457737</v>
          </cell>
          <cell r="V34">
            <v>5944267</v>
          </cell>
          <cell r="W34">
            <v>7610138</v>
          </cell>
          <cell r="X34">
            <v>8765837</v>
          </cell>
          <cell r="Y34">
            <v>12349371</v>
          </cell>
          <cell r="Z34">
            <v>12160729</v>
          </cell>
          <cell r="AA34">
            <v>8614832</v>
          </cell>
          <cell r="AB34">
            <v>5098588</v>
          </cell>
          <cell r="AC34">
            <v>5007016</v>
          </cell>
          <cell r="AD34">
            <v>7949983</v>
          </cell>
          <cell r="AE34">
            <v>8213093</v>
          </cell>
          <cell r="AF34">
            <v>8051150</v>
          </cell>
          <cell r="AG34">
            <v>5511291</v>
          </cell>
          <cell r="AI34">
            <v>-25603</v>
          </cell>
        </row>
        <row r="35">
          <cell r="I35">
            <v>0</v>
          </cell>
          <cell r="J35">
            <v>107</v>
          </cell>
          <cell r="K35">
            <v>-1752</v>
          </cell>
          <cell r="L35">
            <v>0</v>
          </cell>
          <cell r="M35">
            <v>34</v>
          </cell>
          <cell r="N35">
            <v>-4619</v>
          </cell>
          <cell r="O35">
            <v>6898465</v>
          </cell>
          <cell r="P35">
            <v>5852083</v>
          </cell>
          <cell r="Q35">
            <v>6000732</v>
          </cell>
          <cell r="R35">
            <v>7436042</v>
          </cell>
          <cell r="S35">
            <v>7779406</v>
          </cell>
          <cell r="T35">
            <v>9148847</v>
          </cell>
          <cell r="U35">
            <v>7413544</v>
          </cell>
          <cell r="V35">
            <v>6679859</v>
          </cell>
          <cell r="W35">
            <v>8901091</v>
          </cell>
          <cell r="X35">
            <v>9937010</v>
          </cell>
          <cell r="Y35">
            <v>13848281</v>
          </cell>
          <cell r="Z35">
            <v>14567628</v>
          </cell>
          <cell r="AA35">
            <v>10106129</v>
          </cell>
          <cell r="AB35">
            <v>5995576</v>
          </cell>
          <cell r="AC35">
            <v>5879597</v>
          </cell>
          <cell r="AD35">
            <v>8308376</v>
          </cell>
          <cell r="AE35">
            <v>7944679</v>
          </cell>
          <cell r="AF35">
            <v>7946299</v>
          </cell>
          <cell r="AG35">
            <v>5567215</v>
          </cell>
          <cell r="AI35">
            <v>107</v>
          </cell>
        </row>
        <row r="36">
          <cell r="I36">
            <v>0</v>
          </cell>
          <cell r="J36">
            <v>-321</v>
          </cell>
          <cell r="K36">
            <v>-529</v>
          </cell>
          <cell r="L36">
            <v>5</v>
          </cell>
          <cell r="M36">
            <v>-20102</v>
          </cell>
          <cell r="N36">
            <v>-74</v>
          </cell>
          <cell r="O36">
            <v>4274983</v>
          </cell>
          <cell r="P36">
            <v>5106879</v>
          </cell>
          <cell r="Q36">
            <v>5097406</v>
          </cell>
          <cell r="R36">
            <v>6491247</v>
          </cell>
          <cell r="S36">
            <v>6726621</v>
          </cell>
          <cell r="T36">
            <v>7531022</v>
          </cell>
          <cell r="U36">
            <v>6181695</v>
          </cell>
          <cell r="V36">
            <v>4914045</v>
          </cell>
          <cell r="W36">
            <v>6936988</v>
          </cell>
          <cell r="X36">
            <v>7687878</v>
          </cell>
          <cell r="Y36">
            <v>10684128</v>
          </cell>
          <cell r="Z36">
            <v>11333305</v>
          </cell>
          <cell r="AA36">
            <v>7768608</v>
          </cell>
          <cell r="AB36">
            <v>4950697</v>
          </cell>
          <cell r="AC36">
            <v>4792258</v>
          </cell>
          <cell r="AD36">
            <v>6877801</v>
          </cell>
          <cell r="AE36">
            <v>6516363</v>
          </cell>
          <cell r="AF36">
            <v>6814218</v>
          </cell>
          <cell r="AG36">
            <v>4703044</v>
          </cell>
          <cell r="AI36">
            <v>-321</v>
          </cell>
        </row>
        <row r="37">
          <cell r="I37">
            <v>14</v>
          </cell>
          <cell r="J37">
            <v>147</v>
          </cell>
          <cell r="K37">
            <v>-732</v>
          </cell>
          <cell r="L37">
            <v>10</v>
          </cell>
          <cell r="M37">
            <v>-5076</v>
          </cell>
          <cell r="N37">
            <v>-1045</v>
          </cell>
          <cell r="O37">
            <v>10631</v>
          </cell>
          <cell r="P37">
            <v>5904562</v>
          </cell>
          <cell r="Q37">
            <v>5692588</v>
          </cell>
          <cell r="R37">
            <v>7518264</v>
          </cell>
          <cell r="S37">
            <v>7444140</v>
          </cell>
          <cell r="T37">
            <v>8636408</v>
          </cell>
          <cell r="U37">
            <v>7231850</v>
          </cell>
          <cell r="V37">
            <v>6033877</v>
          </cell>
          <cell r="W37">
            <v>8851290</v>
          </cell>
          <cell r="X37">
            <v>9386751</v>
          </cell>
          <cell r="Y37">
            <v>13711949</v>
          </cell>
          <cell r="Z37">
            <v>13869700</v>
          </cell>
          <cell r="AA37">
            <v>9849717</v>
          </cell>
          <cell r="AB37">
            <v>6135028</v>
          </cell>
          <cell r="AC37">
            <v>5523988</v>
          </cell>
          <cell r="AD37">
            <v>7688125</v>
          </cell>
          <cell r="AE37">
            <v>7343841</v>
          </cell>
          <cell r="AF37">
            <v>7393602</v>
          </cell>
          <cell r="AG37">
            <v>5351983</v>
          </cell>
          <cell r="AI37">
            <v>147</v>
          </cell>
        </row>
        <row r="38">
          <cell r="I38">
            <v>-7</v>
          </cell>
          <cell r="J38">
            <v>187</v>
          </cell>
          <cell r="K38">
            <v>30</v>
          </cell>
          <cell r="L38">
            <v>-420</v>
          </cell>
          <cell r="M38">
            <v>0</v>
          </cell>
          <cell r="N38">
            <v>-2382</v>
          </cell>
          <cell r="O38">
            <v>10586</v>
          </cell>
          <cell r="P38">
            <v>6375317</v>
          </cell>
          <cell r="Q38">
            <v>6265859</v>
          </cell>
          <cell r="R38">
            <v>7809546</v>
          </cell>
          <cell r="S38">
            <v>7822957</v>
          </cell>
          <cell r="T38">
            <v>8777391</v>
          </cell>
          <cell r="U38">
            <v>7869121</v>
          </cell>
          <cell r="V38">
            <v>5734928</v>
          </cell>
          <cell r="W38">
            <v>8007221</v>
          </cell>
          <cell r="X38">
            <v>9018568</v>
          </cell>
          <cell r="Y38">
            <v>12484741</v>
          </cell>
          <cell r="Z38">
            <v>13302340</v>
          </cell>
          <cell r="AA38">
            <v>9833883</v>
          </cell>
          <cell r="AB38">
            <v>6335717</v>
          </cell>
          <cell r="AC38">
            <v>5851255</v>
          </cell>
          <cell r="AD38">
            <v>9069240</v>
          </cell>
          <cell r="AE38">
            <v>8609899</v>
          </cell>
          <cell r="AF38">
            <v>8830621</v>
          </cell>
          <cell r="AG38">
            <v>6490095</v>
          </cell>
          <cell r="AI38">
            <v>187</v>
          </cell>
        </row>
        <row r="39">
          <cell r="I39">
            <v>0</v>
          </cell>
          <cell r="J39">
            <v>110</v>
          </cell>
          <cell r="K39">
            <v>-454</v>
          </cell>
          <cell r="L39">
            <v>0</v>
          </cell>
          <cell r="M39">
            <v>-1528</v>
          </cell>
          <cell r="N39">
            <v>-2518</v>
          </cell>
          <cell r="O39">
            <v>11502</v>
          </cell>
          <cell r="P39">
            <v>5794576</v>
          </cell>
          <cell r="Q39">
            <v>5228105</v>
          </cell>
          <cell r="R39">
            <v>6872163</v>
          </cell>
          <cell r="S39">
            <v>6620994</v>
          </cell>
          <cell r="T39">
            <v>7948096</v>
          </cell>
          <cell r="U39">
            <v>6803525</v>
          </cell>
          <cell r="V39">
            <v>5251109</v>
          </cell>
          <cell r="W39">
            <v>7792758</v>
          </cell>
          <cell r="X39">
            <v>8735671</v>
          </cell>
          <cell r="Y39">
            <v>12904068</v>
          </cell>
          <cell r="Z39">
            <v>13311601</v>
          </cell>
          <cell r="AA39">
            <v>10339581</v>
          </cell>
          <cell r="AB39">
            <v>6034771</v>
          </cell>
          <cell r="AC39">
            <v>5207869</v>
          </cell>
          <cell r="AD39">
            <v>7697079</v>
          </cell>
          <cell r="AE39">
            <v>8125240</v>
          </cell>
          <cell r="AF39">
            <v>7928975</v>
          </cell>
          <cell r="AG39">
            <v>5756662</v>
          </cell>
          <cell r="AI39">
            <v>110</v>
          </cell>
        </row>
        <row r="40">
          <cell r="I40">
            <v>32</v>
          </cell>
          <cell r="J40">
            <v>-8524</v>
          </cell>
          <cell r="K40">
            <v>144</v>
          </cell>
          <cell r="L40">
            <v>14</v>
          </cell>
          <cell r="M40">
            <v>21</v>
          </cell>
          <cell r="N40">
            <v>-1027</v>
          </cell>
          <cell r="O40">
            <v>5863</v>
          </cell>
          <cell r="P40">
            <v>5964328</v>
          </cell>
          <cell r="Q40">
            <v>5188851</v>
          </cell>
          <cell r="R40">
            <v>6907042</v>
          </cell>
          <cell r="S40">
            <v>6572505</v>
          </cell>
          <cell r="T40">
            <v>8047986</v>
          </cell>
          <cell r="U40">
            <v>6837142</v>
          </cell>
          <cell r="V40">
            <v>5419117</v>
          </cell>
          <cell r="W40">
            <v>6928849</v>
          </cell>
          <cell r="X40">
            <v>7632422</v>
          </cell>
          <cell r="Y40">
            <v>11116566</v>
          </cell>
          <cell r="Z40">
            <v>11949820</v>
          </cell>
          <cell r="AA40">
            <v>9217078</v>
          </cell>
          <cell r="AB40">
            <v>5642046</v>
          </cell>
          <cell r="AC40">
            <v>5094379</v>
          </cell>
          <cell r="AD40">
            <v>6747678</v>
          </cell>
          <cell r="AE40">
            <v>7102965</v>
          </cell>
          <cell r="AF40">
            <v>7331147</v>
          </cell>
          <cell r="AG40">
            <v>5058377</v>
          </cell>
          <cell r="AI40">
            <v>-8524</v>
          </cell>
        </row>
        <row r="41">
          <cell r="I41">
            <v>0</v>
          </cell>
          <cell r="J41">
            <v>49</v>
          </cell>
          <cell r="K41">
            <v>-3178</v>
          </cell>
          <cell r="L41">
            <v>-635</v>
          </cell>
          <cell r="M41">
            <v>33</v>
          </cell>
          <cell r="N41">
            <v>236</v>
          </cell>
          <cell r="O41">
            <v>-1463</v>
          </cell>
          <cell r="P41">
            <v>5287307</v>
          </cell>
          <cell r="Q41">
            <v>4696070</v>
          </cell>
          <cell r="R41">
            <v>6223977</v>
          </cell>
          <cell r="S41">
            <v>5805651</v>
          </cell>
          <cell r="T41">
            <v>7187792</v>
          </cell>
          <cell r="U41">
            <v>6322188</v>
          </cell>
          <cell r="V41">
            <v>4811392</v>
          </cell>
          <cell r="W41">
            <v>6584701</v>
          </cell>
          <cell r="X41">
            <v>7294242</v>
          </cell>
          <cell r="Y41">
            <v>10738598</v>
          </cell>
          <cell r="Z41">
            <v>11502913</v>
          </cell>
          <cell r="AA41">
            <v>8843485</v>
          </cell>
          <cell r="AB41">
            <v>5432624</v>
          </cell>
          <cell r="AC41">
            <v>4846664</v>
          </cell>
          <cell r="AD41">
            <v>6687221</v>
          </cell>
          <cell r="AE41">
            <v>7041652</v>
          </cell>
          <cell r="AF41">
            <v>7520663</v>
          </cell>
          <cell r="AG41">
            <v>5253301</v>
          </cell>
          <cell r="AI41">
            <v>49</v>
          </cell>
        </row>
        <row r="42">
          <cell r="I42">
            <v>0</v>
          </cell>
          <cell r="J42">
            <v>-256</v>
          </cell>
          <cell r="K42">
            <v>149</v>
          </cell>
          <cell r="L42">
            <v>-400</v>
          </cell>
          <cell r="M42">
            <v>-4213</v>
          </cell>
          <cell r="N42">
            <v>-47</v>
          </cell>
          <cell r="O42">
            <v>7038</v>
          </cell>
          <cell r="P42">
            <v>4652731</v>
          </cell>
          <cell r="Q42">
            <v>4214305</v>
          </cell>
          <cell r="R42">
            <v>5700287</v>
          </cell>
          <cell r="S42">
            <v>5406715</v>
          </cell>
          <cell r="T42">
            <v>6478344</v>
          </cell>
          <cell r="U42">
            <v>5820953</v>
          </cell>
          <cell r="V42">
            <v>4505380</v>
          </cell>
          <cell r="W42">
            <v>6043857</v>
          </cell>
          <cell r="X42">
            <v>7191819</v>
          </cell>
          <cell r="Y42">
            <v>10205799</v>
          </cell>
          <cell r="Z42">
            <v>10829717</v>
          </cell>
          <cell r="AA42">
            <v>8995594</v>
          </cell>
          <cell r="AB42">
            <v>5272034</v>
          </cell>
          <cell r="AC42">
            <v>4647333</v>
          </cell>
          <cell r="AD42">
            <v>6647612</v>
          </cell>
          <cell r="AE42">
            <v>7064845</v>
          </cell>
          <cell r="AF42">
            <v>7424784</v>
          </cell>
          <cell r="AG42">
            <v>5250668</v>
          </cell>
          <cell r="AI42">
            <v>-256</v>
          </cell>
        </row>
        <row r="43">
          <cell r="I43">
            <v>-24</v>
          </cell>
          <cell r="J43">
            <v>142</v>
          </cell>
          <cell r="K43">
            <v>36</v>
          </cell>
          <cell r="L43">
            <v>-415</v>
          </cell>
          <cell r="M43">
            <v>-100</v>
          </cell>
          <cell r="N43">
            <v>-4227</v>
          </cell>
          <cell r="O43">
            <v>5990</v>
          </cell>
          <cell r="P43">
            <v>5066325</v>
          </cell>
          <cell r="Q43">
            <v>4558065</v>
          </cell>
          <cell r="R43">
            <v>6096421</v>
          </cell>
          <cell r="S43">
            <v>5854005</v>
          </cell>
          <cell r="T43">
            <v>7243306</v>
          </cell>
          <cell r="U43">
            <v>6325373</v>
          </cell>
          <cell r="V43">
            <v>5164831</v>
          </cell>
          <cell r="W43">
            <v>6350420</v>
          </cell>
          <cell r="X43">
            <v>7684053</v>
          </cell>
          <cell r="Y43">
            <v>10817968</v>
          </cell>
          <cell r="Z43">
            <v>11662654</v>
          </cell>
          <cell r="AA43">
            <v>9748490</v>
          </cell>
          <cell r="AB43">
            <v>5723163</v>
          </cell>
          <cell r="AC43">
            <v>4877279</v>
          </cell>
          <cell r="AD43">
            <v>6506421</v>
          </cell>
          <cell r="AE43">
            <v>7253576</v>
          </cell>
          <cell r="AF43">
            <v>7419885</v>
          </cell>
          <cell r="AG43">
            <v>5501117</v>
          </cell>
          <cell r="AI43">
            <v>142</v>
          </cell>
        </row>
        <row r="44">
          <cell r="I44">
            <v>1</v>
          </cell>
          <cell r="J44">
            <v>187</v>
          </cell>
          <cell r="K44">
            <v>-67</v>
          </cell>
          <cell r="L44">
            <v>93</v>
          </cell>
          <cell r="M44">
            <v>-3612</v>
          </cell>
          <cell r="N44">
            <v>-5963</v>
          </cell>
          <cell r="O44">
            <v>4750</v>
          </cell>
          <cell r="P44">
            <v>7127006</v>
          </cell>
          <cell r="Q44">
            <v>6400916</v>
          </cell>
          <cell r="R44">
            <v>8104414</v>
          </cell>
          <cell r="S44">
            <v>8060577</v>
          </cell>
          <cell r="T44">
            <v>9800797</v>
          </cell>
          <cell r="U44">
            <v>8504566</v>
          </cell>
          <cell r="V44">
            <v>7216797</v>
          </cell>
          <cell r="W44">
            <v>8130045</v>
          </cell>
          <cell r="X44">
            <v>9707459</v>
          </cell>
          <cell r="Y44">
            <v>14129121</v>
          </cell>
          <cell r="Z44">
            <v>15195087</v>
          </cell>
          <cell r="AA44">
            <v>13813120</v>
          </cell>
          <cell r="AB44">
            <v>7500272</v>
          </cell>
          <cell r="AC44">
            <v>6442529</v>
          </cell>
          <cell r="AD44">
            <v>8388197</v>
          </cell>
          <cell r="AE44">
            <v>9640048</v>
          </cell>
          <cell r="AF44">
            <v>9975876</v>
          </cell>
          <cell r="AG44">
            <v>7250237</v>
          </cell>
          <cell r="AI44">
            <v>187</v>
          </cell>
        </row>
        <row r="45">
          <cell r="I45">
            <v>0</v>
          </cell>
          <cell r="J45">
            <v>165</v>
          </cell>
          <cell r="K45">
            <v>-859</v>
          </cell>
          <cell r="L45">
            <v>-125</v>
          </cell>
          <cell r="M45">
            <v>-345</v>
          </cell>
          <cell r="N45">
            <v>-15992</v>
          </cell>
          <cell r="O45">
            <v>12371</v>
          </cell>
          <cell r="P45">
            <v>7068289</v>
          </cell>
          <cell r="Q45">
            <v>5710051</v>
          </cell>
          <cell r="R45">
            <v>7153422</v>
          </cell>
          <cell r="S45">
            <v>7003364</v>
          </cell>
          <cell r="T45">
            <v>8647174</v>
          </cell>
          <cell r="U45">
            <v>7522905</v>
          </cell>
          <cell r="V45">
            <v>6632543</v>
          </cell>
          <cell r="W45">
            <v>6804705</v>
          </cell>
          <cell r="X45">
            <v>7922376</v>
          </cell>
          <cell r="Y45">
            <v>11152093</v>
          </cell>
          <cell r="Z45">
            <v>12377666</v>
          </cell>
          <cell r="AA45">
            <v>11590701</v>
          </cell>
          <cell r="AB45">
            <v>6352513</v>
          </cell>
          <cell r="AC45">
            <v>5143727</v>
          </cell>
          <cell r="AD45">
            <v>6137069</v>
          </cell>
          <cell r="AE45">
            <v>7304815</v>
          </cell>
          <cell r="AF45">
            <v>7757278</v>
          </cell>
          <cell r="AG45">
            <v>5595301</v>
          </cell>
          <cell r="AI45">
            <v>165</v>
          </cell>
        </row>
        <row r="46">
          <cell r="I46">
            <v>10</v>
          </cell>
          <cell r="J46">
            <v>45</v>
          </cell>
          <cell r="K46">
            <v>70</v>
          </cell>
          <cell r="L46">
            <v>-711</v>
          </cell>
          <cell r="M46">
            <v>-147</v>
          </cell>
          <cell r="N46">
            <v>-12018</v>
          </cell>
          <cell r="O46">
            <v>1057</v>
          </cell>
          <cell r="P46">
            <v>6813557</v>
          </cell>
          <cell r="Q46">
            <v>5449613</v>
          </cell>
          <cell r="R46">
            <v>7035490</v>
          </cell>
          <cell r="S46">
            <v>7021994</v>
          </cell>
          <cell r="T46">
            <v>8449530</v>
          </cell>
          <cell r="U46">
            <v>7348722</v>
          </cell>
          <cell r="V46">
            <v>6543318</v>
          </cell>
          <cell r="W46">
            <v>7090371</v>
          </cell>
          <cell r="X46">
            <v>8463912</v>
          </cell>
          <cell r="Y46">
            <v>11992545</v>
          </cell>
          <cell r="Z46">
            <v>12997689</v>
          </cell>
          <cell r="AA46">
            <v>12790159</v>
          </cell>
          <cell r="AB46">
            <v>7017948</v>
          </cell>
          <cell r="AC46">
            <v>5514857</v>
          </cell>
          <cell r="AD46">
            <v>6893246</v>
          </cell>
          <cell r="AE46">
            <v>8091043</v>
          </cell>
          <cell r="AF46">
            <v>8800870</v>
          </cell>
          <cell r="AG46">
            <v>6210091</v>
          </cell>
          <cell r="AI46">
            <v>45</v>
          </cell>
        </row>
        <row r="47">
          <cell r="I47">
            <v>0</v>
          </cell>
          <cell r="J47">
            <v>0</v>
          </cell>
          <cell r="K47">
            <v>70</v>
          </cell>
          <cell r="L47">
            <v>-2190</v>
          </cell>
          <cell r="M47">
            <v>-1436</v>
          </cell>
          <cell r="N47">
            <v>-42243</v>
          </cell>
          <cell r="O47">
            <v>571</v>
          </cell>
          <cell r="P47">
            <v>7575281</v>
          </cell>
          <cell r="Q47">
            <v>5651013</v>
          </cell>
          <cell r="R47">
            <v>6779047</v>
          </cell>
          <cell r="S47">
            <v>7521607</v>
          </cell>
          <cell r="T47">
            <v>8571040</v>
          </cell>
          <cell r="U47">
            <v>7367030</v>
          </cell>
          <cell r="V47">
            <v>6923581</v>
          </cell>
          <cell r="W47">
            <v>6865967</v>
          </cell>
          <cell r="X47">
            <v>8792184</v>
          </cell>
          <cell r="Y47">
            <v>11672272</v>
          </cell>
          <cell r="Z47">
            <v>13161790</v>
          </cell>
          <cell r="AA47">
            <v>13050798</v>
          </cell>
          <cell r="AB47">
            <v>7466886</v>
          </cell>
          <cell r="AC47">
            <v>5733132</v>
          </cell>
          <cell r="AD47">
            <v>6755687</v>
          </cell>
          <cell r="AE47">
            <v>8344725</v>
          </cell>
          <cell r="AF47">
            <v>8441365</v>
          </cell>
          <cell r="AG47">
            <v>6538681</v>
          </cell>
          <cell r="AI47">
            <v>0</v>
          </cell>
        </row>
        <row r="49">
          <cell r="I49">
            <v>0</v>
          </cell>
          <cell r="J49">
            <v>110</v>
          </cell>
          <cell r="K49">
            <v>-970</v>
          </cell>
          <cell r="L49">
            <v>-1307</v>
          </cell>
          <cell r="M49">
            <v>-267</v>
          </cell>
          <cell r="N49">
            <v>-3096</v>
          </cell>
          <cell r="O49">
            <v>1836171</v>
          </cell>
          <cell r="P49">
            <v>2072831</v>
          </cell>
          <cell r="Q49">
            <v>1792198</v>
          </cell>
          <cell r="R49">
            <v>2148566</v>
          </cell>
          <cell r="S49">
            <v>2246625</v>
          </cell>
          <cell r="T49">
            <v>1971559</v>
          </cell>
          <cell r="U49">
            <v>1894232</v>
          </cell>
          <cell r="V49">
            <v>1868389</v>
          </cell>
          <cell r="W49">
            <v>1851130</v>
          </cell>
          <cell r="X49">
            <v>2567302</v>
          </cell>
          <cell r="Y49">
            <v>2405917</v>
          </cell>
          <cell r="Z49">
            <v>2195043</v>
          </cell>
          <cell r="AA49">
            <v>1873608</v>
          </cell>
          <cell r="AB49">
            <v>1413978</v>
          </cell>
          <cell r="AC49">
            <v>1684159</v>
          </cell>
          <cell r="AD49">
            <v>1851218</v>
          </cell>
          <cell r="AE49">
            <v>1927300</v>
          </cell>
          <cell r="AF49">
            <v>1865334</v>
          </cell>
          <cell r="AG49">
            <v>1973170</v>
          </cell>
          <cell r="AI49">
            <v>110</v>
          </cell>
        </row>
        <row r="50">
          <cell r="I50">
            <v>0</v>
          </cell>
          <cell r="J50">
            <v>-488</v>
          </cell>
          <cell r="K50">
            <v>-722</v>
          </cell>
          <cell r="L50">
            <v>0</v>
          </cell>
          <cell r="M50">
            <v>-1793</v>
          </cell>
          <cell r="N50">
            <v>-2315</v>
          </cell>
          <cell r="O50">
            <v>1984036</v>
          </cell>
          <cell r="P50">
            <v>1916327</v>
          </cell>
          <cell r="Q50">
            <v>2212168</v>
          </cell>
          <cell r="R50">
            <v>2269001</v>
          </cell>
          <cell r="S50">
            <v>2582540</v>
          </cell>
          <cell r="T50">
            <v>2309276</v>
          </cell>
          <cell r="U50">
            <v>2178770</v>
          </cell>
          <cell r="V50">
            <v>2122735</v>
          </cell>
          <cell r="W50">
            <v>2106079</v>
          </cell>
          <cell r="X50">
            <v>2414969</v>
          </cell>
          <cell r="Y50">
            <v>2618151</v>
          </cell>
          <cell r="Z50">
            <v>2619958</v>
          </cell>
          <cell r="AA50">
            <v>2185166</v>
          </cell>
          <cell r="AB50">
            <v>1856130</v>
          </cell>
          <cell r="AC50">
            <v>2175223</v>
          </cell>
          <cell r="AD50">
            <v>2606344</v>
          </cell>
          <cell r="AE50">
            <v>2684316</v>
          </cell>
          <cell r="AF50">
            <v>2354265</v>
          </cell>
          <cell r="AG50">
            <v>2154508</v>
          </cell>
          <cell r="AI50">
            <v>-488</v>
          </cell>
        </row>
        <row r="51">
          <cell r="I51">
            <v>0</v>
          </cell>
          <cell r="J51">
            <v>0</v>
          </cell>
          <cell r="K51">
            <v>-47800</v>
          </cell>
          <cell r="L51">
            <v>-2883</v>
          </cell>
          <cell r="M51">
            <v>0</v>
          </cell>
          <cell r="N51">
            <v>-9082</v>
          </cell>
          <cell r="O51">
            <v>1721020</v>
          </cell>
          <cell r="P51">
            <v>1563301</v>
          </cell>
          <cell r="Q51">
            <v>1647462</v>
          </cell>
          <cell r="R51">
            <v>1632175</v>
          </cell>
          <cell r="S51">
            <v>1849700</v>
          </cell>
          <cell r="T51">
            <v>1881771</v>
          </cell>
          <cell r="U51">
            <v>1696327</v>
          </cell>
          <cell r="V51">
            <v>1704638</v>
          </cell>
          <cell r="W51">
            <v>1849683</v>
          </cell>
          <cell r="X51">
            <v>2089900</v>
          </cell>
          <cell r="Y51">
            <v>2394324</v>
          </cell>
          <cell r="Z51">
            <v>2502907</v>
          </cell>
          <cell r="AA51">
            <v>1871415</v>
          </cell>
          <cell r="AB51">
            <v>1612450</v>
          </cell>
          <cell r="AC51">
            <v>1586228</v>
          </cell>
          <cell r="AD51">
            <v>1812121</v>
          </cell>
          <cell r="AE51">
            <v>1828283</v>
          </cell>
          <cell r="AF51">
            <v>1810494</v>
          </cell>
          <cell r="AG51">
            <v>1454095</v>
          </cell>
          <cell r="AI51">
            <v>0</v>
          </cell>
        </row>
        <row r="52">
          <cell r="I52">
            <v>-2829</v>
          </cell>
          <cell r="J52">
            <v>-131</v>
          </cell>
          <cell r="K52">
            <v>0</v>
          </cell>
          <cell r="L52">
            <v>0</v>
          </cell>
          <cell r="M52">
            <v>0</v>
          </cell>
          <cell r="N52">
            <v>-1692</v>
          </cell>
          <cell r="O52">
            <v>1051925</v>
          </cell>
          <cell r="P52">
            <v>1177952</v>
          </cell>
          <cell r="Q52">
            <v>1237778</v>
          </cell>
          <cell r="R52">
            <v>1189870</v>
          </cell>
          <cell r="S52">
            <v>1245988</v>
          </cell>
          <cell r="T52">
            <v>1108948</v>
          </cell>
          <cell r="U52">
            <v>1085003</v>
          </cell>
          <cell r="V52">
            <v>984877</v>
          </cell>
          <cell r="W52">
            <v>1082040</v>
          </cell>
          <cell r="X52">
            <v>1221256</v>
          </cell>
          <cell r="Y52">
            <v>1385706</v>
          </cell>
          <cell r="Z52">
            <v>1469716</v>
          </cell>
          <cell r="AA52">
            <v>1137041</v>
          </cell>
          <cell r="AB52">
            <v>951719</v>
          </cell>
          <cell r="AC52">
            <v>1168462</v>
          </cell>
          <cell r="AD52">
            <v>1313327</v>
          </cell>
          <cell r="AE52">
            <v>1282439</v>
          </cell>
          <cell r="AF52">
            <v>1219817</v>
          </cell>
          <cell r="AG52">
            <v>1054007</v>
          </cell>
          <cell r="AI52">
            <v>-131</v>
          </cell>
        </row>
        <row r="53">
          <cell r="I53">
            <v>0</v>
          </cell>
          <cell r="J53">
            <v>0</v>
          </cell>
          <cell r="K53">
            <v>0</v>
          </cell>
          <cell r="L53">
            <v>-121</v>
          </cell>
          <cell r="M53">
            <v>-2589</v>
          </cell>
          <cell r="N53">
            <v>-4626</v>
          </cell>
          <cell r="O53">
            <v>2162473</v>
          </cell>
          <cell r="P53">
            <v>1865379</v>
          </cell>
          <cell r="Q53">
            <v>2043749</v>
          </cell>
          <cell r="R53">
            <v>2187758</v>
          </cell>
          <cell r="S53">
            <v>2239724</v>
          </cell>
          <cell r="T53">
            <v>2407926</v>
          </cell>
          <cell r="U53">
            <v>2135564</v>
          </cell>
          <cell r="V53">
            <v>1969834</v>
          </cell>
          <cell r="W53">
            <v>2347026</v>
          </cell>
          <cell r="X53">
            <v>2600776</v>
          </cell>
          <cell r="Y53">
            <v>3087550</v>
          </cell>
          <cell r="Z53">
            <v>2963795</v>
          </cell>
          <cell r="AA53">
            <v>2302506</v>
          </cell>
          <cell r="AB53">
            <v>1793434</v>
          </cell>
          <cell r="AC53">
            <v>1838379</v>
          </cell>
          <cell r="AD53">
            <v>2291014</v>
          </cell>
          <cell r="AE53">
            <v>2320206</v>
          </cell>
          <cell r="AF53">
            <v>2189459</v>
          </cell>
          <cell r="AG53">
            <v>1903591</v>
          </cell>
          <cell r="AI53">
            <v>0</v>
          </cell>
        </row>
        <row r="54">
          <cell r="I54">
            <v>0</v>
          </cell>
          <cell r="J54">
            <v>0</v>
          </cell>
          <cell r="K54">
            <v>-4000</v>
          </cell>
          <cell r="L54">
            <v>-1801</v>
          </cell>
          <cell r="M54">
            <v>-279</v>
          </cell>
          <cell r="N54">
            <v>-36455</v>
          </cell>
          <cell r="O54">
            <v>2703634</v>
          </cell>
          <cell r="P54">
            <v>2426651</v>
          </cell>
          <cell r="Q54">
            <v>2721773</v>
          </cell>
          <cell r="R54">
            <v>2698185</v>
          </cell>
          <cell r="S54">
            <v>2696303</v>
          </cell>
          <cell r="T54">
            <v>2803903</v>
          </cell>
          <cell r="U54">
            <v>2485970</v>
          </cell>
          <cell r="V54">
            <v>2560119</v>
          </cell>
          <cell r="W54">
            <v>2476043</v>
          </cell>
          <cell r="X54">
            <v>2716585</v>
          </cell>
          <cell r="Y54">
            <v>3059658</v>
          </cell>
          <cell r="Z54">
            <v>3103138</v>
          </cell>
          <cell r="AA54">
            <v>2674311</v>
          </cell>
          <cell r="AB54">
            <v>2494392</v>
          </cell>
          <cell r="AC54">
            <v>2536665</v>
          </cell>
          <cell r="AD54">
            <v>2815329</v>
          </cell>
          <cell r="AE54">
            <v>2574914</v>
          </cell>
          <cell r="AF54">
            <v>2533956</v>
          </cell>
          <cell r="AG54">
            <v>2229756</v>
          </cell>
          <cell r="AI54">
            <v>0</v>
          </cell>
        </row>
        <row r="55">
          <cell r="I55">
            <v>0</v>
          </cell>
          <cell r="J55">
            <v>0</v>
          </cell>
          <cell r="K55">
            <v>0</v>
          </cell>
          <cell r="L55">
            <v>-28961</v>
          </cell>
          <cell r="M55">
            <v>-99</v>
          </cell>
          <cell r="N55">
            <v>-663</v>
          </cell>
          <cell r="O55">
            <v>2458670</v>
          </cell>
          <cell r="P55">
            <v>2382255</v>
          </cell>
          <cell r="Q55">
            <v>2646233</v>
          </cell>
          <cell r="R55">
            <v>3059006</v>
          </cell>
          <cell r="S55">
            <v>2927344</v>
          </cell>
          <cell r="T55">
            <v>3226137</v>
          </cell>
          <cell r="U55">
            <v>2917626</v>
          </cell>
          <cell r="V55">
            <v>2570953</v>
          </cell>
          <cell r="W55">
            <v>2503123</v>
          </cell>
          <cell r="X55">
            <v>2472445</v>
          </cell>
          <cell r="Y55">
            <v>2894911</v>
          </cell>
          <cell r="Z55">
            <v>3080016</v>
          </cell>
          <cell r="AA55">
            <v>2678966</v>
          </cell>
          <cell r="AB55">
            <v>2339360</v>
          </cell>
          <cell r="AC55">
            <v>2574676</v>
          </cell>
          <cell r="AD55">
            <v>3082363</v>
          </cell>
          <cell r="AE55">
            <v>3190375</v>
          </cell>
          <cell r="AF55">
            <v>3888698</v>
          </cell>
          <cell r="AG55">
            <v>3799506</v>
          </cell>
          <cell r="AI55">
            <v>0</v>
          </cell>
        </row>
        <row r="56">
          <cell r="I56">
            <v>0</v>
          </cell>
          <cell r="J56">
            <v>-13</v>
          </cell>
          <cell r="K56">
            <v>0</v>
          </cell>
          <cell r="L56">
            <v>0</v>
          </cell>
          <cell r="M56">
            <v>-1897</v>
          </cell>
          <cell r="N56">
            <v>-21</v>
          </cell>
          <cell r="O56">
            <v>1821642</v>
          </cell>
          <cell r="P56">
            <v>1655050</v>
          </cell>
          <cell r="Q56">
            <v>1465737</v>
          </cell>
          <cell r="R56">
            <v>1972084</v>
          </cell>
          <cell r="S56">
            <v>2069149</v>
          </cell>
          <cell r="T56">
            <v>2301065</v>
          </cell>
          <cell r="U56">
            <v>1932411</v>
          </cell>
          <cell r="V56">
            <v>1795507</v>
          </cell>
          <cell r="W56">
            <v>2136656</v>
          </cell>
          <cell r="X56">
            <v>2269595</v>
          </cell>
          <cell r="Y56">
            <v>2723217</v>
          </cell>
          <cell r="Z56">
            <v>2845246</v>
          </cell>
          <cell r="AA56">
            <v>2233847</v>
          </cell>
          <cell r="AB56">
            <v>1786395</v>
          </cell>
          <cell r="AC56">
            <v>1876675</v>
          </cell>
          <cell r="AD56">
            <v>2354382</v>
          </cell>
          <cell r="AE56">
            <v>2215203</v>
          </cell>
          <cell r="AF56">
            <v>2257311</v>
          </cell>
          <cell r="AG56">
            <v>1889422</v>
          </cell>
          <cell r="AI56">
            <v>-13</v>
          </cell>
        </row>
        <row r="57">
          <cell r="I57">
            <v>0</v>
          </cell>
          <cell r="J57">
            <v>0</v>
          </cell>
          <cell r="K57">
            <v>-61520</v>
          </cell>
          <cell r="L57">
            <v>-1878</v>
          </cell>
          <cell r="M57">
            <v>-524</v>
          </cell>
          <cell r="N57">
            <v>-685</v>
          </cell>
          <cell r="O57">
            <v>3604396</v>
          </cell>
          <cell r="P57">
            <v>3879186</v>
          </cell>
          <cell r="Q57">
            <v>4486933</v>
          </cell>
          <cell r="R57">
            <v>4694270</v>
          </cell>
          <cell r="S57">
            <v>4645736</v>
          </cell>
          <cell r="T57">
            <v>5114420</v>
          </cell>
          <cell r="U57">
            <v>4547044</v>
          </cell>
          <cell r="V57">
            <v>4204958</v>
          </cell>
          <cell r="W57">
            <v>4642066</v>
          </cell>
          <cell r="X57">
            <v>4248450</v>
          </cell>
          <cell r="Y57">
            <v>4893080</v>
          </cell>
          <cell r="Z57">
            <v>5377036</v>
          </cell>
          <cell r="AA57">
            <v>4473802</v>
          </cell>
          <cell r="AB57">
            <v>4181438</v>
          </cell>
          <cell r="AC57">
            <v>4167014</v>
          </cell>
          <cell r="AD57">
            <v>5720900</v>
          </cell>
          <cell r="AE57">
            <v>4558436</v>
          </cell>
          <cell r="AF57">
            <v>4621926</v>
          </cell>
          <cell r="AG57">
            <v>4040791</v>
          </cell>
          <cell r="AI57">
            <v>0</v>
          </cell>
        </row>
        <row r="58">
          <cell r="I58">
            <v>0</v>
          </cell>
          <cell r="J58">
            <v>0</v>
          </cell>
          <cell r="K58">
            <v>-2775</v>
          </cell>
          <cell r="L58">
            <v>-1155</v>
          </cell>
          <cell r="M58">
            <v>0</v>
          </cell>
          <cell r="N58">
            <v>-2312</v>
          </cell>
          <cell r="O58">
            <v>-3575</v>
          </cell>
          <cell r="P58">
            <v>1576915</v>
          </cell>
          <cell r="Q58">
            <v>1663085</v>
          </cell>
          <cell r="R58">
            <v>1904893</v>
          </cell>
          <cell r="S58">
            <v>1780926</v>
          </cell>
          <cell r="T58">
            <v>2069193</v>
          </cell>
          <cell r="U58">
            <v>1807292</v>
          </cell>
          <cell r="V58">
            <v>1612420</v>
          </cell>
          <cell r="W58">
            <v>1884810</v>
          </cell>
          <cell r="X58">
            <v>2002651</v>
          </cell>
          <cell r="Y58">
            <v>2429973</v>
          </cell>
          <cell r="Z58">
            <v>2559613</v>
          </cell>
          <cell r="AA58">
            <v>1936944</v>
          </cell>
          <cell r="AB58">
            <v>1590356</v>
          </cell>
          <cell r="AC58">
            <v>1770193</v>
          </cell>
          <cell r="AD58">
            <v>2200681</v>
          </cell>
          <cell r="AE58">
            <v>2020173</v>
          </cell>
          <cell r="AF58">
            <v>1990044</v>
          </cell>
          <cell r="AG58">
            <v>1724402</v>
          </cell>
          <cell r="AI58">
            <v>0</v>
          </cell>
        </row>
        <row r="59">
          <cell r="I59">
            <v>0</v>
          </cell>
          <cell r="J59">
            <v>-245</v>
          </cell>
          <cell r="K59">
            <v>-104698</v>
          </cell>
          <cell r="L59">
            <v>-244</v>
          </cell>
          <cell r="M59">
            <v>0</v>
          </cell>
          <cell r="N59">
            <v>0</v>
          </cell>
          <cell r="O59">
            <v>-4906</v>
          </cell>
          <cell r="P59">
            <v>2113251</v>
          </cell>
          <cell r="Q59">
            <v>2475253</v>
          </cell>
          <cell r="R59">
            <v>2849262</v>
          </cell>
          <cell r="S59">
            <v>2909088</v>
          </cell>
          <cell r="T59">
            <v>3009880</v>
          </cell>
          <cell r="U59">
            <v>2770567</v>
          </cell>
          <cell r="V59">
            <v>2538841</v>
          </cell>
          <cell r="W59">
            <v>2711914</v>
          </cell>
          <cell r="X59">
            <v>2737794</v>
          </cell>
          <cell r="Y59">
            <v>3082570</v>
          </cell>
          <cell r="Z59">
            <v>3516203</v>
          </cell>
          <cell r="AA59">
            <v>2895672</v>
          </cell>
          <cell r="AB59">
            <v>2484455</v>
          </cell>
          <cell r="AC59">
            <v>2565525</v>
          </cell>
          <cell r="AD59">
            <v>3315163</v>
          </cell>
          <cell r="AE59">
            <v>3158185</v>
          </cell>
          <cell r="AF59">
            <v>3195205</v>
          </cell>
          <cell r="AG59">
            <v>2878239</v>
          </cell>
          <cell r="AI59">
            <v>-245</v>
          </cell>
        </row>
        <row r="60">
          <cell r="I60">
            <v>0</v>
          </cell>
          <cell r="J60">
            <v>439</v>
          </cell>
          <cell r="K60">
            <v>0</v>
          </cell>
          <cell r="L60">
            <v>-4252</v>
          </cell>
          <cell r="M60">
            <v>-3216</v>
          </cell>
          <cell r="N60">
            <v>-1016</v>
          </cell>
          <cell r="O60">
            <v>-12846</v>
          </cell>
          <cell r="P60">
            <v>1448797</v>
          </cell>
          <cell r="Q60">
            <v>1479881</v>
          </cell>
          <cell r="R60">
            <v>1810670</v>
          </cell>
          <cell r="S60">
            <v>1792921</v>
          </cell>
          <cell r="T60">
            <v>2095678</v>
          </cell>
          <cell r="U60">
            <v>1818684</v>
          </cell>
          <cell r="V60">
            <v>1587584</v>
          </cell>
          <cell r="W60">
            <v>1811570</v>
          </cell>
          <cell r="X60">
            <v>1722258</v>
          </cell>
          <cell r="Y60">
            <v>2140969</v>
          </cell>
          <cell r="Z60">
            <v>2273593</v>
          </cell>
          <cell r="AA60">
            <v>1948476</v>
          </cell>
          <cell r="AB60">
            <v>1499863</v>
          </cell>
          <cell r="AC60">
            <v>1526861</v>
          </cell>
          <cell r="AD60">
            <v>2000317</v>
          </cell>
          <cell r="AE60">
            <v>2029724</v>
          </cell>
          <cell r="AF60">
            <v>2008541</v>
          </cell>
          <cell r="AG60">
            <v>1812159</v>
          </cell>
          <cell r="AI60">
            <v>439</v>
          </cell>
        </row>
        <row r="61">
          <cell r="I61">
            <v>-8</v>
          </cell>
          <cell r="J61">
            <v>0</v>
          </cell>
          <cell r="K61">
            <v>0</v>
          </cell>
          <cell r="L61">
            <v>-2573</v>
          </cell>
          <cell r="M61">
            <v>-1573</v>
          </cell>
          <cell r="N61">
            <v>0</v>
          </cell>
          <cell r="O61">
            <v>-4819</v>
          </cell>
          <cell r="P61">
            <v>1292947</v>
          </cell>
          <cell r="Q61">
            <v>1267917</v>
          </cell>
          <cell r="R61">
            <v>1512818</v>
          </cell>
          <cell r="S61">
            <v>1411465</v>
          </cell>
          <cell r="T61">
            <v>1643359</v>
          </cell>
          <cell r="U61">
            <v>1455773</v>
          </cell>
          <cell r="V61">
            <v>1250939</v>
          </cell>
          <cell r="W61">
            <v>1457262</v>
          </cell>
          <cell r="X61">
            <v>1394506</v>
          </cell>
          <cell r="Y61">
            <v>1730102</v>
          </cell>
          <cell r="Z61">
            <v>1773245</v>
          </cell>
          <cell r="AA61">
            <v>1533467</v>
          </cell>
          <cell r="AB61">
            <v>1289062</v>
          </cell>
          <cell r="AC61">
            <v>1268447</v>
          </cell>
          <cell r="AD61">
            <v>1553007</v>
          </cell>
          <cell r="AE61">
            <v>1571468</v>
          </cell>
          <cell r="AF61">
            <v>1601327</v>
          </cell>
          <cell r="AG61">
            <v>1343799</v>
          </cell>
          <cell r="AI61">
            <v>0</v>
          </cell>
        </row>
        <row r="62">
          <cell r="I62">
            <v>0</v>
          </cell>
          <cell r="J62">
            <v>-2459</v>
          </cell>
          <cell r="K62">
            <v>-7630</v>
          </cell>
          <cell r="L62">
            <v>0</v>
          </cell>
          <cell r="M62">
            <v>0</v>
          </cell>
          <cell r="N62">
            <v>-1273</v>
          </cell>
          <cell r="O62">
            <v>1520</v>
          </cell>
          <cell r="P62">
            <v>1282300</v>
          </cell>
          <cell r="Q62">
            <v>1466619</v>
          </cell>
          <cell r="R62">
            <v>1742643</v>
          </cell>
          <cell r="S62">
            <v>1583709</v>
          </cell>
          <cell r="T62">
            <v>1766680</v>
          </cell>
          <cell r="U62">
            <v>1578269</v>
          </cell>
          <cell r="V62">
            <v>1322643</v>
          </cell>
          <cell r="W62">
            <v>1570710</v>
          </cell>
          <cell r="X62">
            <v>1603308</v>
          </cell>
          <cell r="Y62">
            <v>1727066</v>
          </cell>
          <cell r="Z62">
            <v>1752890</v>
          </cell>
          <cell r="AA62">
            <v>1487468</v>
          </cell>
          <cell r="AB62">
            <v>1289222</v>
          </cell>
          <cell r="AC62">
            <v>1308306</v>
          </cell>
          <cell r="AD62">
            <v>1485547</v>
          </cell>
          <cell r="AE62">
            <v>1494188</v>
          </cell>
          <cell r="AF62">
            <v>1552508</v>
          </cell>
          <cell r="AG62">
            <v>1156878</v>
          </cell>
          <cell r="AI62">
            <v>-2459</v>
          </cell>
        </row>
        <row r="63">
          <cell r="I63">
            <v>0</v>
          </cell>
          <cell r="J63">
            <v>0</v>
          </cell>
          <cell r="K63">
            <v>-32761</v>
          </cell>
          <cell r="L63">
            <v>-631</v>
          </cell>
          <cell r="M63">
            <v>-240</v>
          </cell>
          <cell r="N63">
            <v>-3190</v>
          </cell>
          <cell r="O63">
            <v>-786</v>
          </cell>
          <cell r="P63">
            <v>1396107</v>
          </cell>
          <cell r="Q63">
            <v>1352908</v>
          </cell>
          <cell r="R63">
            <v>1462368</v>
          </cell>
          <cell r="S63">
            <v>1429716</v>
          </cell>
          <cell r="T63">
            <v>1621945</v>
          </cell>
          <cell r="U63">
            <v>1504293</v>
          </cell>
          <cell r="V63">
            <v>1313932</v>
          </cell>
          <cell r="W63">
            <v>1618810</v>
          </cell>
          <cell r="X63">
            <v>1696797</v>
          </cell>
          <cell r="Y63">
            <v>2230361</v>
          </cell>
          <cell r="Z63">
            <v>2303566</v>
          </cell>
          <cell r="AA63">
            <v>1967674</v>
          </cell>
          <cell r="AB63">
            <v>1485853</v>
          </cell>
          <cell r="AC63">
            <v>1380587</v>
          </cell>
          <cell r="AD63">
            <v>1582054</v>
          </cell>
          <cell r="AE63">
            <v>1578138</v>
          </cell>
          <cell r="AF63">
            <v>1680138</v>
          </cell>
          <cell r="AG63">
            <v>1380101</v>
          </cell>
          <cell r="AI63">
            <v>0</v>
          </cell>
        </row>
        <row r="64">
          <cell r="I64">
            <v>0</v>
          </cell>
          <cell r="J64">
            <v>0</v>
          </cell>
          <cell r="K64">
            <v>-7103</v>
          </cell>
          <cell r="L64">
            <v>0</v>
          </cell>
          <cell r="M64">
            <v>-80</v>
          </cell>
          <cell r="N64">
            <v>-1984</v>
          </cell>
          <cell r="O64">
            <v>32998</v>
          </cell>
          <cell r="P64">
            <v>2177535</v>
          </cell>
          <cell r="Q64">
            <v>2004035</v>
          </cell>
          <cell r="R64">
            <v>2317489</v>
          </cell>
          <cell r="S64">
            <v>2297168</v>
          </cell>
          <cell r="T64">
            <v>2361113</v>
          </cell>
          <cell r="U64">
            <v>2112501</v>
          </cell>
          <cell r="V64">
            <v>1976848</v>
          </cell>
          <cell r="W64">
            <v>2360995</v>
          </cell>
          <cell r="X64">
            <v>2013673</v>
          </cell>
          <cell r="Y64">
            <v>2458523</v>
          </cell>
          <cell r="Z64">
            <v>2782540</v>
          </cell>
          <cell r="AA64">
            <v>2253221</v>
          </cell>
          <cell r="AB64">
            <v>1928980</v>
          </cell>
          <cell r="AC64">
            <v>1858506</v>
          </cell>
          <cell r="AD64">
            <v>2192242</v>
          </cell>
          <cell r="AE64">
            <v>2142444</v>
          </cell>
          <cell r="AF64">
            <v>2130550</v>
          </cell>
          <cell r="AG64">
            <v>1694446</v>
          </cell>
          <cell r="AI64">
            <v>0</v>
          </cell>
        </row>
        <row r="65">
          <cell r="I65">
            <v>-4</v>
          </cell>
          <cell r="J65">
            <v>-65759</v>
          </cell>
          <cell r="K65">
            <v>-28984</v>
          </cell>
          <cell r="L65">
            <v>0</v>
          </cell>
          <cell r="M65">
            <v>0</v>
          </cell>
          <cell r="N65">
            <v>-2675</v>
          </cell>
          <cell r="O65">
            <v>-4135</v>
          </cell>
          <cell r="P65">
            <v>2147083</v>
          </cell>
          <cell r="Q65">
            <v>2138046</v>
          </cell>
          <cell r="R65">
            <v>2505167</v>
          </cell>
          <cell r="S65">
            <v>2440310</v>
          </cell>
          <cell r="T65">
            <v>2823637</v>
          </cell>
          <cell r="U65">
            <v>2403336</v>
          </cell>
          <cell r="V65">
            <v>2158322</v>
          </cell>
          <cell r="W65">
            <v>2484518</v>
          </cell>
          <cell r="X65">
            <v>2572566</v>
          </cell>
          <cell r="Y65">
            <v>3278323</v>
          </cell>
          <cell r="Z65">
            <v>3461094</v>
          </cell>
          <cell r="AA65">
            <v>3123201</v>
          </cell>
          <cell r="AB65">
            <v>2226032</v>
          </cell>
          <cell r="AC65">
            <v>1977514</v>
          </cell>
          <cell r="AD65">
            <v>2260357</v>
          </cell>
          <cell r="AE65">
            <v>2445000</v>
          </cell>
          <cell r="AF65">
            <v>2454928</v>
          </cell>
          <cell r="AG65">
            <v>2133989</v>
          </cell>
          <cell r="AI65">
            <v>-65759</v>
          </cell>
        </row>
        <row r="66">
          <cell r="I66">
            <v>0</v>
          </cell>
          <cell r="J66">
            <v>-33</v>
          </cell>
          <cell r="K66">
            <v>-10</v>
          </cell>
          <cell r="L66">
            <v>-2095</v>
          </cell>
          <cell r="M66">
            <v>-375</v>
          </cell>
          <cell r="N66">
            <v>-1076</v>
          </cell>
          <cell r="O66">
            <v>-5078</v>
          </cell>
          <cell r="P66">
            <v>1625805</v>
          </cell>
          <cell r="Q66">
            <v>1619217</v>
          </cell>
          <cell r="R66">
            <v>1969798</v>
          </cell>
          <cell r="S66">
            <v>1857184</v>
          </cell>
          <cell r="T66">
            <v>2048486</v>
          </cell>
          <cell r="U66">
            <v>1910985</v>
          </cell>
          <cell r="V66">
            <v>1717368</v>
          </cell>
          <cell r="W66">
            <v>1742819</v>
          </cell>
          <cell r="X66">
            <v>1550492</v>
          </cell>
          <cell r="Y66">
            <v>1900103</v>
          </cell>
          <cell r="Z66">
            <v>2060659</v>
          </cell>
          <cell r="AA66">
            <v>2010776</v>
          </cell>
          <cell r="AB66">
            <v>1428158</v>
          </cell>
          <cell r="AC66">
            <v>1406928</v>
          </cell>
          <cell r="AD66">
            <v>1748311</v>
          </cell>
          <cell r="AE66">
            <v>1891726</v>
          </cell>
          <cell r="AF66">
            <v>1886600</v>
          </cell>
          <cell r="AG66">
            <v>1583420</v>
          </cell>
          <cell r="AI66">
            <v>-33</v>
          </cell>
        </row>
        <row r="67">
          <cell r="I67">
            <v>0</v>
          </cell>
          <cell r="J67">
            <v>0</v>
          </cell>
          <cell r="K67">
            <v>-15821</v>
          </cell>
          <cell r="L67">
            <v>0</v>
          </cell>
          <cell r="M67">
            <v>0</v>
          </cell>
          <cell r="N67">
            <v>-685</v>
          </cell>
          <cell r="O67">
            <v>3316</v>
          </cell>
          <cell r="P67">
            <v>1808179</v>
          </cell>
          <cell r="Q67">
            <v>1711978</v>
          </cell>
          <cell r="R67">
            <v>2218742</v>
          </cell>
          <cell r="S67">
            <v>2111947</v>
          </cell>
          <cell r="T67">
            <v>2353299</v>
          </cell>
          <cell r="U67">
            <v>2410117</v>
          </cell>
          <cell r="V67">
            <v>1927403</v>
          </cell>
          <cell r="W67">
            <v>2079375</v>
          </cell>
          <cell r="X67">
            <v>2176689</v>
          </cell>
          <cell r="Y67">
            <v>2347569</v>
          </cell>
          <cell r="Z67">
            <v>2410901</v>
          </cell>
          <cell r="AA67">
            <v>2660961</v>
          </cell>
          <cell r="AB67">
            <v>1699374</v>
          </cell>
          <cell r="AC67">
            <v>1793969</v>
          </cell>
          <cell r="AD67">
            <v>2166759</v>
          </cell>
          <cell r="AE67">
            <v>1971305</v>
          </cell>
          <cell r="AF67">
            <v>2205330</v>
          </cell>
          <cell r="AG67">
            <v>1859551</v>
          </cell>
          <cell r="AI67">
            <v>0</v>
          </cell>
        </row>
        <row r="68">
          <cell r="I68">
            <v>0</v>
          </cell>
          <cell r="J68">
            <v>0</v>
          </cell>
          <cell r="K68">
            <v>-966</v>
          </cell>
          <cell r="L68">
            <v>-173</v>
          </cell>
          <cell r="M68">
            <v>-224</v>
          </cell>
          <cell r="N68">
            <v>-5854</v>
          </cell>
          <cell r="O68">
            <v>3888</v>
          </cell>
          <cell r="P68">
            <v>1896237</v>
          </cell>
          <cell r="Q68">
            <v>1932467</v>
          </cell>
          <cell r="R68">
            <v>2312505</v>
          </cell>
          <cell r="S68">
            <v>2139093</v>
          </cell>
          <cell r="T68">
            <v>2460961</v>
          </cell>
          <cell r="U68">
            <v>2015653</v>
          </cell>
          <cell r="V68">
            <v>1786845</v>
          </cell>
          <cell r="W68">
            <v>1607609</v>
          </cell>
          <cell r="X68">
            <v>1802367</v>
          </cell>
          <cell r="Y68">
            <v>1824033</v>
          </cell>
          <cell r="Z68">
            <v>2464953</v>
          </cell>
          <cell r="AA68">
            <v>1889494</v>
          </cell>
          <cell r="AB68">
            <v>1691940</v>
          </cell>
          <cell r="AC68">
            <v>1535800</v>
          </cell>
          <cell r="AD68">
            <v>1772585</v>
          </cell>
          <cell r="AE68">
            <v>1786702</v>
          </cell>
          <cell r="AF68">
            <v>2298977</v>
          </cell>
          <cell r="AG68">
            <v>1255684</v>
          </cell>
          <cell r="AI68">
            <v>0</v>
          </cell>
        </row>
        <row r="70">
          <cell r="I70">
            <v>21498121</v>
          </cell>
          <cell r="J70">
            <v>20311704</v>
          </cell>
          <cell r="K70">
            <v>21262617</v>
          </cell>
          <cell r="L70">
            <v>21076512</v>
          </cell>
          <cell r="M70">
            <v>20683089</v>
          </cell>
          <cell r="N70">
            <v>23498421</v>
          </cell>
          <cell r="O70">
            <v>19744615</v>
          </cell>
          <cell r="P70">
            <v>18946407</v>
          </cell>
          <cell r="Q70">
            <v>21715978</v>
          </cell>
          <cell r="R70">
            <v>22279506</v>
          </cell>
          <cell r="S70">
            <v>24059752</v>
          </cell>
          <cell r="T70">
            <v>21344551</v>
          </cell>
          <cell r="U70">
            <v>21234782</v>
          </cell>
          <cell r="V70">
            <v>21642934</v>
          </cell>
          <cell r="W70">
            <v>18854781</v>
          </cell>
          <cell r="X70">
            <v>18846905</v>
          </cell>
          <cell r="Y70">
            <v>19610276</v>
          </cell>
          <cell r="Z70">
            <v>19834980</v>
          </cell>
          <cell r="AA70">
            <v>19224701</v>
          </cell>
          <cell r="AB70">
            <v>16854378</v>
          </cell>
          <cell r="AC70">
            <v>20706129</v>
          </cell>
          <cell r="AD70">
            <v>23103648</v>
          </cell>
          <cell r="AE70">
            <v>23618755</v>
          </cell>
          <cell r="AF70">
            <v>20024030</v>
          </cell>
          <cell r="AG70">
            <v>19745066</v>
          </cell>
          <cell r="AI70">
            <v>20311704</v>
          </cell>
        </row>
        <row r="71">
          <cell r="I71">
            <v>10351516</v>
          </cell>
          <cell r="J71">
            <v>9827905</v>
          </cell>
          <cell r="K71">
            <v>10574473</v>
          </cell>
          <cell r="L71">
            <v>10895027</v>
          </cell>
          <cell r="M71">
            <v>11146962</v>
          </cell>
          <cell r="N71">
            <v>12533993</v>
          </cell>
          <cell r="O71">
            <v>8292955</v>
          </cell>
          <cell r="P71">
            <v>8099828</v>
          </cell>
          <cell r="Q71">
            <v>9127114</v>
          </cell>
          <cell r="R71">
            <v>9364289</v>
          </cell>
          <cell r="S71">
            <v>10750305</v>
          </cell>
          <cell r="T71">
            <v>9401644</v>
          </cell>
          <cell r="U71">
            <v>8993700</v>
          </cell>
          <cell r="V71">
            <v>8506005</v>
          </cell>
          <cell r="W71">
            <v>7878882</v>
          </cell>
          <cell r="X71">
            <v>8941555</v>
          </cell>
          <cell r="Y71">
            <v>9968756</v>
          </cell>
          <cell r="Z71">
            <v>9818906</v>
          </cell>
          <cell r="AA71">
            <v>8820505</v>
          </cell>
          <cell r="AB71">
            <v>7654618</v>
          </cell>
          <cell r="AC71">
            <v>8831500</v>
          </cell>
          <cell r="AD71">
            <v>10746707</v>
          </cell>
          <cell r="AE71">
            <v>10912702</v>
          </cell>
          <cell r="AF71">
            <v>9366160</v>
          </cell>
          <cell r="AG71">
            <v>8535465</v>
          </cell>
          <cell r="AI71">
            <v>9827905</v>
          </cell>
        </row>
        <row r="72">
          <cell r="I72">
            <v>13746334</v>
          </cell>
          <cell r="J72">
            <v>12397152</v>
          </cell>
          <cell r="K72">
            <v>13391124</v>
          </cell>
          <cell r="L72">
            <v>13437791</v>
          </cell>
          <cell r="M72">
            <v>13584019</v>
          </cell>
          <cell r="N72">
            <v>14862324</v>
          </cell>
          <cell r="O72">
            <v>11196186</v>
          </cell>
          <cell r="P72">
            <v>10929094</v>
          </cell>
          <cell r="Q72">
            <v>12417039</v>
          </cell>
          <cell r="R72">
            <v>12190663</v>
          </cell>
          <cell r="S72">
            <v>13976574</v>
          </cell>
          <cell r="T72">
            <v>12649392</v>
          </cell>
          <cell r="U72">
            <v>12483699</v>
          </cell>
          <cell r="V72">
            <v>8792048</v>
          </cell>
          <cell r="W72">
            <v>9149819</v>
          </cell>
          <cell r="X72">
            <v>9448094</v>
          </cell>
          <cell r="Y72">
            <v>10404722</v>
          </cell>
          <cell r="Z72">
            <v>10522029</v>
          </cell>
          <cell r="AA72">
            <v>9652243</v>
          </cell>
          <cell r="AB72">
            <v>8583231</v>
          </cell>
          <cell r="AC72">
            <v>9642276</v>
          </cell>
          <cell r="AD72">
            <v>11409105</v>
          </cell>
          <cell r="AE72">
            <v>11515321</v>
          </cell>
          <cell r="AF72">
            <v>10900003</v>
          </cell>
          <cell r="AG72">
            <v>9250396</v>
          </cell>
          <cell r="AI72">
            <v>12397152</v>
          </cell>
        </row>
        <row r="73">
          <cell r="I73">
            <v>16494764</v>
          </cell>
          <cell r="J73">
            <v>14271101</v>
          </cell>
          <cell r="K73">
            <v>16363240</v>
          </cell>
          <cell r="L73">
            <v>15932483</v>
          </cell>
          <cell r="M73">
            <v>15980499</v>
          </cell>
          <cell r="N73">
            <v>17520915</v>
          </cell>
          <cell r="O73">
            <v>14210928</v>
          </cell>
          <cell r="P73">
            <v>13567119</v>
          </cell>
          <cell r="Q73">
            <v>14418876</v>
          </cell>
          <cell r="R73">
            <v>14677193</v>
          </cell>
          <cell r="S73">
            <v>15997501</v>
          </cell>
          <cell r="T73">
            <v>15397985</v>
          </cell>
          <cell r="U73">
            <v>14860975</v>
          </cell>
          <cell r="V73">
            <v>12643669</v>
          </cell>
          <cell r="W73">
            <v>12849839</v>
          </cell>
          <cell r="X73">
            <v>12532506</v>
          </cell>
          <cell r="Y73">
            <v>13705747</v>
          </cell>
          <cell r="Z73">
            <v>14518934</v>
          </cell>
          <cell r="AA73">
            <v>13003981</v>
          </cell>
          <cell r="AB73">
            <v>11512727</v>
          </cell>
          <cell r="AC73">
            <v>13092605</v>
          </cell>
          <cell r="AD73">
            <v>15825909</v>
          </cell>
          <cell r="AE73">
            <v>14927814</v>
          </cell>
          <cell r="AF73">
            <v>15493736</v>
          </cell>
          <cell r="AG73">
            <v>12566258</v>
          </cell>
          <cell r="AI73">
            <v>14271101</v>
          </cell>
        </row>
        <row r="74">
          <cell r="I74">
            <v>17589137</v>
          </cell>
          <cell r="J74">
            <v>15118181</v>
          </cell>
          <cell r="K74">
            <v>16834182</v>
          </cell>
          <cell r="L74">
            <v>17792838</v>
          </cell>
          <cell r="M74">
            <v>17647866</v>
          </cell>
          <cell r="N74">
            <v>18749345</v>
          </cell>
          <cell r="O74">
            <v>14739750</v>
          </cell>
          <cell r="P74">
            <v>13696494</v>
          </cell>
          <cell r="Q74">
            <v>15108718</v>
          </cell>
          <cell r="R74">
            <v>16574923</v>
          </cell>
          <cell r="S74">
            <v>16835772</v>
          </cell>
          <cell r="T74">
            <v>17260876</v>
          </cell>
          <cell r="U74">
            <v>16690574</v>
          </cell>
          <cell r="V74">
            <v>13902354</v>
          </cell>
          <cell r="W74">
            <v>15451288</v>
          </cell>
          <cell r="X74">
            <v>15342493</v>
          </cell>
          <cell r="Y74">
            <v>16541232</v>
          </cell>
          <cell r="Z74">
            <v>17672952</v>
          </cell>
          <cell r="AA74">
            <v>15700205</v>
          </cell>
          <cell r="AB74">
            <v>13949247</v>
          </cell>
          <cell r="AC74">
            <v>15635199</v>
          </cell>
          <cell r="AD74">
            <v>19793664</v>
          </cell>
          <cell r="AE74">
            <v>18030540</v>
          </cell>
          <cell r="AF74">
            <v>18539304</v>
          </cell>
          <cell r="AG74">
            <v>15906973</v>
          </cell>
          <cell r="AI74">
            <v>15118181</v>
          </cell>
        </row>
        <row r="75">
          <cell r="I75">
            <v>19256206</v>
          </cell>
          <cell r="J75">
            <v>16509022</v>
          </cell>
          <cell r="K75">
            <v>17389185</v>
          </cell>
          <cell r="L75">
            <v>17391414</v>
          </cell>
          <cell r="M75">
            <v>17431938</v>
          </cell>
          <cell r="N75">
            <v>18232223</v>
          </cell>
          <cell r="O75">
            <v>13997015</v>
          </cell>
          <cell r="P75">
            <v>13343232</v>
          </cell>
          <cell r="Q75">
            <v>15208635</v>
          </cell>
          <cell r="R75">
            <v>15771682</v>
          </cell>
          <cell r="S75">
            <v>16855454</v>
          </cell>
          <cell r="T75">
            <v>17207909</v>
          </cell>
          <cell r="U75">
            <v>15554311</v>
          </cell>
          <cell r="V75">
            <v>14259793</v>
          </cell>
          <cell r="W75">
            <v>13588081</v>
          </cell>
          <cell r="X75">
            <v>13558131</v>
          </cell>
          <cell r="Y75">
            <v>14774580</v>
          </cell>
          <cell r="Z75">
            <v>16197205</v>
          </cell>
          <cell r="AA75">
            <v>14529249</v>
          </cell>
          <cell r="AB75">
            <v>13606900</v>
          </cell>
          <cell r="AC75">
            <v>14421971</v>
          </cell>
          <cell r="AD75">
            <v>17984605</v>
          </cell>
          <cell r="AE75">
            <v>16462023</v>
          </cell>
          <cell r="AF75">
            <v>17204678</v>
          </cell>
          <cell r="AG75">
            <v>14630596</v>
          </cell>
          <cell r="AI75">
            <v>16509022</v>
          </cell>
        </row>
        <row r="76">
          <cell r="I76">
            <v>25364199</v>
          </cell>
          <cell r="J76">
            <v>22209027</v>
          </cell>
          <cell r="K76">
            <v>23416381</v>
          </cell>
          <cell r="L76">
            <v>22435135</v>
          </cell>
          <cell r="M76">
            <v>23040945</v>
          </cell>
          <cell r="N76">
            <v>24857895</v>
          </cell>
          <cell r="O76">
            <v>19856653</v>
          </cell>
          <cell r="P76">
            <v>19154393</v>
          </cell>
          <cell r="Q76">
            <v>20215549</v>
          </cell>
          <cell r="R76">
            <v>22828947</v>
          </cell>
          <cell r="S76">
            <v>23149561</v>
          </cell>
          <cell r="T76">
            <v>24079068</v>
          </cell>
          <cell r="U76">
            <v>21789799</v>
          </cell>
          <cell r="V76">
            <v>19635882</v>
          </cell>
          <cell r="W76">
            <v>19061463</v>
          </cell>
          <cell r="X76">
            <v>18497240</v>
          </cell>
          <cell r="Y76">
            <v>19199567</v>
          </cell>
          <cell r="Z76">
            <v>21492410</v>
          </cell>
          <cell r="AA76">
            <v>19733246</v>
          </cell>
          <cell r="AB76">
            <v>18131931</v>
          </cell>
          <cell r="AC76">
            <v>19246877</v>
          </cell>
          <cell r="AD76">
            <v>23453573</v>
          </cell>
          <cell r="AE76">
            <v>22303448</v>
          </cell>
          <cell r="AF76">
            <v>22186693</v>
          </cell>
          <cell r="AG76">
            <v>18036457</v>
          </cell>
          <cell r="AI76">
            <v>22209027</v>
          </cell>
        </row>
        <row r="77">
          <cell r="I77">
            <v>20028348</v>
          </cell>
          <cell r="J77">
            <v>17817653</v>
          </cell>
          <cell r="K77">
            <v>18836664</v>
          </cell>
          <cell r="L77">
            <v>18875505</v>
          </cell>
          <cell r="M77">
            <v>18999291</v>
          </cell>
          <cell r="N77">
            <v>20901262</v>
          </cell>
          <cell r="O77">
            <v>16422299</v>
          </cell>
          <cell r="P77">
            <v>16379182</v>
          </cell>
          <cell r="Q77">
            <v>17328307</v>
          </cell>
          <cell r="R77">
            <v>19787758</v>
          </cell>
          <cell r="S77">
            <v>20048112</v>
          </cell>
          <cell r="T77">
            <v>20192803</v>
          </cell>
          <cell r="U77">
            <v>18735991</v>
          </cell>
          <cell r="V77">
            <v>16366362</v>
          </cell>
          <cell r="W77">
            <v>17250755</v>
          </cell>
          <cell r="X77">
            <v>15979844</v>
          </cell>
          <cell r="Y77">
            <v>17689668</v>
          </cell>
          <cell r="Z77">
            <v>18664216</v>
          </cell>
          <cell r="AA77">
            <v>17193842</v>
          </cell>
          <cell r="AB77">
            <v>15089980</v>
          </cell>
          <cell r="AC77">
            <v>16764810</v>
          </cell>
          <cell r="AD77">
            <v>20719183</v>
          </cell>
          <cell r="AE77">
            <v>20158302</v>
          </cell>
          <cell r="AF77">
            <v>20753804</v>
          </cell>
          <cell r="AG77">
            <v>17056438</v>
          </cell>
          <cell r="AI77">
            <v>17817653</v>
          </cell>
        </row>
        <row r="78">
          <cell r="I78">
            <v>21132638</v>
          </cell>
          <cell r="J78">
            <v>18499267</v>
          </cell>
          <cell r="K78">
            <v>19854820</v>
          </cell>
          <cell r="L78">
            <v>20018412</v>
          </cell>
          <cell r="M78">
            <v>20286857</v>
          </cell>
          <cell r="N78">
            <v>22135878</v>
          </cell>
          <cell r="O78">
            <v>15465680</v>
          </cell>
          <cell r="P78">
            <v>13716913</v>
          </cell>
          <cell r="Q78">
            <v>14943948</v>
          </cell>
          <cell r="R78">
            <v>17490835</v>
          </cell>
          <cell r="S78">
            <v>16990015</v>
          </cell>
          <cell r="T78">
            <v>18519575</v>
          </cell>
          <cell r="U78">
            <v>15752283</v>
          </cell>
          <cell r="V78">
            <v>13797853</v>
          </cell>
          <cell r="W78">
            <v>16215278</v>
          </cell>
          <cell r="X78">
            <v>14843573</v>
          </cell>
          <cell r="Y78">
            <v>17169490</v>
          </cell>
          <cell r="Z78">
            <v>18067459</v>
          </cell>
          <cell r="AA78">
            <v>15182874</v>
          </cell>
          <cell r="AB78">
            <v>14245261</v>
          </cell>
          <cell r="AC78">
            <v>15182465</v>
          </cell>
          <cell r="AD78">
            <v>17788003</v>
          </cell>
          <cell r="AE78">
            <v>16966055</v>
          </cell>
          <cell r="AF78">
            <v>17703783</v>
          </cell>
          <cell r="AG78">
            <v>14719619</v>
          </cell>
          <cell r="AI78">
            <v>18499267</v>
          </cell>
        </row>
        <row r="79">
          <cell r="I79">
            <v>17296238</v>
          </cell>
          <cell r="J79">
            <v>14318107</v>
          </cell>
          <cell r="K79">
            <v>14853819</v>
          </cell>
          <cell r="L79">
            <v>15796068</v>
          </cell>
          <cell r="M79">
            <v>16048088</v>
          </cell>
          <cell r="N79">
            <v>17073820</v>
          </cell>
          <cell r="O79">
            <v>15222196</v>
          </cell>
          <cell r="P79">
            <v>11968514</v>
          </cell>
          <cell r="Q79">
            <v>12993403</v>
          </cell>
          <cell r="R79">
            <v>15775282</v>
          </cell>
          <cell r="S79">
            <v>15330489</v>
          </cell>
          <cell r="T79">
            <v>16290738</v>
          </cell>
          <cell r="U79">
            <v>15692241</v>
          </cell>
          <cell r="V79">
            <v>12535868</v>
          </cell>
          <cell r="W79">
            <v>13331936</v>
          </cell>
          <cell r="X79">
            <v>12245850</v>
          </cell>
          <cell r="Y79">
            <v>13447905</v>
          </cell>
          <cell r="Z79">
            <v>14776170</v>
          </cell>
          <cell r="AA79">
            <v>12815927</v>
          </cell>
          <cell r="AB79">
            <v>11678706</v>
          </cell>
          <cell r="AC79">
            <v>13202695</v>
          </cell>
          <cell r="AD79">
            <v>16819613</v>
          </cell>
          <cell r="AE79">
            <v>15660955</v>
          </cell>
          <cell r="AF79">
            <v>15920593</v>
          </cell>
          <cell r="AG79">
            <v>12666528</v>
          </cell>
          <cell r="AI79">
            <v>14318107</v>
          </cell>
        </row>
        <row r="80">
          <cell r="I80">
            <v>27152817</v>
          </cell>
          <cell r="J80">
            <v>23686405</v>
          </cell>
          <cell r="K80">
            <v>23652248</v>
          </cell>
          <cell r="L80">
            <v>24846342</v>
          </cell>
          <cell r="M80">
            <v>23888475</v>
          </cell>
          <cell r="N80">
            <v>27352865</v>
          </cell>
          <cell r="O80">
            <v>24280411</v>
          </cell>
          <cell r="P80">
            <v>19876030</v>
          </cell>
          <cell r="Q80">
            <v>21697863</v>
          </cell>
          <cell r="R80">
            <v>24364839</v>
          </cell>
          <cell r="S80">
            <v>24208297</v>
          </cell>
          <cell r="T80">
            <v>25965829</v>
          </cell>
          <cell r="U80">
            <v>24222590</v>
          </cell>
          <cell r="V80">
            <v>21240299</v>
          </cell>
          <cell r="W80">
            <v>20059091</v>
          </cell>
          <cell r="X80">
            <v>19748911</v>
          </cell>
          <cell r="Y80">
            <v>20723663</v>
          </cell>
          <cell r="Z80">
            <v>22712601</v>
          </cell>
          <cell r="AA80">
            <v>20090159</v>
          </cell>
          <cell r="AB80">
            <v>17941695</v>
          </cell>
          <cell r="AC80">
            <v>19596031</v>
          </cell>
          <cell r="AD80">
            <v>25316641</v>
          </cell>
          <cell r="AE80">
            <v>22542719</v>
          </cell>
          <cell r="AF80">
            <v>25016389</v>
          </cell>
          <cell r="AG80">
            <v>20731089</v>
          </cell>
          <cell r="AI80">
            <v>23686405</v>
          </cell>
        </row>
        <row r="81">
          <cell r="I81">
            <v>22731615</v>
          </cell>
          <cell r="J81">
            <v>18802193</v>
          </cell>
          <cell r="K81">
            <v>19526837</v>
          </cell>
          <cell r="L81">
            <v>19152173</v>
          </cell>
          <cell r="M81">
            <v>19961054</v>
          </cell>
          <cell r="N81">
            <v>21754258</v>
          </cell>
          <cell r="O81">
            <v>19719308</v>
          </cell>
          <cell r="P81">
            <v>16649583</v>
          </cell>
          <cell r="Q81">
            <v>17584932</v>
          </cell>
          <cell r="R81">
            <v>20815261</v>
          </cell>
          <cell r="S81">
            <v>20114071</v>
          </cell>
          <cell r="T81">
            <v>22684836</v>
          </cell>
          <cell r="U81">
            <v>19872963</v>
          </cell>
          <cell r="V81">
            <v>17594783</v>
          </cell>
          <cell r="W81">
            <v>18361799</v>
          </cell>
          <cell r="X81">
            <v>16215237</v>
          </cell>
          <cell r="Y81">
            <v>17545724</v>
          </cell>
          <cell r="Z81">
            <v>19219851</v>
          </cell>
          <cell r="AA81">
            <v>17640436</v>
          </cell>
          <cell r="AB81">
            <v>16311306</v>
          </cell>
          <cell r="AC81">
            <v>16350221</v>
          </cell>
          <cell r="AD81">
            <v>21161832</v>
          </cell>
          <cell r="AE81">
            <v>19988279</v>
          </cell>
          <cell r="AF81">
            <v>20742361</v>
          </cell>
          <cell r="AG81">
            <v>17911246</v>
          </cell>
          <cell r="AI81">
            <v>18802193</v>
          </cell>
        </row>
        <row r="82">
          <cell r="I82">
            <v>12971084</v>
          </cell>
          <cell r="J82">
            <v>11250682</v>
          </cell>
          <cell r="K82">
            <v>11571773</v>
          </cell>
          <cell r="L82">
            <v>11865273</v>
          </cell>
          <cell r="M82">
            <v>12331035</v>
          </cell>
          <cell r="N82">
            <v>13570396</v>
          </cell>
          <cell r="O82">
            <v>12072355</v>
          </cell>
          <cell r="P82">
            <v>9726643</v>
          </cell>
          <cell r="Q82">
            <v>10326389</v>
          </cell>
          <cell r="R82">
            <v>11765702</v>
          </cell>
          <cell r="S82">
            <v>11746722</v>
          </cell>
          <cell r="T82">
            <v>12859290</v>
          </cell>
          <cell r="U82">
            <v>11532684</v>
          </cell>
          <cell r="V82">
            <v>10310652</v>
          </cell>
          <cell r="W82">
            <v>10529812</v>
          </cell>
          <cell r="X82">
            <v>9569279</v>
          </cell>
          <cell r="Y82">
            <v>10867825</v>
          </cell>
          <cell r="Z82">
            <v>11502641</v>
          </cell>
          <cell r="AA82">
            <v>10460478</v>
          </cell>
          <cell r="AB82">
            <v>9303074</v>
          </cell>
          <cell r="AC82">
            <v>9700373</v>
          </cell>
          <cell r="AD82">
            <v>12499345</v>
          </cell>
          <cell r="AE82">
            <v>12291084</v>
          </cell>
          <cell r="AF82">
            <v>12484312</v>
          </cell>
          <cell r="AG82">
            <v>10393265</v>
          </cell>
          <cell r="AI82">
            <v>11250682</v>
          </cell>
        </row>
        <row r="83">
          <cell r="I83">
            <v>13880115</v>
          </cell>
          <cell r="J83">
            <v>11816405</v>
          </cell>
          <cell r="K83">
            <v>12011206</v>
          </cell>
          <cell r="L83">
            <v>12420417</v>
          </cell>
          <cell r="M83">
            <v>12844592</v>
          </cell>
          <cell r="N83">
            <v>14517364</v>
          </cell>
          <cell r="O83">
            <v>13034824</v>
          </cell>
          <cell r="P83">
            <v>11024906</v>
          </cell>
          <cell r="Q83">
            <v>10962806</v>
          </cell>
          <cell r="R83">
            <v>13735719</v>
          </cell>
          <cell r="S83">
            <v>12568925</v>
          </cell>
          <cell r="T83">
            <v>14791005</v>
          </cell>
          <cell r="U83">
            <v>12547919</v>
          </cell>
          <cell r="V83">
            <v>11627094</v>
          </cell>
          <cell r="W83">
            <v>11109037</v>
          </cell>
          <cell r="X83">
            <v>10261577</v>
          </cell>
          <cell r="Y83">
            <v>11214270</v>
          </cell>
          <cell r="Z83">
            <v>12375824</v>
          </cell>
          <cell r="AA83">
            <v>10559392</v>
          </cell>
          <cell r="AB83">
            <v>9866351</v>
          </cell>
          <cell r="AC83">
            <v>9941936</v>
          </cell>
          <cell r="AD83">
            <v>12315996</v>
          </cell>
          <cell r="AE83">
            <v>12092258</v>
          </cell>
          <cell r="AF83">
            <v>12928889</v>
          </cell>
          <cell r="AG83">
            <v>10688883</v>
          </cell>
          <cell r="AI83">
            <v>11816405</v>
          </cell>
        </row>
        <row r="84">
          <cell r="I84">
            <v>17828165</v>
          </cell>
          <cell r="J84">
            <v>14886202</v>
          </cell>
          <cell r="K84">
            <v>15367082</v>
          </cell>
          <cell r="L84">
            <v>16060098</v>
          </cell>
          <cell r="M84">
            <v>17157931</v>
          </cell>
          <cell r="N84">
            <v>18686513</v>
          </cell>
          <cell r="O84">
            <v>16522781</v>
          </cell>
          <cell r="P84">
            <v>13136695</v>
          </cell>
          <cell r="Q84">
            <v>13591677</v>
          </cell>
          <cell r="R84">
            <v>17112471</v>
          </cell>
          <cell r="S84">
            <v>16385307</v>
          </cell>
          <cell r="T84">
            <v>17856720</v>
          </cell>
          <cell r="U84">
            <v>16383445</v>
          </cell>
          <cell r="V84">
            <v>14124514</v>
          </cell>
          <cell r="W84">
            <v>14203820</v>
          </cell>
          <cell r="X84">
            <v>13223007</v>
          </cell>
          <cell r="Y84">
            <v>14953582</v>
          </cell>
          <cell r="Z84">
            <v>16253438</v>
          </cell>
          <cell r="AA84">
            <v>14305101</v>
          </cell>
          <cell r="AB84">
            <v>12510604</v>
          </cell>
          <cell r="AC84">
            <v>13309531</v>
          </cell>
          <cell r="AD84">
            <v>17260235</v>
          </cell>
          <cell r="AE84">
            <v>15659604</v>
          </cell>
          <cell r="AF84">
            <v>17003546</v>
          </cell>
          <cell r="AG84">
            <v>14462783</v>
          </cell>
          <cell r="AI84">
            <v>14886202</v>
          </cell>
        </row>
        <row r="85">
          <cell r="I85">
            <v>15199160</v>
          </cell>
          <cell r="J85">
            <v>13384116</v>
          </cell>
          <cell r="K85">
            <v>13448243</v>
          </cell>
          <cell r="L85">
            <v>13876734</v>
          </cell>
          <cell r="M85">
            <v>14540833</v>
          </cell>
          <cell r="N85">
            <v>16205283</v>
          </cell>
          <cell r="O85">
            <v>15024727</v>
          </cell>
          <cell r="P85">
            <v>11633014</v>
          </cell>
          <cell r="Q85">
            <v>11801116</v>
          </cell>
          <cell r="R85">
            <v>14162376</v>
          </cell>
          <cell r="S85">
            <v>13796796</v>
          </cell>
          <cell r="T85">
            <v>15081311</v>
          </cell>
          <cell r="U85">
            <v>13474594</v>
          </cell>
          <cell r="V85">
            <v>12520550</v>
          </cell>
          <cell r="W85">
            <v>12411367</v>
          </cell>
          <cell r="X85">
            <v>11358273</v>
          </cell>
          <cell r="Y85">
            <v>14783651</v>
          </cell>
          <cell r="Z85">
            <v>13843804</v>
          </cell>
          <cell r="AA85">
            <v>13398461</v>
          </cell>
          <cell r="AB85">
            <v>11917121</v>
          </cell>
          <cell r="AC85">
            <v>12030657</v>
          </cell>
          <cell r="AD85">
            <v>15412800</v>
          </cell>
          <cell r="AE85">
            <v>14646668</v>
          </cell>
          <cell r="AF85">
            <v>15509002</v>
          </cell>
          <cell r="AG85">
            <v>13651740</v>
          </cell>
          <cell r="AI85">
            <v>13384116</v>
          </cell>
        </row>
        <row r="86">
          <cell r="I86">
            <v>17286826</v>
          </cell>
          <cell r="J86">
            <v>14629532</v>
          </cell>
          <cell r="K86">
            <v>14595926</v>
          </cell>
          <cell r="L86">
            <v>15616996</v>
          </cell>
          <cell r="M86">
            <v>16188800</v>
          </cell>
          <cell r="N86">
            <v>16848931</v>
          </cell>
          <cell r="O86">
            <v>16540559</v>
          </cell>
          <cell r="P86">
            <v>11643065</v>
          </cell>
          <cell r="Q86">
            <v>12718202</v>
          </cell>
          <cell r="R86">
            <v>14567610</v>
          </cell>
          <cell r="S86">
            <v>13880986</v>
          </cell>
          <cell r="T86">
            <v>15652871</v>
          </cell>
          <cell r="U86">
            <v>13934215</v>
          </cell>
          <cell r="V86">
            <v>12898049</v>
          </cell>
          <cell r="W86">
            <v>13100761</v>
          </cell>
          <cell r="X86">
            <v>12276492</v>
          </cell>
          <cell r="Y86">
            <v>13253358</v>
          </cell>
          <cell r="Z86">
            <v>14425768</v>
          </cell>
          <cell r="AA86">
            <v>13989320</v>
          </cell>
          <cell r="AB86">
            <v>11125627</v>
          </cell>
          <cell r="AC86">
            <v>11714434</v>
          </cell>
          <cell r="AD86">
            <v>14378481</v>
          </cell>
          <cell r="AE86">
            <v>14965375</v>
          </cell>
          <cell r="AF86">
            <v>14796339</v>
          </cell>
          <cell r="AG86">
            <v>12670830</v>
          </cell>
          <cell r="AI86">
            <v>14629532</v>
          </cell>
        </row>
        <row r="87">
          <cell r="I87">
            <v>11632438</v>
          </cell>
          <cell r="J87">
            <v>9817828</v>
          </cell>
          <cell r="K87">
            <v>9817006</v>
          </cell>
          <cell r="L87">
            <v>10427906</v>
          </cell>
          <cell r="M87">
            <v>10520438</v>
          </cell>
          <cell r="N87">
            <v>10992928</v>
          </cell>
          <cell r="O87">
            <v>11558323</v>
          </cell>
          <cell r="P87">
            <v>7773245</v>
          </cell>
          <cell r="Q87">
            <v>8279381</v>
          </cell>
          <cell r="R87">
            <v>9636274</v>
          </cell>
          <cell r="S87">
            <v>9730477</v>
          </cell>
          <cell r="T87">
            <v>10526599</v>
          </cell>
          <cell r="U87">
            <v>9566735</v>
          </cell>
          <cell r="V87">
            <v>8750334</v>
          </cell>
          <cell r="W87">
            <v>9188990</v>
          </cell>
          <cell r="X87">
            <v>8488358</v>
          </cell>
          <cell r="Y87">
            <v>9543324</v>
          </cell>
          <cell r="Z87">
            <v>10017348</v>
          </cell>
          <cell r="AA87">
            <v>9977153</v>
          </cell>
          <cell r="AB87">
            <v>7915727</v>
          </cell>
          <cell r="AC87">
            <v>8257960</v>
          </cell>
          <cell r="AD87">
            <v>10174619</v>
          </cell>
          <cell r="AE87">
            <v>10575656</v>
          </cell>
          <cell r="AF87">
            <v>11889996</v>
          </cell>
          <cell r="AG87">
            <v>9922986</v>
          </cell>
          <cell r="AI87">
            <v>9817828</v>
          </cell>
        </row>
        <row r="88">
          <cell r="I88">
            <v>13912536</v>
          </cell>
          <cell r="J88">
            <v>10978821</v>
          </cell>
          <cell r="K88">
            <v>10589345</v>
          </cell>
          <cell r="L88">
            <v>12493799</v>
          </cell>
          <cell r="M88">
            <v>11842745</v>
          </cell>
          <cell r="N88">
            <v>11657365</v>
          </cell>
          <cell r="O88">
            <v>12696546</v>
          </cell>
          <cell r="P88">
            <v>9010763</v>
          </cell>
          <cell r="Q88">
            <v>8948520</v>
          </cell>
          <cell r="R88">
            <v>10989558</v>
          </cell>
          <cell r="S88">
            <v>10678936</v>
          </cell>
          <cell r="T88">
            <v>11982318</v>
          </cell>
          <cell r="U88">
            <v>10469228</v>
          </cell>
          <cell r="V88">
            <v>9798944</v>
          </cell>
          <cell r="W88">
            <v>9473997</v>
          </cell>
          <cell r="X88">
            <v>8938861</v>
          </cell>
          <cell r="Y88">
            <v>9664153</v>
          </cell>
          <cell r="Z88">
            <v>10317053</v>
          </cell>
          <cell r="AA88">
            <v>10421916</v>
          </cell>
          <cell r="AB88">
            <v>8908567</v>
          </cell>
          <cell r="AC88">
            <v>8832699</v>
          </cell>
          <cell r="AD88">
            <v>9469469</v>
          </cell>
          <cell r="AE88">
            <v>10276268</v>
          </cell>
          <cell r="AF88">
            <v>10541507</v>
          </cell>
          <cell r="AG88">
            <v>8722184</v>
          </cell>
          <cell r="AI88">
            <v>10978821</v>
          </cell>
        </row>
        <row r="89">
          <cell r="I89">
            <v>23256359</v>
          </cell>
          <cell r="J89">
            <v>19182573</v>
          </cell>
          <cell r="K89">
            <v>18079745</v>
          </cell>
          <cell r="L89">
            <v>21096628</v>
          </cell>
          <cell r="M89">
            <v>19775539</v>
          </cell>
          <cell r="N89">
            <v>20814467</v>
          </cell>
          <cell r="O89">
            <v>22963192</v>
          </cell>
          <cell r="P89">
            <v>17271249</v>
          </cell>
          <cell r="Q89">
            <v>17306117</v>
          </cell>
          <cell r="R89">
            <v>19816218</v>
          </cell>
          <cell r="S89">
            <v>19061832</v>
          </cell>
          <cell r="T89">
            <v>20721757</v>
          </cell>
          <cell r="U89">
            <v>20161622</v>
          </cell>
          <cell r="V89">
            <v>18719620</v>
          </cell>
          <cell r="W89">
            <v>17345107</v>
          </cell>
          <cell r="X89">
            <v>18669576</v>
          </cell>
          <cell r="Y89">
            <v>18260413</v>
          </cell>
          <cell r="Z89">
            <v>20744156</v>
          </cell>
          <cell r="AA89">
            <v>22782570</v>
          </cell>
          <cell r="AB89">
            <v>14884217</v>
          </cell>
          <cell r="AC89">
            <v>15687201</v>
          </cell>
          <cell r="AD89">
            <v>20240014</v>
          </cell>
          <cell r="AE89">
            <v>20811052</v>
          </cell>
          <cell r="AF89">
            <v>23082162</v>
          </cell>
          <cell r="AG89">
            <v>17615292</v>
          </cell>
          <cell r="AI89">
            <v>19182573</v>
          </cell>
        </row>
        <row r="91">
          <cell r="I91">
            <v>159412772</v>
          </cell>
          <cell r="J91">
            <v>159241719</v>
          </cell>
          <cell r="K91">
            <v>150847810</v>
          </cell>
          <cell r="L91">
            <v>155584159</v>
          </cell>
          <cell r="M91">
            <v>144215451</v>
          </cell>
          <cell r="N91">
            <v>150630150</v>
          </cell>
          <cell r="O91">
            <v>159488635</v>
          </cell>
          <cell r="P91">
            <v>151053083</v>
          </cell>
          <cell r="Q91">
            <v>149517279</v>
          </cell>
          <cell r="R91">
            <v>160490503</v>
          </cell>
          <cell r="S91">
            <v>157094598</v>
          </cell>
          <cell r="T91">
            <v>149874792</v>
          </cell>
          <cell r="U91">
            <v>156947830</v>
          </cell>
          <cell r="V91">
            <v>145483172</v>
          </cell>
          <cell r="W91">
            <v>139236532</v>
          </cell>
          <cell r="X91">
            <v>139073456</v>
          </cell>
          <cell r="Y91">
            <v>131086983</v>
          </cell>
          <cell r="Z91">
            <v>142697998</v>
          </cell>
          <cell r="AA91">
            <v>142484899</v>
          </cell>
          <cell r="AB91">
            <v>129148122</v>
          </cell>
          <cell r="AC91">
            <v>138629351</v>
          </cell>
          <cell r="AD91">
            <v>142182896</v>
          </cell>
          <cell r="AE91">
            <v>128286409</v>
          </cell>
          <cell r="AF91">
            <v>133356478</v>
          </cell>
          <cell r="AG91">
            <v>139468217</v>
          </cell>
          <cell r="AI91">
            <v>159241719</v>
          </cell>
        </row>
        <row r="92">
          <cell r="I92">
            <v>5698460</v>
          </cell>
          <cell r="J92">
            <v>5062300</v>
          </cell>
          <cell r="K92">
            <v>4988649</v>
          </cell>
          <cell r="L92">
            <v>5356691</v>
          </cell>
          <cell r="M92">
            <v>5195170</v>
          </cell>
          <cell r="N92">
            <v>5381919</v>
          </cell>
          <cell r="O92">
            <v>5679280</v>
          </cell>
          <cell r="P92">
            <v>5109677</v>
          </cell>
          <cell r="Q92">
            <v>6822791</v>
          </cell>
          <cell r="R92">
            <v>6335890</v>
          </cell>
          <cell r="S92">
            <v>7321232</v>
          </cell>
          <cell r="T92">
            <v>6869128</v>
          </cell>
          <cell r="U92">
            <v>6421617</v>
          </cell>
          <cell r="V92">
            <v>5747073</v>
          </cell>
          <cell r="W92">
            <v>5341548</v>
          </cell>
          <cell r="X92">
            <v>5499221</v>
          </cell>
          <cell r="Y92">
            <v>5853884</v>
          </cell>
          <cell r="Z92">
            <v>5775540</v>
          </cell>
          <cell r="AA92">
            <v>6091053</v>
          </cell>
          <cell r="AB92">
            <v>5611697</v>
          </cell>
          <cell r="AC92">
            <v>10846603</v>
          </cell>
          <cell r="AD92">
            <v>11581085</v>
          </cell>
          <cell r="AE92">
            <v>11874703</v>
          </cell>
          <cell r="AF92">
            <v>10142134</v>
          </cell>
          <cell r="AG92">
            <v>9708784</v>
          </cell>
          <cell r="AI92">
            <v>5062300</v>
          </cell>
        </row>
        <row r="93">
          <cell r="I93">
            <v>9144217</v>
          </cell>
          <cell r="J93">
            <v>9308795</v>
          </cell>
          <cell r="K93">
            <v>9784621</v>
          </cell>
          <cell r="L93">
            <v>9101109</v>
          </cell>
          <cell r="M93">
            <v>8270142</v>
          </cell>
          <cell r="N93">
            <v>8835409</v>
          </cell>
          <cell r="O93">
            <v>8346439</v>
          </cell>
          <cell r="P93">
            <v>8746197</v>
          </cell>
          <cell r="Q93">
            <v>9295315</v>
          </cell>
          <cell r="R93">
            <v>8849344</v>
          </cell>
          <cell r="S93">
            <v>9114320</v>
          </cell>
          <cell r="T93">
            <v>9094651</v>
          </cell>
          <cell r="U93">
            <v>8915237</v>
          </cell>
          <cell r="V93">
            <v>9320652</v>
          </cell>
          <cell r="W93">
            <v>9177887</v>
          </cell>
          <cell r="X93">
            <v>8290997</v>
          </cell>
          <cell r="Y93">
            <v>8940479</v>
          </cell>
          <cell r="Z93">
            <v>8665673</v>
          </cell>
          <cell r="AA93">
            <v>9058264</v>
          </cell>
          <cell r="AB93">
            <v>8599346</v>
          </cell>
          <cell r="AC93">
            <v>4431410</v>
          </cell>
          <cell r="AD93">
            <v>4626681</v>
          </cell>
          <cell r="AE93">
            <v>4375042</v>
          </cell>
          <cell r="AF93">
            <v>4830381</v>
          </cell>
          <cell r="AG93">
            <v>4736127</v>
          </cell>
          <cell r="AI93">
            <v>9308795</v>
          </cell>
        </row>
        <row r="94">
          <cell r="I94">
            <v>29046926</v>
          </cell>
          <cell r="J94">
            <v>27329813</v>
          </cell>
          <cell r="K94">
            <v>30376836</v>
          </cell>
          <cell r="L94">
            <v>28422876</v>
          </cell>
          <cell r="M94">
            <v>27005519</v>
          </cell>
          <cell r="N94">
            <v>25469205</v>
          </cell>
          <cell r="O94">
            <v>26418659</v>
          </cell>
          <cell r="P94">
            <v>27156736</v>
          </cell>
          <cell r="Q94">
            <v>31313278</v>
          </cell>
          <cell r="R94">
            <v>29589647</v>
          </cell>
          <cell r="S94">
            <v>29407184</v>
          </cell>
          <cell r="T94">
            <v>27512120</v>
          </cell>
          <cell r="U94">
            <v>31153213</v>
          </cell>
          <cell r="V94">
            <v>28670090</v>
          </cell>
          <cell r="W94">
            <v>30661646</v>
          </cell>
          <cell r="X94">
            <v>27725250</v>
          </cell>
          <cell r="Y94">
            <v>26746435</v>
          </cell>
          <cell r="Z94">
            <v>25499882</v>
          </cell>
          <cell r="AA94">
            <v>29388353</v>
          </cell>
          <cell r="AB94">
            <v>24693829</v>
          </cell>
          <cell r="AC94">
            <v>27899888</v>
          </cell>
          <cell r="AD94">
            <v>28533783</v>
          </cell>
          <cell r="AE94">
            <v>25656276</v>
          </cell>
          <cell r="AF94">
            <v>29376810</v>
          </cell>
          <cell r="AG94">
            <v>26930127</v>
          </cell>
          <cell r="AI94">
            <v>27329813</v>
          </cell>
        </row>
        <row r="95">
          <cell r="I95">
            <v>8114880</v>
          </cell>
          <cell r="J95">
            <v>7388858</v>
          </cell>
          <cell r="K95">
            <v>7093324</v>
          </cell>
          <cell r="L95">
            <v>7817902</v>
          </cell>
          <cell r="M95">
            <v>6695581</v>
          </cell>
          <cell r="N95">
            <v>7051385</v>
          </cell>
          <cell r="O95">
            <v>7125168</v>
          </cell>
          <cell r="P95">
            <v>7098270</v>
          </cell>
          <cell r="Q95">
            <v>7213132</v>
          </cell>
          <cell r="R95">
            <v>7800891</v>
          </cell>
          <cell r="S95">
            <v>7061869</v>
          </cell>
          <cell r="T95">
            <v>7846285</v>
          </cell>
          <cell r="U95">
            <v>7223965</v>
          </cell>
          <cell r="V95">
            <v>7261073</v>
          </cell>
          <cell r="W95">
            <v>6854166</v>
          </cell>
          <cell r="X95">
            <v>6680282</v>
          </cell>
          <cell r="Y95">
            <v>6400028</v>
          </cell>
          <cell r="Z95">
            <v>5633471</v>
          </cell>
          <cell r="AA95">
            <v>6149996</v>
          </cell>
          <cell r="AB95">
            <v>6200426</v>
          </cell>
          <cell r="AC95">
            <v>6134361</v>
          </cell>
          <cell r="AD95">
            <v>6863857</v>
          </cell>
          <cell r="AE95">
            <v>6336393</v>
          </cell>
          <cell r="AF95">
            <v>6733379</v>
          </cell>
          <cell r="AG95">
            <v>6260407</v>
          </cell>
          <cell r="AI95">
            <v>7388858</v>
          </cell>
        </row>
        <row r="96">
          <cell r="I96">
            <v>14187102</v>
          </cell>
          <cell r="J96">
            <v>13667988</v>
          </cell>
          <cell r="K96">
            <v>13257947</v>
          </cell>
          <cell r="L96">
            <v>14067001</v>
          </cell>
          <cell r="M96">
            <v>12169684</v>
          </cell>
          <cell r="N96">
            <v>12200299</v>
          </cell>
          <cell r="O96">
            <v>12442886</v>
          </cell>
          <cell r="P96">
            <v>5017322</v>
          </cell>
          <cell r="Q96">
            <v>5617228</v>
          </cell>
          <cell r="R96">
            <v>5798540</v>
          </cell>
          <cell r="S96">
            <v>5536042</v>
          </cell>
          <cell r="T96">
            <v>5418640</v>
          </cell>
          <cell r="U96">
            <v>5346337</v>
          </cell>
          <cell r="V96">
            <v>5366271</v>
          </cell>
          <cell r="W96">
            <v>5083131</v>
          </cell>
          <cell r="X96">
            <v>6542635</v>
          </cell>
          <cell r="Y96">
            <v>7058470</v>
          </cell>
          <cell r="Z96">
            <v>6766710</v>
          </cell>
          <cell r="AA96">
            <v>6566968</v>
          </cell>
          <cell r="AB96">
            <v>6671837</v>
          </cell>
          <cell r="AC96">
            <v>6879014</v>
          </cell>
          <cell r="AD96">
            <v>7312327</v>
          </cell>
          <cell r="AE96">
            <v>6962144</v>
          </cell>
          <cell r="AF96">
            <v>6857796</v>
          </cell>
          <cell r="AG96">
            <v>6877838</v>
          </cell>
          <cell r="AI96">
            <v>13667988</v>
          </cell>
        </row>
        <row r="97">
          <cell r="I97">
            <v>10352448</v>
          </cell>
          <cell r="J97">
            <v>10225369</v>
          </cell>
          <cell r="K97">
            <v>10296235</v>
          </cell>
          <cell r="L97">
            <v>9145332</v>
          </cell>
          <cell r="M97">
            <v>9357741</v>
          </cell>
          <cell r="N97">
            <v>9344084</v>
          </cell>
          <cell r="O97">
            <v>8978920</v>
          </cell>
          <cell r="P97">
            <v>16108542</v>
          </cell>
          <cell r="Q97">
            <v>17776797</v>
          </cell>
          <cell r="R97">
            <v>17143256</v>
          </cell>
          <cell r="S97">
            <v>15843734</v>
          </cell>
          <cell r="T97">
            <v>18266069</v>
          </cell>
          <cell r="U97">
            <v>17526561</v>
          </cell>
          <cell r="V97">
            <v>16499200</v>
          </cell>
          <cell r="W97">
            <v>17064942</v>
          </cell>
          <cell r="X97">
            <v>15345735</v>
          </cell>
          <cell r="Y97">
            <v>16091112</v>
          </cell>
          <cell r="Z97">
            <v>15321094</v>
          </cell>
          <cell r="AA97">
            <v>17018061</v>
          </cell>
          <cell r="AB97">
            <v>15618837</v>
          </cell>
          <cell r="AC97">
            <v>15787689</v>
          </cell>
          <cell r="AD97">
            <v>17263662</v>
          </cell>
          <cell r="AE97">
            <v>17786101</v>
          </cell>
          <cell r="AF97">
            <v>15745037</v>
          </cell>
          <cell r="AG97">
            <v>16932271</v>
          </cell>
          <cell r="AI97">
            <v>10225369</v>
          </cell>
        </row>
        <row r="98">
          <cell r="I98">
            <v>7522258</v>
          </cell>
          <cell r="J98">
            <v>7510678</v>
          </cell>
          <cell r="K98">
            <v>8108700</v>
          </cell>
          <cell r="L98">
            <v>8031688</v>
          </cell>
          <cell r="M98">
            <v>7726240</v>
          </cell>
          <cell r="N98">
            <v>8074230</v>
          </cell>
          <cell r="O98">
            <v>7927594</v>
          </cell>
          <cell r="P98">
            <v>7383234</v>
          </cell>
          <cell r="Q98">
            <v>8250854</v>
          </cell>
          <cell r="R98">
            <v>8107396</v>
          </cell>
          <cell r="S98">
            <v>7985336</v>
          </cell>
          <cell r="T98">
            <v>8521226</v>
          </cell>
          <cell r="U98">
            <v>7156426</v>
          </cell>
          <cell r="V98">
            <v>7124713</v>
          </cell>
          <cell r="W98">
            <v>7905243</v>
          </cell>
          <cell r="X98">
            <v>6821323</v>
          </cell>
          <cell r="Y98">
            <v>6865646</v>
          </cell>
          <cell r="Z98">
            <v>7369556</v>
          </cell>
          <cell r="AA98">
            <v>7095419</v>
          </cell>
          <cell r="AB98">
            <v>8025879</v>
          </cell>
          <cell r="AC98">
            <v>7710444</v>
          </cell>
          <cell r="AD98">
            <v>8077640</v>
          </cell>
          <cell r="AE98">
            <v>8775678</v>
          </cell>
          <cell r="AF98">
            <v>7212642</v>
          </cell>
          <cell r="AG98">
            <v>7397647</v>
          </cell>
          <cell r="AI98">
            <v>7510678</v>
          </cell>
        </row>
        <row r="99">
          <cell r="I99">
            <v>8945431</v>
          </cell>
          <cell r="J99">
            <v>8835717</v>
          </cell>
          <cell r="K99">
            <v>9023749</v>
          </cell>
          <cell r="L99">
            <v>9178595</v>
          </cell>
          <cell r="M99">
            <v>8751994</v>
          </cell>
          <cell r="N99">
            <v>9174266</v>
          </cell>
          <cell r="O99">
            <v>8931424</v>
          </cell>
          <cell r="P99">
            <v>8762308</v>
          </cell>
          <cell r="Q99">
            <v>9894260</v>
          </cell>
          <cell r="R99">
            <v>10122589</v>
          </cell>
          <cell r="S99">
            <v>9829263</v>
          </cell>
          <cell r="T99">
            <v>10950524</v>
          </cell>
          <cell r="U99">
            <v>9630036</v>
          </cell>
          <cell r="V99">
            <v>9139923</v>
          </cell>
          <cell r="W99">
            <v>9979334</v>
          </cell>
          <cell r="X99">
            <v>8533520</v>
          </cell>
          <cell r="Y99">
            <v>8648964</v>
          </cell>
          <cell r="Z99">
            <v>8851622</v>
          </cell>
          <cell r="AA99">
            <v>8855462</v>
          </cell>
          <cell r="AB99">
            <v>9153127</v>
          </cell>
          <cell r="AC99">
            <v>9111747</v>
          </cell>
          <cell r="AD99">
            <v>9061567</v>
          </cell>
          <cell r="AE99">
            <v>8936205</v>
          </cell>
          <cell r="AF99">
            <v>8211018</v>
          </cell>
          <cell r="AG99">
            <v>8408575</v>
          </cell>
          <cell r="AI99">
            <v>8835717</v>
          </cell>
        </row>
        <row r="100">
          <cell r="I100">
            <v>9982492</v>
          </cell>
          <cell r="J100">
            <v>9559641</v>
          </cell>
          <cell r="K100">
            <v>10111191</v>
          </cell>
          <cell r="L100">
            <v>9471496</v>
          </cell>
          <cell r="M100">
            <v>9237686</v>
          </cell>
          <cell r="N100">
            <v>8885323</v>
          </cell>
          <cell r="O100">
            <v>9387124</v>
          </cell>
          <cell r="P100">
            <v>9235964</v>
          </cell>
          <cell r="Q100">
            <v>10112763</v>
          </cell>
          <cell r="R100">
            <v>10481908</v>
          </cell>
          <cell r="S100">
            <v>10241429</v>
          </cell>
          <cell r="T100">
            <v>10372308</v>
          </cell>
          <cell r="U100">
            <v>9844441</v>
          </cell>
          <cell r="V100">
            <v>9698695</v>
          </cell>
          <cell r="W100">
            <v>10010404</v>
          </cell>
          <cell r="X100">
            <v>9872551</v>
          </cell>
          <cell r="Y100">
            <v>9530449</v>
          </cell>
          <cell r="Z100">
            <v>9428882</v>
          </cell>
          <cell r="AA100">
            <v>9499837</v>
          </cell>
          <cell r="AB100">
            <v>10053119</v>
          </cell>
          <cell r="AC100">
            <v>9476741</v>
          </cell>
          <cell r="AD100">
            <v>11544864</v>
          </cell>
          <cell r="AE100">
            <v>10934364</v>
          </cell>
          <cell r="AF100">
            <v>10487279</v>
          </cell>
          <cell r="AG100">
            <v>10489731</v>
          </cell>
          <cell r="AI100">
            <v>9559641</v>
          </cell>
        </row>
        <row r="101">
          <cell r="I101">
            <v>4151207</v>
          </cell>
          <cell r="J101">
            <v>3978007</v>
          </cell>
          <cell r="K101">
            <v>3891739</v>
          </cell>
          <cell r="L101">
            <v>3863386</v>
          </cell>
          <cell r="M101">
            <v>3979013</v>
          </cell>
          <cell r="N101">
            <v>4071255</v>
          </cell>
          <cell r="O101">
            <v>4117396</v>
          </cell>
          <cell r="P101">
            <v>3724682</v>
          </cell>
          <cell r="Q101">
            <v>6330260</v>
          </cell>
          <cell r="R101">
            <v>6110202</v>
          </cell>
          <cell r="S101">
            <v>5256623</v>
          </cell>
          <cell r="T101">
            <v>7102821</v>
          </cell>
          <cell r="U101">
            <v>6376513</v>
          </cell>
          <cell r="V101">
            <v>6541735</v>
          </cell>
          <cell r="W101">
            <v>6638361</v>
          </cell>
          <cell r="X101">
            <v>5884601</v>
          </cell>
          <cell r="Y101">
            <v>6233359</v>
          </cell>
          <cell r="Z101">
            <v>5997528</v>
          </cell>
          <cell r="AA101">
            <v>6168659</v>
          </cell>
          <cell r="AB101">
            <v>5870957</v>
          </cell>
          <cell r="AC101">
            <v>6527278</v>
          </cell>
          <cell r="AD101">
            <v>6509088</v>
          </cell>
          <cell r="AE101">
            <v>5097299</v>
          </cell>
          <cell r="AF101">
            <v>6945850</v>
          </cell>
          <cell r="AG101">
            <v>6750680</v>
          </cell>
          <cell r="AI101">
            <v>3978007</v>
          </cell>
        </row>
        <row r="102">
          <cell r="I102">
            <v>20354843</v>
          </cell>
          <cell r="J102">
            <v>16224547</v>
          </cell>
          <cell r="K102">
            <v>16914078</v>
          </cell>
          <cell r="L102">
            <v>16524546</v>
          </cell>
          <cell r="M102">
            <v>15359324</v>
          </cell>
          <cell r="N102">
            <v>16269105</v>
          </cell>
          <cell r="O102">
            <v>16418724</v>
          </cell>
          <cell r="P102">
            <v>15034367</v>
          </cell>
          <cell r="Q102">
            <v>17510650</v>
          </cell>
          <cell r="R102">
            <v>16993375</v>
          </cell>
          <cell r="S102">
            <v>16471349</v>
          </cell>
          <cell r="T102">
            <v>19253684</v>
          </cell>
          <cell r="U102">
            <v>16798071</v>
          </cell>
          <cell r="V102">
            <v>17257706</v>
          </cell>
          <cell r="W102">
            <v>15850809</v>
          </cell>
          <cell r="X102">
            <v>14052406</v>
          </cell>
          <cell r="Y102">
            <v>15039012</v>
          </cell>
          <cell r="Z102">
            <v>13677784</v>
          </cell>
          <cell r="AA102">
            <v>16188783</v>
          </cell>
          <cell r="AB102">
            <v>14783300</v>
          </cell>
          <cell r="AC102">
            <v>16327357</v>
          </cell>
          <cell r="AD102">
            <v>18163253</v>
          </cell>
          <cell r="AE102">
            <v>17370901</v>
          </cell>
          <cell r="AF102">
            <v>16741621</v>
          </cell>
          <cell r="AG102">
            <v>16208876</v>
          </cell>
          <cell r="AI102">
            <v>16224547</v>
          </cell>
        </row>
        <row r="103">
          <cell r="I103">
            <v>3590286</v>
          </cell>
          <cell r="J103">
            <v>3381496</v>
          </cell>
          <cell r="K103">
            <v>3918879</v>
          </cell>
          <cell r="L103">
            <v>3680997</v>
          </cell>
          <cell r="M103">
            <v>3648293</v>
          </cell>
          <cell r="N103">
            <v>3139226</v>
          </cell>
          <cell r="O103">
            <v>4204532</v>
          </cell>
          <cell r="P103">
            <v>3667802</v>
          </cell>
          <cell r="Q103">
            <v>3966290</v>
          </cell>
          <cell r="R103">
            <v>4759110</v>
          </cell>
          <cell r="S103">
            <v>4370521</v>
          </cell>
          <cell r="T103">
            <v>4650055</v>
          </cell>
          <cell r="U103">
            <v>4182770</v>
          </cell>
          <cell r="V103">
            <v>4333287</v>
          </cell>
          <cell r="W103">
            <v>4423346</v>
          </cell>
          <cell r="X103">
            <v>3858845</v>
          </cell>
          <cell r="Y103">
            <v>4042319</v>
          </cell>
          <cell r="Z103">
            <v>3907258</v>
          </cell>
          <cell r="AA103">
            <v>4645614</v>
          </cell>
          <cell r="AB103">
            <v>3830289</v>
          </cell>
          <cell r="AC103">
            <v>4609763</v>
          </cell>
          <cell r="AD103">
            <v>4582156</v>
          </cell>
          <cell r="AE103">
            <v>5178567</v>
          </cell>
          <cell r="AF103">
            <v>4819719</v>
          </cell>
          <cell r="AG103">
            <v>4459134</v>
          </cell>
          <cell r="AI103">
            <v>3381496</v>
          </cell>
        </row>
        <row r="104">
          <cell r="I104">
            <v>22044135</v>
          </cell>
          <cell r="J104">
            <v>19560228</v>
          </cell>
          <cell r="K104">
            <v>20238958</v>
          </cell>
          <cell r="L104">
            <v>20325863</v>
          </cell>
          <cell r="M104">
            <v>19249020</v>
          </cell>
          <cell r="N104">
            <v>21617974</v>
          </cell>
          <cell r="O104">
            <v>21511647</v>
          </cell>
          <cell r="P104">
            <v>20602367</v>
          </cell>
          <cell r="Q104">
            <v>18539052</v>
          </cell>
          <cell r="R104">
            <v>21622404</v>
          </cell>
          <cell r="S104">
            <v>19881179</v>
          </cell>
          <cell r="T104">
            <v>20774822</v>
          </cell>
          <cell r="U104">
            <v>19666518</v>
          </cell>
          <cell r="V104">
            <v>19853481</v>
          </cell>
          <cell r="W104">
            <v>19917519</v>
          </cell>
          <cell r="X104">
            <v>18681830</v>
          </cell>
          <cell r="Y104">
            <v>17472039</v>
          </cell>
          <cell r="Z104">
            <v>19401260</v>
          </cell>
          <cell r="AA104">
            <v>19425811</v>
          </cell>
          <cell r="AB104">
            <v>19235099</v>
          </cell>
          <cell r="AC104">
            <v>19747869</v>
          </cell>
          <cell r="AD104">
            <v>20682652</v>
          </cell>
          <cell r="AE104">
            <v>19270390</v>
          </cell>
          <cell r="AF104">
            <v>18629672</v>
          </cell>
          <cell r="AG104">
            <v>18902100</v>
          </cell>
          <cell r="AI104">
            <v>19560228</v>
          </cell>
        </row>
        <row r="105">
          <cell r="I105">
            <v>15695354</v>
          </cell>
          <cell r="J105">
            <v>14480788</v>
          </cell>
          <cell r="K105">
            <v>14223041</v>
          </cell>
          <cell r="L105">
            <v>14369028</v>
          </cell>
          <cell r="M105">
            <v>14668420</v>
          </cell>
          <cell r="N105">
            <v>15383781</v>
          </cell>
          <cell r="O105">
            <v>13325023</v>
          </cell>
          <cell r="P105">
            <v>14518613</v>
          </cell>
          <cell r="Q105">
            <v>14140557</v>
          </cell>
          <cell r="R105">
            <v>14471428</v>
          </cell>
          <cell r="S105">
            <v>14844720</v>
          </cell>
          <cell r="T105">
            <v>16232184</v>
          </cell>
          <cell r="U105">
            <v>13565932</v>
          </cell>
          <cell r="V105">
            <v>14325256</v>
          </cell>
          <cell r="W105">
            <v>14935696</v>
          </cell>
          <cell r="X105">
            <v>12778338</v>
          </cell>
          <cell r="Y105">
            <v>13408550</v>
          </cell>
          <cell r="Z105">
            <v>13881086</v>
          </cell>
          <cell r="AA105">
            <v>13475351</v>
          </cell>
          <cell r="AB105">
            <v>13039843</v>
          </cell>
          <cell r="AC105">
            <v>13361453</v>
          </cell>
          <cell r="AD105">
            <v>14571068</v>
          </cell>
          <cell r="AE105">
            <v>12307807</v>
          </cell>
          <cell r="AF105">
            <v>14550820</v>
          </cell>
          <cell r="AG105">
            <v>11848749</v>
          </cell>
          <cell r="AI105">
            <v>14480788</v>
          </cell>
        </row>
        <row r="106">
          <cell r="I106">
            <v>21856062</v>
          </cell>
          <cell r="J106">
            <v>21930133</v>
          </cell>
          <cell r="K106">
            <v>19797388</v>
          </cell>
          <cell r="L106">
            <v>20735090</v>
          </cell>
          <cell r="M106">
            <v>22073181</v>
          </cell>
          <cell r="N106">
            <v>22816648</v>
          </cell>
          <cell r="O106">
            <v>23515101</v>
          </cell>
          <cell r="P106">
            <v>21728918</v>
          </cell>
          <cell r="Q106">
            <v>22978778</v>
          </cell>
          <cell r="R106">
            <v>26191259</v>
          </cell>
          <cell r="S106">
            <v>27891020</v>
          </cell>
          <cell r="T106">
            <v>26201750</v>
          </cell>
          <cell r="U106">
            <v>25604194</v>
          </cell>
          <cell r="V106">
            <v>25556988</v>
          </cell>
          <cell r="W106">
            <v>24465368</v>
          </cell>
          <cell r="X106">
            <v>23968906</v>
          </cell>
          <cell r="Y106">
            <v>24836340</v>
          </cell>
          <cell r="Z106">
            <v>24030034</v>
          </cell>
          <cell r="AA106">
            <v>26345831</v>
          </cell>
          <cell r="AB106">
            <v>22298251</v>
          </cell>
          <cell r="AC106">
            <v>23883943</v>
          </cell>
          <cell r="AD106">
            <v>26228579</v>
          </cell>
          <cell r="AE106">
            <v>24920141</v>
          </cell>
          <cell r="AF106">
            <v>22894067</v>
          </cell>
          <cell r="AG106">
            <v>22502483</v>
          </cell>
          <cell r="AI106">
            <v>21930133</v>
          </cell>
        </row>
        <row r="107">
          <cell r="I107">
            <v>21584704</v>
          </cell>
          <cell r="J107">
            <v>20196378</v>
          </cell>
          <cell r="K107">
            <v>20260751</v>
          </cell>
          <cell r="L107">
            <v>19298924</v>
          </cell>
          <cell r="M107">
            <v>18281790</v>
          </cell>
          <cell r="N107">
            <v>19778911</v>
          </cell>
          <cell r="O107">
            <v>18591678</v>
          </cell>
          <cell r="P107">
            <v>19145075</v>
          </cell>
          <cell r="Q107">
            <v>19632899</v>
          </cell>
          <cell r="R107">
            <v>21583027</v>
          </cell>
          <cell r="S107">
            <v>20893778</v>
          </cell>
          <cell r="T107">
            <v>21019619</v>
          </cell>
          <cell r="U107">
            <v>20269807</v>
          </cell>
          <cell r="V107">
            <v>20095838</v>
          </cell>
          <cell r="W107">
            <v>21791976</v>
          </cell>
          <cell r="X107">
            <v>19222246</v>
          </cell>
          <cell r="Y107">
            <v>19686956</v>
          </cell>
          <cell r="Z107">
            <v>19204584</v>
          </cell>
          <cell r="AA107">
            <v>19421011</v>
          </cell>
          <cell r="AB107">
            <v>20264359</v>
          </cell>
          <cell r="AC107">
            <v>19780329</v>
          </cell>
          <cell r="AD107">
            <v>22232015</v>
          </cell>
          <cell r="AE107">
            <v>21178535</v>
          </cell>
          <cell r="AF107">
            <v>21298183</v>
          </cell>
          <cell r="AG107">
            <v>19306489</v>
          </cell>
          <cell r="AI107">
            <v>20196378</v>
          </cell>
        </row>
        <row r="108">
          <cell r="I108">
            <v>17282747</v>
          </cell>
          <cell r="J108">
            <v>15558820</v>
          </cell>
          <cell r="K108">
            <v>16051240</v>
          </cell>
          <cell r="L108">
            <v>15596962</v>
          </cell>
          <cell r="M108">
            <v>15986736</v>
          </cell>
          <cell r="N108">
            <v>16548649</v>
          </cell>
          <cell r="O108">
            <v>15613923</v>
          </cell>
          <cell r="P108">
            <v>14447624</v>
          </cell>
          <cell r="Q108">
            <v>17384515</v>
          </cell>
          <cell r="R108">
            <v>15436703</v>
          </cell>
          <cell r="S108">
            <v>16128608</v>
          </cell>
          <cell r="T108">
            <v>15397810</v>
          </cell>
          <cell r="U108">
            <v>15264143</v>
          </cell>
          <cell r="V108">
            <v>15859544</v>
          </cell>
          <cell r="W108">
            <v>16018091</v>
          </cell>
          <cell r="X108">
            <v>14833091</v>
          </cell>
          <cell r="Y108">
            <v>14708477</v>
          </cell>
          <cell r="Z108">
            <v>14011490</v>
          </cell>
          <cell r="AA108">
            <v>15032111</v>
          </cell>
          <cell r="AB108">
            <v>14138119</v>
          </cell>
          <cell r="AC108">
            <v>14162950</v>
          </cell>
          <cell r="AD108">
            <v>16582493</v>
          </cell>
          <cell r="AE108">
            <v>16073289</v>
          </cell>
          <cell r="AF108">
            <v>15441424</v>
          </cell>
          <cell r="AG108">
            <v>15451052</v>
          </cell>
          <cell r="AI108">
            <v>15558820</v>
          </cell>
        </row>
        <row r="109">
          <cell r="I109">
            <v>16150038</v>
          </cell>
          <cell r="J109">
            <v>17043901</v>
          </cell>
          <cell r="K109">
            <v>16010141</v>
          </cell>
          <cell r="L109">
            <v>17942372</v>
          </cell>
          <cell r="M109">
            <v>15889032</v>
          </cell>
          <cell r="N109">
            <v>15309989</v>
          </cell>
          <cell r="O109">
            <v>17803062</v>
          </cell>
          <cell r="P109">
            <v>15945174</v>
          </cell>
          <cell r="Q109">
            <v>16936052</v>
          </cell>
          <cell r="R109">
            <v>18104768</v>
          </cell>
          <cell r="S109">
            <v>16326629</v>
          </cell>
          <cell r="T109">
            <v>16179032</v>
          </cell>
          <cell r="U109">
            <v>18229379</v>
          </cell>
          <cell r="V109">
            <v>16290769</v>
          </cell>
          <cell r="W109">
            <v>15854723</v>
          </cell>
          <cell r="X109">
            <v>17354584</v>
          </cell>
          <cell r="Y109">
            <v>17460321</v>
          </cell>
          <cell r="Z109">
            <v>12635760</v>
          </cell>
          <cell r="AA109">
            <v>15099454</v>
          </cell>
          <cell r="AB109">
            <v>16076974</v>
          </cell>
          <cell r="AC109">
            <v>16773173</v>
          </cell>
          <cell r="AD109">
            <v>16128830</v>
          </cell>
          <cell r="AE109">
            <v>14293082</v>
          </cell>
          <cell r="AF109">
            <v>13463146</v>
          </cell>
          <cell r="AG109">
            <v>13543053</v>
          </cell>
          <cell r="AI109">
            <v>17043901</v>
          </cell>
        </row>
        <row r="110">
          <cell r="I110">
            <v>90418380</v>
          </cell>
          <cell r="J110">
            <v>24674504</v>
          </cell>
          <cell r="K110">
            <v>58687257</v>
          </cell>
          <cell r="L110">
            <v>73930800</v>
          </cell>
          <cell r="M110">
            <v>49040089</v>
          </cell>
          <cell r="N110">
            <v>59858927</v>
          </cell>
          <cell r="O110">
            <v>63555720</v>
          </cell>
          <cell r="P110">
            <v>49600294</v>
          </cell>
          <cell r="Q110">
            <v>60465479</v>
          </cell>
          <cell r="R110">
            <v>59012761</v>
          </cell>
          <cell r="S110">
            <v>59248827</v>
          </cell>
          <cell r="T110">
            <v>62052857</v>
          </cell>
          <cell r="U110">
            <v>61790296</v>
          </cell>
          <cell r="V110">
            <v>56809222</v>
          </cell>
          <cell r="W110">
            <v>60479755</v>
          </cell>
          <cell r="X110">
            <v>58660799</v>
          </cell>
          <cell r="Y110">
            <v>55799767</v>
          </cell>
          <cell r="Z110">
            <v>62349523</v>
          </cell>
          <cell r="AA110">
            <v>57410373</v>
          </cell>
          <cell r="AB110">
            <v>59994545</v>
          </cell>
          <cell r="AC110">
            <v>67558668</v>
          </cell>
          <cell r="AD110">
            <v>48323715</v>
          </cell>
          <cell r="AE110">
            <v>56376595</v>
          </cell>
          <cell r="AF110">
            <v>67592302</v>
          </cell>
          <cell r="AG110">
            <v>48504495</v>
          </cell>
          <cell r="AI110">
            <v>24674504</v>
          </cell>
        </row>
        <row r="112">
          <cell r="I112">
            <v>2542301</v>
          </cell>
          <cell r="J112">
            <v>2229705</v>
          </cell>
          <cell r="K112">
            <v>2593165</v>
          </cell>
          <cell r="L112">
            <v>2602188</v>
          </cell>
          <cell r="M112">
            <v>2450693</v>
          </cell>
          <cell r="N112">
            <v>2686341</v>
          </cell>
          <cell r="O112">
            <v>2693346</v>
          </cell>
          <cell r="P112">
            <v>2506345</v>
          </cell>
          <cell r="Q112">
            <v>2323628</v>
          </cell>
          <cell r="R112">
            <v>2238860</v>
          </cell>
          <cell r="S112">
            <v>2370260</v>
          </cell>
          <cell r="T112">
            <v>2232856</v>
          </cell>
          <cell r="U112">
            <v>2298807</v>
          </cell>
          <cell r="V112">
            <v>2460061</v>
          </cell>
          <cell r="W112">
            <v>2398368</v>
          </cell>
          <cell r="X112">
            <v>2507317</v>
          </cell>
          <cell r="Y112">
            <v>2023072</v>
          </cell>
          <cell r="Z112">
            <v>2330949</v>
          </cell>
          <cell r="AA112">
            <v>2223011</v>
          </cell>
          <cell r="AB112">
            <v>2152188</v>
          </cell>
          <cell r="AC112">
            <v>2024185</v>
          </cell>
          <cell r="AD112">
            <v>1967667</v>
          </cell>
          <cell r="AE112">
            <v>1970107</v>
          </cell>
          <cell r="AF112">
            <v>1985811</v>
          </cell>
          <cell r="AG112">
            <v>1791903</v>
          </cell>
          <cell r="AI112">
            <v>2229705</v>
          </cell>
        </row>
        <row r="113">
          <cell r="I113">
            <v>3140</v>
          </cell>
          <cell r="J113">
            <v>4021</v>
          </cell>
          <cell r="K113">
            <v>6440</v>
          </cell>
          <cell r="L113">
            <v>8091</v>
          </cell>
          <cell r="M113">
            <v>7256</v>
          </cell>
          <cell r="N113">
            <v>9507</v>
          </cell>
          <cell r="O113">
            <v>4394</v>
          </cell>
          <cell r="P113">
            <v>4802</v>
          </cell>
          <cell r="Q113">
            <v>3811</v>
          </cell>
          <cell r="R113">
            <v>3572</v>
          </cell>
          <cell r="S113">
            <v>3865</v>
          </cell>
          <cell r="T113">
            <v>3222</v>
          </cell>
          <cell r="U113">
            <v>3075</v>
          </cell>
          <cell r="V113">
            <v>4665</v>
          </cell>
          <cell r="W113">
            <v>211967</v>
          </cell>
          <cell r="X113">
            <v>241300</v>
          </cell>
          <cell r="Y113">
            <v>248283</v>
          </cell>
          <cell r="Z113">
            <v>236369</v>
          </cell>
          <cell r="AA113">
            <v>245171</v>
          </cell>
          <cell r="AB113">
            <v>282716</v>
          </cell>
          <cell r="AC113">
            <v>276481</v>
          </cell>
          <cell r="AD113">
            <v>258701</v>
          </cell>
          <cell r="AE113">
            <v>264506</v>
          </cell>
          <cell r="AF113">
            <v>282947</v>
          </cell>
          <cell r="AG113">
            <v>269993</v>
          </cell>
          <cell r="AI113">
            <v>4021</v>
          </cell>
        </row>
        <row r="114">
          <cell r="I114">
            <v>2263922</v>
          </cell>
          <cell r="J114">
            <v>2146490</v>
          </cell>
          <cell r="K114">
            <v>2506245</v>
          </cell>
          <cell r="L114">
            <v>2520669</v>
          </cell>
          <cell r="M114">
            <v>2197609</v>
          </cell>
          <cell r="N114">
            <v>2255681</v>
          </cell>
          <cell r="O114">
            <v>2213856</v>
          </cell>
          <cell r="P114">
            <v>2092031</v>
          </cell>
          <cell r="Q114">
            <v>2242525</v>
          </cell>
          <cell r="R114">
            <v>2017670</v>
          </cell>
          <cell r="S114">
            <v>1812703</v>
          </cell>
          <cell r="T114">
            <v>2111872</v>
          </cell>
          <cell r="U114">
            <v>1959879</v>
          </cell>
          <cell r="V114">
            <v>2855144</v>
          </cell>
          <cell r="W114">
            <v>2258176</v>
          </cell>
          <cell r="X114">
            <v>2372620</v>
          </cell>
          <cell r="Y114">
            <v>2394495</v>
          </cell>
          <cell r="Z114">
            <v>2267023</v>
          </cell>
          <cell r="AA114">
            <v>2169477</v>
          </cell>
          <cell r="AB114">
            <v>1997748</v>
          </cell>
          <cell r="AC114">
            <v>1858383</v>
          </cell>
          <cell r="AD114">
            <v>1840742</v>
          </cell>
          <cell r="AE114">
            <v>1899817</v>
          </cell>
          <cell r="AF114">
            <v>1760199</v>
          </cell>
          <cell r="AG114">
            <v>1890250</v>
          </cell>
          <cell r="AI114">
            <v>2146490</v>
          </cell>
        </row>
        <row r="115">
          <cell r="I115">
            <v>530178</v>
          </cell>
          <cell r="J115">
            <v>521000</v>
          </cell>
          <cell r="K115">
            <v>579400</v>
          </cell>
          <cell r="L115">
            <v>528200</v>
          </cell>
          <cell r="M115">
            <v>548600</v>
          </cell>
          <cell r="N115">
            <v>615800</v>
          </cell>
          <cell r="O115">
            <v>551800</v>
          </cell>
          <cell r="P115">
            <v>507800</v>
          </cell>
          <cell r="Q115">
            <v>558800</v>
          </cell>
          <cell r="R115">
            <v>558200</v>
          </cell>
          <cell r="S115">
            <v>409200</v>
          </cell>
          <cell r="T115">
            <v>552800</v>
          </cell>
          <cell r="U115">
            <v>423600</v>
          </cell>
          <cell r="V115">
            <v>539000</v>
          </cell>
          <cell r="W115">
            <v>883945</v>
          </cell>
          <cell r="X115">
            <v>840469</v>
          </cell>
          <cell r="Y115">
            <v>980749</v>
          </cell>
          <cell r="Z115">
            <v>1024709</v>
          </cell>
          <cell r="AA115">
            <v>899899</v>
          </cell>
          <cell r="AB115">
            <v>836984</v>
          </cell>
          <cell r="AC115">
            <v>823192</v>
          </cell>
          <cell r="AD115">
            <v>822209</v>
          </cell>
          <cell r="AE115">
            <v>902303</v>
          </cell>
          <cell r="AF115">
            <v>875170</v>
          </cell>
          <cell r="AG115">
            <v>1538620</v>
          </cell>
          <cell r="AI115">
            <v>521000</v>
          </cell>
        </row>
        <row r="116">
          <cell r="I116">
            <v>6721905</v>
          </cell>
          <cell r="J116">
            <v>6856938</v>
          </cell>
          <cell r="K116">
            <v>6987922</v>
          </cell>
          <cell r="L116">
            <v>7176359</v>
          </cell>
          <cell r="M116">
            <v>6747192</v>
          </cell>
          <cell r="N116">
            <v>6929743</v>
          </cell>
          <cell r="O116">
            <v>7376029</v>
          </cell>
          <cell r="P116">
            <v>6518186</v>
          </cell>
          <cell r="Q116">
            <v>5629976</v>
          </cell>
          <cell r="R116">
            <v>5537091</v>
          </cell>
          <cell r="S116">
            <v>5028373</v>
          </cell>
          <cell r="T116">
            <v>1263233</v>
          </cell>
          <cell r="U116">
            <v>1345827</v>
          </cell>
          <cell r="V116">
            <v>1342348</v>
          </cell>
          <cell r="W116">
            <v>1435618</v>
          </cell>
          <cell r="X116">
            <v>1488026</v>
          </cell>
          <cell r="Y116">
            <v>1752142</v>
          </cell>
          <cell r="Z116">
            <v>1749168</v>
          </cell>
          <cell r="AA116">
            <v>1704172</v>
          </cell>
          <cell r="AB116">
            <v>1540360</v>
          </cell>
          <cell r="AC116">
            <v>1485152</v>
          </cell>
          <cell r="AD116">
            <v>1362133</v>
          </cell>
          <cell r="AE116">
            <v>1506128</v>
          </cell>
          <cell r="AF116">
            <v>1369304</v>
          </cell>
          <cell r="AG116">
            <v>1548116</v>
          </cell>
          <cell r="AI116">
            <v>6856938</v>
          </cell>
        </row>
        <row r="117">
          <cell r="I117">
            <v>6322891</v>
          </cell>
          <cell r="J117">
            <v>6860995</v>
          </cell>
          <cell r="K117">
            <v>7544975</v>
          </cell>
          <cell r="L117">
            <v>7539743</v>
          </cell>
          <cell r="M117">
            <v>8350788</v>
          </cell>
          <cell r="N117">
            <v>6010773</v>
          </cell>
          <cell r="O117">
            <v>7687505</v>
          </cell>
          <cell r="P117">
            <v>6612872</v>
          </cell>
          <cell r="Q117">
            <v>6232669</v>
          </cell>
          <cell r="R117">
            <v>6391373</v>
          </cell>
          <cell r="S117">
            <v>6072188</v>
          </cell>
          <cell r="T117">
            <v>5152175</v>
          </cell>
          <cell r="U117">
            <v>5894154</v>
          </cell>
          <cell r="V117">
            <v>5829164</v>
          </cell>
          <cell r="W117">
            <v>5823734</v>
          </cell>
          <cell r="X117">
            <v>3662139</v>
          </cell>
          <cell r="Y117">
            <v>6417399</v>
          </cell>
          <cell r="Z117">
            <v>5333716</v>
          </cell>
          <cell r="AA117">
            <v>5421721</v>
          </cell>
          <cell r="AB117">
            <v>5850269</v>
          </cell>
          <cell r="AC117">
            <v>5160123</v>
          </cell>
          <cell r="AD117">
            <v>4905229</v>
          </cell>
          <cell r="AE117">
            <v>5407980</v>
          </cell>
          <cell r="AF117">
            <v>3630781</v>
          </cell>
          <cell r="AG117">
            <v>6151242</v>
          </cell>
          <cell r="AI117">
            <v>6860995</v>
          </cell>
        </row>
        <row r="118">
          <cell r="I118">
            <v>293303</v>
          </cell>
          <cell r="J118">
            <v>322505</v>
          </cell>
          <cell r="K118">
            <v>377357</v>
          </cell>
          <cell r="L118">
            <v>404746</v>
          </cell>
          <cell r="M118">
            <v>406355</v>
          </cell>
          <cell r="N118">
            <v>448233</v>
          </cell>
          <cell r="O118">
            <v>230371</v>
          </cell>
          <cell r="P118">
            <v>189657</v>
          </cell>
          <cell r="Q118">
            <v>159658</v>
          </cell>
          <cell r="R118">
            <v>188091</v>
          </cell>
          <cell r="S118">
            <v>188352</v>
          </cell>
          <cell r="T118">
            <v>218335</v>
          </cell>
          <cell r="U118">
            <v>215820</v>
          </cell>
          <cell r="V118">
            <v>220765</v>
          </cell>
          <cell r="W118">
            <v>174866</v>
          </cell>
          <cell r="X118">
            <v>151459</v>
          </cell>
          <cell r="Y118">
            <v>94962</v>
          </cell>
          <cell r="Z118">
            <v>195944</v>
          </cell>
          <cell r="AA118">
            <v>117229</v>
          </cell>
          <cell r="AB118">
            <v>111239</v>
          </cell>
          <cell r="AC118">
            <v>108068</v>
          </cell>
          <cell r="AD118">
            <v>105251</v>
          </cell>
          <cell r="AE118">
            <v>135299</v>
          </cell>
          <cell r="AF118">
            <v>162341</v>
          </cell>
          <cell r="AG118">
            <v>166084</v>
          </cell>
          <cell r="AI118">
            <v>322505</v>
          </cell>
        </row>
        <row r="119">
          <cell r="I119">
            <v>3168848</v>
          </cell>
          <cell r="J119">
            <v>3639620</v>
          </cell>
          <cell r="K119">
            <v>3364394</v>
          </cell>
          <cell r="L119">
            <v>3495381</v>
          </cell>
          <cell r="M119">
            <v>3512129</v>
          </cell>
          <cell r="N119">
            <v>3215562</v>
          </cell>
          <cell r="O119">
            <v>2986763</v>
          </cell>
          <cell r="P119">
            <v>2865984</v>
          </cell>
          <cell r="Q119">
            <v>2052083</v>
          </cell>
          <cell r="R119">
            <v>2191292</v>
          </cell>
          <cell r="S119">
            <v>2465633</v>
          </cell>
          <cell r="T119">
            <v>5442145</v>
          </cell>
          <cell r="U119">
            <v>7359808</v>
          </cell>
          <cell r="V119">
            <v>5353896</v>
          </cell>
          <cell r="W119">
            <v>2903838</v>
          </cell>
          <cell r="X119">
            <v>2377679</v>
          </cell>
          <cell r="Y119">
            <v>2498730</v>
          </cell>
          <cell r="Z119">
            <v>2724980</v>
          </cell>
          <cell r="AA119">
            <v>2534203</v>
          </cell>
          <cell r="AB119">
            <v>2487164</v>
          </cell>
          <cell r="AC119">
            <v>2429094</v>
          </cell>
          <cell r="AD119">
            <v>2425994</v>
          </cell>
          <cell r="AE119">
            <v>2464670</v>
          </cell>
          <cell r="AF119">
            <v>1180302</v>
          </cell>
          <cell r="AG119">
            <v>2068226</v>
          </cell>
          <cell r="AI119">
            <v>3639620</v>
          </cell>
        </row>
        <row r="120">
          <cell r="I120">
            <v>275654</v>
          </cell>
          <cell r="J120">
            <v>280099</v>
          </cell>
          <cell r="K120">
            <v>319486</v>
          </cell>
          <cell r="L120">
            <v>351290</v>
          </cell>
          <cell r="M120">
            <v>385940</v>
          </cell>
          <cell r="N120">
            <v>383423</v>
          </cell>
          <cell r="O120">
            <v>363249</v>
          </cell>
          <cell r="P120">
            <v>286975</v>
          </cell>
          <cell r="Q120">
            <v>287088</v>
          </cell>
          <cell r="R120">
            <v>288034</v>
          </cell>
          <cell r="S120">
            <v>309357</v>
          </cell>
          <cell r="T120">
            <v>786338</v>
          </cell>
          <cell r="U120">
            <v>1094445</v>
          </cell>
          <cell r="V120">
            <v>775039</v>
          </cell>
          <cell r="W120">
            <v>533911</v>
          </cell>
          <cell r="X120">
            <v>797372</v>
          </cell>
          <cell r="Y120">
            <v>1023212</v>
          </cell>
          <cell r="Z120">
            <v>1088323</v>
          </cell>
          <cell r="AA120">
            <v>833460</v>
          </cell>
          <cell r="AB120">
            <v>742657</v>
          </cell>
          <cell r="AC120">
            <v>796163</v>
          </cell>
          <cell r="AD120">
            <v>711610</v>
          </cell>
          <cell r="AE120">
            <v>733975</v>
          </cell>
          <cell r="AF120">
            <v>911070</v>
          </cell>
          <cell r="AG120">
            <v>930471</v>
          </cell>
          <cell r="AI120">
            <v>280099</v>
          </cell>
        </row>
        <row r="121">
          <cell r="I121">
            <v>1302183</v>
          </cell>
          <cell r="J121">
            <v>1379642</v>
          </cell>
          <cell r="K121">
            <v>1452952</v>
          </cell>
          <cell r="L121">
            <v>1502289</v>
          </cell>
          <cell r="M121">
            <v>1490630</v>
          </cell>
          <cell r="N121">
            <v>1487802</v>
          </cell>
          <cell r="O121">
            <v>1390257</v>
          </cell>
          <cell r="P121">
            <v>1008298</v>
          </cell>
          <cell r="Q121">
            <v>1079247</v>
          </cell>
          <cell r="R121">
            <v>890037</v>
          </cell>
          <cell r="S121">
            <v>1205833</v>
          </cell>
          <cell r="T121">
            <v>971298</v>
          </cell>
          <cell r="U121">
            <v>1141211</v>
          </cell>
          <cell r="V121">
            <v>1344532</v>
          </cell>
          <cell r="W121">
            <v>1526287</v>
          </cell>
          <cell r="X121">
            <v>1572724</v>
          </cell>
          <cell r="Y121">
            <v>1520612</v>
          </cell>
          <cell r="Z121">
            <v>1753708</v>
          </cell>
          <cell r="AA121">
            <v>1696027</v>
          </cell>
          <cell r="AB121">
            <v>1550585</v>
          </cell>
          <cell r="AC121">
            <v>1278856</v>
          </cell>
          <cell r="AD121">
            <v>1403363</v>
          </cell>
          <cell r="AE121">
            <v>1386447</v>
          </cell>
          <cell r="AF121">
            <v>1329703</v>
          </cell>
          <cell r="AG121">
            <v>1328668</v>
          </cell>
          <cell r="AI121">
            <v>1379642</v>
          </cell>
        </row>
        <row r="122">
          <cell r="I122">
            <v>1884542</v>
          </cell>
          <cell r="J122">
            <v>1909867</v>
          </cell>
          <cell r="K122">
            <v>1819612</v>
          </cell>
          <cell r="L122">
            <v>2128272</v>
          </cell>
          <cell r="M122">
            <v>1676495</v>
          </cell>
          <cell r="N122">
            <v>1778704</v>
          </cell>
          <cell r="O122">
            <v>1654389</v>
          </cell>
          <cell r="P122">
            <v>1740177</v>
          </cell>
          <cell r="Q122">
            <v>1706420</v>
          </cell>
          <cell r="R122">
            <v>1818289</v>
          </cell>
          <cell r="S122">
            <v>1668187</v>
          </cell>
          <cell r="T122">
            <v>1715522</v>
          </cell>
          <cell r="U122">
            <v>1849074</v>
          </cell>
          <cell r="V122">
            <v>1147472</v>
          </cell>
          <cell r="W122">
            <v>240354</v>
          </cell>
          <cell r="X122">
            <v>296978</v>
          </cell>
          <cell r="Y122">
            <v>295372</v>
          </cell>
          <cell r="Z122">
            <v>341350</v>
          </cell>
          <cell r="AA122">
            <v>319787</v>
          </cell>
          <cell r="AB122">
            <v>332401</v>
          </cell>
          <cell r="AC122">
            <v>373280</v>
          </cell>
          <cell r="AD122">
            <v>472546</v>
          </cell>
          <cell r="AE122">
            <v>419014</v>
          </cell>
          <cell r="AF122">
            <v>431747</v>
          </cell>
          <cell r="AG122">
            <v>439388</v>
          </cell>
          <cell r="AI122">
            <v>1909867</v>
          </cell>
        </row>
        <row r="123">
          <cell r="I123">
            <v>3306995</v>
          </cell>
          <cell r="J123">
            <v>3648878</v>
          </cell>
          <cell r="K123">
            <v>3667273</v>
          </cell>
          <cell r="L123">
            <v>3499380</v>
          </cell>
          <cell r="M123">
            <v>3694775</v>
          </cell>
          <cell r="N123">
            <v>4694199</v>
          </cell>
          <cell r="O123">
            <v>2599279</v>
          </cell>
          <cell r="P123">
            <v>2576821</v>
          </cell>
          <cell r="Q123">
            <v>2191031</v>
          </cell>
          <cell r="R123">
            <v>2197654</v>
          </cell>
          <cell r="S123">
            <v>2041553</v>
          </cell>
          <cell r="T123">
            <v>1528516</v>
          </cell>
          <cell r="U123">
            <v>1767246</v>
          </cell>
          <cell r="V123">
            <v>1880620</v>
          </cell>
          <cell r="W123">
            <v>2459442</v>
          </cell>
          <cell r="X123">
            <v>2539113</v>
          </cell>
          <cell r="Y123">
            <v>2911173</v>
          </cell>
          <cell r="Z123">
            <v>3140628</v>
          </cell>
          <cell r="AA123">
            <v>2888202</v>
          </cell>
          <cell r="AB123">
            <v>2194030</v>
          </cell>
          <cell r="AC123">
            <v>1980476</v>
          </cell>
          <cell r="AD123">
            <v>2315939</v>
          </cell>
          <cell r="AE123">
            <v>2144621</v>
          </cell>
          <cell r="AF123">
            <v>2023710</v>
          </cell>
          <cell r="AG123">
            <v>2976275</v>
          </cell>
          <cell r="AI123">
            <v>3648878</v>
          </cell>
        </row>
        <row r="124">
          <cell r="I124">
            <v>94390</v>
          </cell>
          <cell r="J124">
            <v>71122</v>
          </cell>
          <cell r="K124">
            <v>115792</v>
          </cell>
          <cell r="L124">
            <v>48384</v>
          </cell>
          <cell r="M124">
            <v>29258</v>
          </cell>
          <cell r="N124">
            <v>28714</v>
          </cell>
          <cell r="O124">
            <v>71522</v>
          </cell>
          <cell r="P124">
            <v>66905</v>
          </cell>
          <cell r="Q124">
            <v>63667</v>
          </cell>
          <cell r="R124">
            <v>74041</v>
          </cell>
          <cell r="S124">
            <v>76911</v>
          </cell>
          <cell r="T124">
            <v>80593</v>
          </cell>
          <cell r="U124">
            <v>90785</v>
          </cell>
          <cell r="V124">
            <v>80705</v>
          </cell>
          <cell r="W124">
            <v>5979326</v>
          </cell>
          <cell r="X124">
            <v>4993646</v>
          </cell>
          <cell r="Y124">
            <v>5532134</v>
          </cell>
          <cell r="Z124">
            <v>5640755</v>
          </cell>
          <cell r="AA124">
            <v>5385948</v>
          </cell>
          <cell r="AB124">
            <v>4918336</v>
          </cell>
          <cell r="AC124">
            <v>4508825</v>
          </cell>
          <cell r="AD124">
            <v>4047306</v>
          </cell>
          <cell r="AE124">
            <v>4319925</v>
          </cell>
          <cell r="AF124">
            <v>4255538</v>
          </cell>
          <cell r="AG124">
            <v>4311447</v>
          </cell>
          <cell r="AI124">
            <v>71122</v>
          </cell>
        </row>
        <row r="125">
          <cell r="I125">
            <v>6198117</v>
          </cell>
          <cell r="J125">
            <v>5664220</v>
          </cell>
          <cell r="K125">
            <v>5907339</v>
          </cell>
          <cell r="L125">
            <v>6391210</v>
          </cell>
          <cell r="M125">
            <v>5992204</v>
          </cell>
          <cell r="N125">
            <v>6960970</v>
          </cell>
          <cell r="O125">
            <v>6195852</v>
          </cell>
          <cell r="P125">
            <v>4968386</v>
          </cell>
          <cell r="Q125">
            <v>4991722</v>
          </cell>
          <cell r="R125">
            <v>5527974</v>
          </cell>
          <cell r="S125">
            <v>4923070</v>
          </cell>
          <cell r="T125">
            <v>364632</v>
          </cell>
          <cell r="U125">
            <v>415215</v>
          </cell>
          <cell r="V125">
            <v>527099</v>
          </cell>
          <cell r="W125">
            <v>74962</v>
          </cell>
          <cell r="X125">
            <v>75641</v>
          </cell>
          <cell r="Y125">
            <v>67683</v>
          </cell>
          <cell r="Z125">
            <v>55992</v>
          </cell>
          <cell r="AA125">
            <v>81569</v>
          </cell>
          <cell r="AB125">
            <v>93455</v>
          </cell>
          <cell r="AC125">
            <v>110049</v>
          </cell>
          <cell r="AD125">
            <v>92532</v>
          </cell>
          <cell r="AE125">
            <v>108402</v>
          </cell>
          <cell r="AF125">
            <v>101132</v>
          </cell>
          <cell r="AG125">
            <v>31163</v>
          </cell>
          <cell r="AI125">
            <v>5664220</v>
          </cell>
        </row>
        <row r="126">
          <cell r="I126">
            <v>317894</v>
          </cell>
          <cell r="J126">
            <v>373115</v>
          </cell>
          <cell r="K126">
            <v>296502</v>
          </cell>
          <cell r="L126">
            <v>217702</v>
          </cell>
          <cell r="M126">
            <v>220321</v>
          </cell>
          <cell r="N126">
            <v>148230</v>
          </cell>
          <cell r="O126">
            <v>309423</v>
          </cell>
          <cell r="P126">
            <v>341083</v>
          </cell>
          <cell r="Q126">
            <v>367715</v>
          </cell>
          <cell r="R126">
            <v>367667</v>
          </cell>
          <cell r="S126">
            <v>451108</v>
          </cell>
          <cell r="T126">
            <v>5221190</v>
          </cell>
          <cell r="U126">
            <v>5936135</v>
          </cell>
          <cell r="V126">
            <v>6059595</v>
          </cell>
          <cell r="W126">
            <v>543480</v>
          </cell>
          <cell r="X126">
            <v>452737</v>
          </cell>
          <cell r="Y126">
            <v>710353</v>
          </cell>
          <cell r="Z126">
            <v>1124271</v>
          </cell>
          <cell r="AA126">
            <v>1821056</v>
          </cell>
          <cell r="AB126">
            <v>1967944</v>
          </cell>
          <cell r="AC126">
            <v>1992587</v>
          </cell>
          <cell r="AD126">
            <v>2137568</v>
          </cell>
          <cell r="AE126">
            <v>1534540</v>
          </cell>
          <cell r="AF126">
            <v>812973</v>
          </cell>
          <cell r="AG126">
            <v>1189330</v>
          </cell>
          <cell r="AI126">
            <v>373115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9600</v>
          </cell>
          <cell r="P127">
            <v>57600</v>
          </cell>
          <cell r="Q127">
            <v>41280</v>
          </cell>
          <cell r="R127">
            <v>50880</v>
          </cell>
          <cell r="S127">
            <v>46080</v>
          </cell>
          <cell r="T127">
            <v>40325</v>
          </cell>
          <cell r="U127">
            <v>55755</v>
          </cell>
          <cell r="V127">
            <v>61444</v>
          </cell>
          <cell r="W127">
            <v>4230675</v>
          </cell>
          <cell r="X127">
            <v>4222181</v>
          </cell>
          <cell r="Y127">
            <v>3859260</v>
          </cell>
          <cell r="Z127">
            <v>4493648</v>
          </cell>
          <cell r="AA127">
            <v>3672729</v>
          </cell>
          <cell r="AB127">
            <v>3473985</v>
          </cell>
          <cell r="AC127">
            <v>3964823</v>
          </cell>
          <cell r="AD127">
            <v>3650278</v>
          </cell>
          <cell r="AE127">
            <v>3663335</v>
          </cell>
          <cell r="AF127">
            <v>6604632</v>
          </cell>
          <cell r="AG127">
            <v>274450</v>
          </cell>
          <cell r="AI127">
            <v>0</v>
          </cell>
        </row>
        <row r="128">
          <cell r="I128">
            <v>839440</v>
          </cell>
          <cell r="J128">
            <v>759151</v>
          </cell>
          <cell r="K128">
            <v>915482</v>
          </cell>
          <cell r="L128">
            <v>1088196</v>
          </cell>
          <cell r="M128">
            <v>1011191</v>
          </cell>
          <cell r="N128">
            <v>1051764</v>
          </cell>
          <cell r="O128">
            <v>1119664</v>
          </cell>
          <cell r="P128">
            <v>1014672</v>
          </cell>
          <cell r="Q128">
            <v>893681</v>
          </cell>
          <cell r="R128">
            <v>945609</v>
          </cell>
          <cell r="S128">
            <v>959230</v>
          </cell>
          <cell r="T128">
            <v>985694</v>
          </cell>
          <cell r="U128">
            <v>916755</v>
          </cell>
          <cell r="V128">
            <v>885938</v>
          </cell>
          <cell r="W128">
            <v>2182201</v>
          </cell>
          <cell r="X128">
            <v>2027640</v>
          </cell>
          <cell r="Y128">
            <v>1809535</v>
          </cell>
          <cell r="Z128">
            <v>1997935</v>
          </cell>
          <cell r="AA128">
            <v>2098009</v>
          </cell>
          <cell r="AB128">
            <v>1504386</v>
          </cell>
          <cell r="AC128">
            <v>1528563</v>
          </cell>
          <cell r="AD128">
            <v>1597090</v>
          </cell>
          <cell r="AE128">
            <v>1432161</v>
          </cell>
          <cell r="AF128">
            <v>1322944</v>
          </cell>
          <cell r="AG128">
            <v>1456409</v>
          </cell>
          <cell r="AI128">
            <v>759151</v>
          </cell>
        </row>
        <row r="129">
          <cell r="I129">
            <v>764203</v>
          </cell>
          <cell r="J129">
            <v>696676</v>
          </cell>
          <cell r="K129">
            <v>749224</v>
          </cell>
          <cell r="L129">
            <v>666924</v>
          </cell>
          <cell r="M129">
            <v>618981</v>
          </cell>
          <cell r="N129">
            <v>508489</v>
          </cell>
          <cell r="O129">
            <v>708831</v>
          </cell>
          <cell r="P129">
            <v>586678</v>
          </cell>
          <cell r="Q129">
            <v>593151</v>
          </cell>
          <cell r="R129">
            <v>596384</v>
          </cell>
          <cell r="S129">
            <v>680620</v>
          </cell>
          <cell r="T129">
            <v>736640</v>
          </cell>
          <cell r="U129">
            <v>699030</v>
          </cell>
          <cell r="V129">
            <v>647935</v>
          </cell>
          <cell r="W129">
            <v>827681</v>
          </cell>
          <cell r="X129">
            <v>757735</v>
          </cell>
          <cell r="Y129">
            <v>676869</v>
          </cell>
          <cell r="Z129">
            <v>619822</v>
          </cell>
          <cell r="AA129">
            <v>780901</v>
          </cell>
          <cell r="AB129">
            <v>704177</v>
          </cell>
          <cell r="AC129">
            <v>646224</v>
          </cell>
          <cell r="AD129">
            <v>712088</v>
          </cell>
          <cell r="AE129">
            <v>644615</v>
          </cell>
          <cell r="AF129">
            <v>621494</v>
          </cell>
          <cell r="AG129">
            <v>696110</v>
          </cell>
          <cell r="AI129">
            <v>696676</v>
          </cell>
        </row>
        <row r="130">
          <cell r="I130">
            <v>4954646</v>
          </cell>
          <cell r="J130">
            <v>5022002</v>
          </cell>
          <cell r="K130">
            <v>4648411</v>
          </cell>
          <cell r="L130">
            <v>6249089</v>
          </cell>
          <cell r="M130">
            <v>5172569</v>
          </cell>
          <cell r="N130">
            <v>5133459</v>
          </cell>
          <cell r="O130">
            <v>5407416</v>
          </cell>
          <cell r="P130">
            <v>4581293</v>
          </cell>
          <cell r="Q130">
            <v>4067853</v>
          </cell>
          <cell r="R130">
            <v>4295767</v>
          </cell>
          <cell r="S130">
            <v>4523975</v>
          </cell>
          <cell r="T130">
            <v>3793540</v>
          </cell>
          <cell r="U130">
            <v>3969915</v>
          </cell>
          <cell r="V130">
            <v>3611630</v>
          </cell>
          <cell r="W130">
            <v>5492141</v>
          </cell>
          <cell r="X130">
            <v>5883869</v>
          </cell>
          <cell r="Y130">
            <v>6050493</v>
          </cell>
          <cell r="Z130">
            <v>7117629</v>
          </cell>
          <cell r="AA130">
            <v>5589245</v>
          </cell>
          <cell r="AB130">
            <v>5507688</v>
          </cell>
          <cell r="AC130">
            <v>5536590</v>
          </cell>
          <cell r="AD130">
            <v>4834037</v>
          </cell>
          <cell r="AE130">
            <v>4546614</v>
          </cell>
          <cell r="AF130">
            <v>4384091</v>
          </cell>
          <cell r="AG130">
            <v>4563216</v>
          </cell>
          <cell r="AI130">
            <v>5022002</v>
          </cell>
        </row>
        <row r="131">
          <cell r="I131">
            <v>4112140</v>
          </cell>
          <cell r="J131">
            <v>3996739</v>
          </cell>
          <cell r="K131">
            <v>4096862</v>
          </cell>
          <cell r="L131">
            <v>5127672</v>
          </cell>
          <cell r="M131">
            <v>4335467</v>
          </cell>
          <cell r="N131">
            <v>4384882</v>
          </cell>
          <cell r="O131">
            <v>4405477</v>
          </cell>
          <cell r="P131">
            <v>3619729</v>
          </cell>
          <cell r="Q131">
            <v>3150957</v>
          </cell>
          <cell r="R131">
            <v>2655924</v>
          </cell>
          <cell r="S131">
            <v>2827709</v>
          </cell>
          <cell r="T131">
            <v>2828816</v>
          </cell>
          <cell r="U131">
            <v>2582397</v>
          </cell>
          <cell r="V131">
            <v>2791430</v>
          </cell>
          <cell r="W131">
            <v>3543799</v>
          </cell>
          <cell r="X131">
            <v>5736705</v>
          </cell>
          <cell r="Y131">
            <v>1784545</v>
          </cell>
          <cell r="Z131">
            <v>5319564</v>
          </cell>
          <cell r="AA131">
            <v>4283119</v>
          </cell>
          <cell r="AB131">
            <v>3444871</v>
          </cell>
          <cell r="AC131">
            <v>3070084</v>
          </cell>
          <cell r="AD131">
            <v>3479749</v>
          </cell>
          <cell r="AE131">
            <v>2821275</v>
          </cell>
          <cell r="AF131">
            <v>2863701</v>
          </cell>
          <cell r="AG131">
            <v>3832878</v>
          </cell>
          <cell r="AI131">
            <v>3996739</v>
          </cell>
        </row>
        <row r="133">
          <cell r="I133">
            <v>51840</v>
          </cell>
          <cell r="J133">
            <v>54731</v>
          </cell>
          <cell r="K133">
            <v>60463</v>
          </cell>
          <cell r="L133">
            <v>71443</v>
          </cell>
          <cell r="M133">
            <v>74425</v>
          </cell>
          <cell r="N133">
            <v>85840</v>
          </cell>
          <cell r="O133">
            <v>90178</v>
          </cell>
          <cell r="P133">
            <v>83441</v>
          </cell>
          <cell r="Q133">
            <v>83692</v>
          </cell>
          <cell r="R133">
            <v>80637</v>
          </cell>
          <cell r="S133">
            <v>81080</v>
          </cell>
          <cell r="T133">
            <v>72006</v>
          </cell>
          <cell r="U133">
            <v>70821</v>
          </cell>
          <cell r="V133">
            <v>73983</v>
          </cell>
          <cell r="W133">
            <v>74576</v>
          </cell>
          <cell r="X133">
            <v>80686</v>
          </cell>
          <cell r="Y133">
            <v>81563</v>
          </cell>
          <cell r="Z133">
            <v>93789</v>
          </cell>
          <cell r="AA133">
            <v>92941</v>
          </cell>
          <cell r="AB133">
            <v>85772</v>
          </cell>
          <cell r="AC133">
            <v>85433</v>
          </cell>
          <cell r="AD133">
            <v>81863</v>
          </cell>
          <cell r="AE133">
            <v>79609</v>
          </cell>
          <cell r="AF133">
            <v>72137</v>
          </cell>
          <cell r="AG133">
            <v>70042</v>
          </cell>
          <cell r="AI133">
            <v>54731</v>
          </cell>
        </row>
        <row r="134">
          <cell r="I134">
            <v>197867</v>
          </cell>
          <cell r="J134">
            <v>209609</v>
          </cell>
          <cell r="K134">
            <v>228923</v>
          </cell>
          <cell r="L134">
            <v>259078</v>
          </cell>
          <cell r="M134">
            <v>258995</v>
          </cell>
          <cell r="N134">
            <v>310435</v>
          </cell>
          <cell r="O134">
            <v>301521</v>
          </cell>
          <cell r="P134">
            <v>279108</v>
          </cell>
          <cell r="Q134">
            <v>281121</v>
          </cell>
          <cell r="R134">
            <v>255393</v>
          </cell>
          <cell r="S134">
            <v>245164</v>
          </cell>
          <cell r="T134">
            <v>238039</v>
          </cell>
          <cell r="U134">
            <v>218798</v>
          </cell>
          <cell r="V134">
            <v>221818</v>
          </cell>
          <cell r="W134">
            <v>228731</v>
          </cell>
          <cell r="X134">
            <v>266709</v>
          </cell>
          <cell r="Y134">
            <v>276146</v>
          </cell>
          <cell r="Z134">
            <v>310023</v>
          </cell>
          <cell r="AA134">
            <v>305717</v>
          </cell>
          <cell r="AB134">
            <v>284140</v>
          </cell>
          <cell r="AC134">
            <v>279026</v>
          </cell>
          <cell r="AD134">
            <v>259327</v>
          </cell>
          <cell r="AE134">
            <v>289286</v>
          </cell>
          <cell r="AF134">
            <v>229109</v>
          </cell>
          <cell r="AG134">
            <v>205479</v>
          </cell>
          <cell r="AI134">
            <v>209609</v>
          </cell>
        </row>
        <row r="135">
          <cell r="I135">
            <v>64352</v>
          </cell>
          <cell r="J135">
            <v>68064</v>
          </cell>
          <cell r="K135">
            <v>75372</v>
          </cell>
          <cell r="L135">
            <v>83194</v>
          </cell>
          <cell r="M135">
            <v>79151</v>
          </cell>
          <cell r="N135">
            <v>104058</v>
          </cell>
          <cell r="O135">
            <v>103770</v>
          </cell>
          <cell r="P135">
            <v>97365</v>
          </cell>
          <cell r="Q135">
            <v>95465</v>
          </cell>
          <cell r="R135">
            <v>86992</v>
          </cell>
          <cell r="S135">
            <v>99437</v>
          </cell>
          <cell r="T135">
            <v>90530</v>
          </cell>
          <cell r="U135">
            <v>71168</v>
          </cell>
          <cell r="V135">
            <v>74673</v>
          </cell>
          <cell r="W135">
            <v>75220</v>
          </cell>
          <cell r="X135">
            <v>81471</v>
          </cell>
          <cell r="Y135">
            <v>84600</v>
          </cell>
          <cell r="Z135">
            <v>96797</v>
          </cell>
          <cell r="AA135">
            <v>92124</v>
          </cell>
          <cell r="AB135">
            <v>82162</v>
          </cell>
          <cell r="AC135">
            <v>85497</v>
          </cell>
          <cell r="AD135">
            <v>78406</v>
          </cell>
          <cell r="AE135">
            <v>75059</v>
          </cell>
          <cell r="AF135">
            <v>72244</v>
          </cell>
          <cell r="AG135">
            <v>69493</v>
          </cell>
          <cell r="AI135">
            <v>68064</v>
          </cell>
        </row>
        <row r="136">
          <cell r="I136">
            <v>63872</v>
          </cell>
          <cell r="J136">
            <v>66927</v>
          </cell>
          <cell r="K136">
            <v>77152</v>
          </cell>
          <cell r="L136">
            <v>90454</v>
          </cell>
          <cell r="M136">
            <v>90609</v>
          </cell>
          <cell r="N136">
            <v>111599</v>
          </cell>
          <cell r="O136">
            <v>105826</v>
          </cell>
          <cell r="P136">
            <v>101384</v>
          </cell>
          <cell r="Q136">
            <v>98637</v>
          </cell>
          <cell r="R136">
            <v>91228</v>
          </cell>
          <cell r="S136">
            <v>90680</v>
          </cell>
          <cell r="T136">
            <v>86220</v>
          </cell>
          <cell r="U136">
            <v>85138</v>
          </cell>
          <cell r="V136">
            <v>79943</v>
          </cell>
          <cell r="W136">
            <v>83897</v>
          </cell>
          <cell r="X136">
            <v>88782</v>
          </cell>
          <cell r="Y136">
            <v>87031</v>
          </cell>
          <cell r="Z136">
            <v>103948</v>
          </cell>
          <cell r="AA136">
            <v>100083</v>
          </cell>
          <cell r="AB136">
            <v>96267</v>
          </cell>
          <cell r="AC136">
            <v>95746</v>
          </cell>
          <cell r="AD136">
            <v>88625</v>
          </cell>
          <cell r="AE136">
            <v>86094</v>
          </cell>
          <cell r="AF136">
            <v>90182</v>
          </cell>
          <cell r="AG136">
            <v>82585</v>
          </cell>
          <cell r="AI136">
            <v>66927</v>
          </cell>
        </row>
        <row r="137">
          <cell r="I137">
            <v>161062</v>
          </cell>
          <cell r="J137">
            <v>177477</v>
          </cell>
          <cell r="K137">
            <v>195583</v>
          </cell>
          <cell r="L137">
            <v>223339</v>
          </cell>
          <cell r="M137">
            <v>227046</v>
          </cell>
          <cell r="N137">
            <v>267585</v>
          </cell>
          <cell r="O137">
            <v>272655</v>
          </cell>
          <cell r="P137">
            <v>248446</v>
          </cell>
          <cell r="Q137">
            <v>240289</v>
          </cell>
          <cell r="R137">
            <v>211662</v>
          </cell>
          <cell r="S137">
            <v>199080</v>
          </cell>
          <cell r="T137">
            <v>189948</v>
          </cell>
          <cell r="U137">
            <v>180745</v>
          </cell>
          <cell r="V137">
            <v>198675</v>
          </cell>
          <cell r="W137">
            <v>206638</v>
          </cell>
          <cell r="X137">
            <v>229885</v>
          </cell>
          <cell r="Y137">
            <v>230381</v>
          </cell>
          <cell r="Z137">
            <v>266720</v>
          </cell>
          <cell r="AA137">
            <v>271320</v>
          </cell>
          <cell r="AB137">
            <v>251779</v>
          </cell>
          <cell r="AC137">
            <v>239883</v>
          </cell>
          <cell r="AD137">
            <v>216631</v>
          </cell>
          <cell r="AE137">
            <v>218799</v>
          </cell>
          <cell r="AF137">
            <v>223117</v>
          </cell>
          <cell r="AG137">
            <v>184947</v>
          </cell>
          <cell r="AI137">
            <v>177477</v>
          </cell>
        </row>
        <row r="138">
          <cell r="I138">
            <v>142134</v>
          </cell>
          <cell r="J138">
            <v>150846</v>
          </cell>
          <cell r="K138">
            <v>164721</v>
          </cell>
          <cell r="L138">
            <v>188472</v>
          </cell>
          <cell r="M138">
            <v>194872</v>
          </cell>
          <cell r="N138">
            <v>226673</v>
          </cell>
          <cell r="O138">
            <v>217567</v>
          </cell>
          <cell r="P138">
            <v>195987</v>
          </cell>
          <cell r="Q138">
            <v>187429</v>
          </cell>
          <cell r="R138">
            <v>167356</v>
          </cell>
          <cell r="S138">
            <v>156406</v>
          </cell>
          <cell r="T138">
            <v>148433</v>
          </cell>
          <cell r="U138">
            <v>140074</v>
          </cell>
          <cell r="V138">
            <v>154796</v>
          </cell>
          <cell r="W138">
            <v>163045</v>
          </cell>
          <cell r="X138">
            <v>171650</v>
          </cell>
          <cell r="Y138">
            <v>173158</v>
          </cell>
          <cell r="Z138">
            <v>210735</v>
          </cell>
          <cell r="AA138">
            <v>199541</v>
          </cell>
          <cell r="AB138">
            <v>178456</v>
          </cell>
          <cell r="AC138">
            <v>168780</v>
          </cell>
          <cell r="AD138">
            <v>158119</v>
          </cell>
          <cell r="AE138">
            <v>149333</v>
          </cell>
          <cell r="AF138">
            <v>142013</v>
          </cell>
          <cell r="AG138">
            <v>137691</v>
          </cell>
          <cell r="AI138">
            <v>150846</v>
          </cell>
        </row>
        <row r="139">
          <cell r="I139">
            <v>154142</v>
          </cell>
          <cell r="J139">
            <v>167110</v>
          </cell>
          <cell r="K139">
            <v>182754</v>
          </cell>
          <cell r="L139">
            <v>211519</v>
          </cell>
          <cell r="M139">
            <v>213528</v>
          </cell>
          <cell r="N139">
            <v>255963</v>
          </cell>
          <cell r="O139">
            <v>279709</v>
          </cell>
          <cell r="P139">
            <v>246533</v>
          </cell>
          <cell r="Q139">
            <v>235623</v>
          </cell>
          <cell r="R139">
            <v>210018</v>
          </cell>
          <cell r="S139">
            <v>196753</v>
          </cell>
          <cell r="T139">
            <v>182589</v>
          </cell>
          <cell r="U139">
            <v>172333</v>
          </cell>
          <cell r="V139">
            <v>187003</v>
          </cell>
          <cell r="W139">
            <v>224924</v>
          </cell>
          <cell r="X139">
            <v>252350</v>
          </cell>
          <cell r="Y139">
            <v>252350</v>
          </cell>
          <cell r="Z139">
            <v>297135</v>
          </cell>
          <cell r="AA139">
            <v>297598</v>
          </cell>
          <cell r="AB139">
            <v>276281</v>
          </cell>
          <cell r="AC139">
            <v>264099</v>
          </cell>
          <cell r="AD139">
            <v>239317</v>
          </cell>
          <cell r="AE139">
            <v>222878</v>
          </cell>
          <cell r="AF139">
            <v>210065</v>
          </cell>
          <cell r="AG139">
            <v>215002</v>
          </cell>
          <cell r="AI139">
            <v>167110</v>
          </cell>
        </row>
        <row r="140">
          <cell r="I140">
            <v>33093</v>
          </cell>
          <cell r="J140">
            <v>36312</v>
          </cell>
          <cell r="K140">
            <v>44199</v>
          </cell>
          <cell r="L140">
            <v>49375</v>
          </cell>
          <cell r="M140">
            <v>43881</v>
          </cell>
          <cell r="N140">
            <v>57230</v>
          </cell>
          <cell r="O140">
            <v>57896</v>
          </cell>
          <cell r="P140">
            <v>67290</v>
          </cell>
          <cell r="Q140">
            <v>71472</v>
          </cell>
          <cell r="R140">
            <v>62271</v>
          </cell>
          <cell r="S140">
            <v>56430</v>
          </cell>
          <cell r="T140">
            <v>48481</v>
          </cell>
          <cell r="U140">
            <v>46217</v>
          </cell>
          <cell r="V140">
            <v>64429</v>
          </cell>
          <cell r="W140">
            <v>75977</v>
          </cell>
          <cell r="X140">
            <v>78509</v>
          </cell>
          <cell r="Y140">
            <v>49883</v>
          </cell>
          <cell r="Z140">
            <v>126145</v>
          </cell>
          <cell r="AA140">
            <v>93831</v>
          </cell>
          <cell r="AB140">
            <v>91665</v>
          </cell>
          <cell r="AC140">
            <v>92764</v>
          </cell>
          <cell r="AD140">
            <v>82391</v>
          </cell>
          <cell r="AE140">
            <v>76402</v>
          </cell>
          <cell r="AF140">
            <v>75600</v>
          </cell>
          <cell r="AG140">
            <v>71947</v>
          </cell>
          <cell r="AI140">
            <v>36312</v>
          </cell>
        </row>
        <row r="141">
          <cell r="I141">
            <v>154029</v>
          </cell>
          <cell r="J141">
            <v>168650</v>
          </cell>
          <cell r="K141">
            <v>183325</v>
          </cell>
          <cell r="L141">
            <v>213167</v>
          </cell>
          <cell r="M141">
            <v>213132</v>
          </cell>
          <cell r="N141">
            <v>259091</v>
          </cell>
          <cell r="O141">
            <v>262745</v>
          </cell>
          <cell r="P141">
            <v>239602</v>
          </cell>
          <cell r="Q141">
            <v>227380</v>
          </cell>
          <cell r="R141">
            <v>204463</v>
          </cell>
          <cell r="S141">
            <v>191448</v>
          </cell>
          <cell r="T141">
            <v>181255</v>
          </cell>
          <cell r="U141">
            <v>169773</v>
          </cell>
          <cell r="V141">
            <v>181024</v>
          </cell>
          <cell r="W141">
            <v>195785</v>
          </cell>
          <cell r="X141">
            <v>209572</v>
          </cell>
          <cell r="Y141">
            <v>210024</v>
          </cell>
          <cell r="Z141">
            <v>252511</v>
          </cell>
          <cell r="AA141">
            <v>258859</v>
          </cell>
          <cell r="AB141">
            <v>230790</v>
          </cell>
          <cell r="AC141">
            <v>221548</v>
          </cell>
          <cell r="AD141">
            <v>196865</v>
          </cell>
          <cell r="AE141">
            <v>184056</v>
          </cell>
          <cell r="AF141">
            <v>172883</v>
          </cell>
          <cell r="AG141">
            <v>164000</v>
          </cell>
          <cell r="AI141">
            <v>168650</v>
          </cell>
        </row>
        <row r="142">
          <cell r="I142">
            <v>75702</v>
          </cell>
          <cell r="J142">
            <v>83998</v>
          </cell>
          <cell r="K142">
            <v>93345</v>
          </cell>
          <cell r="L142">
            <v>107951</v>
          </cell>
          <cell r="M142">
            <v>115786</v>
          </cell>
          <cell r="N142">
            <v>147159</v>
          </cell>
          <cell r="O142">
            <v>138847</v>
          </cell>
          <cell r="P142">
            <v>128438</v>
          </cell>
          <cell r="Q142">
            <v>123581</v>
          </cell>
          <cell r="R142">
            <v>110921</v>
          </cell>
          <cell r="S142">
            <v>103384</v>
          </cell>
          <cell r="T142">
            <v>91803</v>
          </cell>
          <cell r="U142">
            <v>93758</v>
          </cell>
          <cell r="V142">
            <v>93903</v>
          </cell>
          <cell r="W142">
            <v>118718</v>
          </cell>
          <cell r="X142">
            <v>127243</v>
          </cell>
          <cell r="Y142">
            <v>128644</v>
          </cell>
          <cell r="Z142">
            <v>155000</v>
          </cell>
          <cell r="AA142">
            <v>158008</v>
          </cell>
          <cell r="AB142">
            <v>137181</v>
          </cell>
          <cell r="AC142">
            <v>138560</v>
          </cell>
          <cell r="AD142">
            <v>121141</v>
          </cell>
          <cell r="AE142">
            <v>111339</v>
          </cell>
          <cell r="AF142">
            <v>109872</v>
          </cell>
          <cell r="AG142">
            <v>106461</v>
          </cell>
          <cell r="AI142">
            <v>83998</v>
          </cell>
        </row>
        <row r="143">
          <cell r="I143">
            <v>201496</v>
          </cell>
          <cell r="J143">
            <v>217310</v>
          </cell>
          <cell r="K143">
            <v>235266</v>
          </cell>
          <cell r="L143">
            <v>273353</v>
          </cell>
          <cell r="M143">
            <v>275196</v>
          </cell>
          <cell r="N143">
            <v>321265</v>
          </cell>
          <cell r="O143">
            <v>328727</v>
          </cell>
          <cell r="P143">
            <v>307385</v>
          </cell>
          <cell r="Q143">
            <v>293101</v>
          </cell>
          <cell r="R143">
            <v>256161</v>
          </cell>
          <cell r="S143">
            <v>240912</v>
          </cell>
          <cell r="T143">
            <v>222588</v>
          </cell>
          <cell r="U143">
            <v>212762</v>
          </cell>
          <cell r="V143">
            <v>215455</v>
          </cell>
          <cell r="W143">
            <v>230936</v>
          </cell>
          <cell r="X143">
            <v>259340</v>
          </cell>
          <cell r="Y143">
            <v>257729</v>
          </cell>
          <cell r="Z143">
            <v>303776</v>
          </cell>
          <cell r="AA143">
            <v>303557</v>
          </cell>
          <cell r="AB143">
            <v>286297</v>
          </cell>
          <cell r="AC143">
            <v>275928</v>
          </cell>
          <cell r="AD143">
            <v>251260</v>
          </cell>
          <cell r="AE143">
            <v>232661</v>
          </cell>
          <cell r="AF143">
            <v>218485</v>
          </cell>
          <cell r="AG143">
            <v>209366</v>
          </cell>
          <cell r="AI143">
            <v>217310</v>
          </cell>
        </row>
        <row r="144">
          <cell r="I144">
            <v>134515</v>
          </cell>
          <cell r="J144">
            <v>140512</v>
          </cell>
          <cell r="K144">
            <v>162131</v>
          </cell>
          <cell r="L144">
            <v>179362</v>
          </cell>
          <cell r="M144">
            <v>187859</v>
          </cell>
          <cell r="N144">
            <v>228507</v>
          </cell>
          <cell r="O144">
            <v>228247</v>
          </cell>
          <cell r="P144">
            <v>189268</v>
          </cell>
          <cell r="Q144">
            <v>181278</v>
          </cell>
          <cell r="R144">
            <v>163823</v>
          </cell>
          <cell r="S144">
            <v>150974</v>
          </cell>
          <cell r="T144">
            <v>148026</v>
          </cell>
          <cell r="U144">
            <v>135973</v>
          </cell>
          <cell r="V144">
            <v>148848</v>
          </cell>
          <cell r="W144">
            <v>162671</v>
          </cell>
          <cell r="X144">
            <v>174269</v>
          </cell>
          <cell r="Y144">
            <v>178493</v>
          </cell>
          <cell r="Z144">
            <v>212668</v>
          </cell>
          <cell r="AA144">
            <v>209622</v>
          </cell>
          <cell r="AB144">
            <v>189550</v>
          </cell>
          <cell r="AC144">
            <v>177669</v>
          </cell>
          <cell r="AD144">
            <v>165338</v>
          </cell>
          <cell r="AE144">
            <v>150644</v>
          </cell>
          <cell r="AF144">
            <v>135528</v>
          </cell>
          <cell r="AG144">
            <v>144150</v>
          </cell>
          <cell r="AI144">
            <v>140512</v>
          </cell>
        </row>
        <row r="145">
          <cell r="I145">
            <v>66124</v>
          </cell>
          <cell r="J145">
            <v>69075</v>
          </cell>
          <cell r="K145">
            <v>79486</v>
          </cell>
          <cell r="L145">
            <v>95273</v>
          </cell>
          <cell r="M145">
            <v>97221</v>
          </cell>
          <cell r="N145">
            <v>116638</v>
          </cell>
          <cell r="O145">
            <v>114429</v>
          </cell>
          <cell r="P145">
            <v>107038</v>
          </cell>
          <cell r="Q145">
            <v>100397</v>
          </cell>
          <cell r="R145">
            <v>92146</v>
          </cell>
          <cell r="S145">
            <v>86607</v>
          </cell>
          <cell r="T145">
            <v>83800</v>
          </cell>
          <cell r="U145">
            <v>77159</v>
          </cell>
          <cell r="V145">
            <v>76478</v>
          </cell>
          <cell r="W145">
            <v>89032</v>
          </cell>
          <cell r="X145">
            <v>98160</v>
          </cell>
          <cell r="Y145">
            <v>98190</v>
          </cell>
          <cell r="Z145">
            <v>117940</v>
          </cell>
          <cell r="AA145">
            <v>119996</v>
          </cell>
          <cell r="AB145">
            <v>111412</v>
          </cell>
          <cell r="AC145">
            <v>108491</v>
          </cell>
          <cell r="AD145">
            <v>95608</v>
          </cell>
          <cell r="AE145">
            <v>90275</v>
          </cell>
          <cell r="AF145">
            <v>83105</v>
          </cell>
          <cell r="AG145">
            <v>82916</v>
          </cell>
          <cell r="AI145">
            <v>69075</v>
          </cell>
        </row>
        <row r="146">
          <cell r="I146">
            <v>54557</v>
          </cell>
          <cell r="J146">
            <v>58478</v>
          </cell>
          <cell r="K146">
            <v>64517</v>
          </cell>
          <cell r="L146">
            <v>76665</v>
          </cell>
          <cell r="M146">
            <v>82498</v>
          </cell>
          <cell r="N146">
            <v>95826</v>
          </cell>
          <cell r="O146">
            <v>97893</v>
          </cell>
          <cell r="P146">
            <v>108163</v>
          </cell>
          <cell r="Q146">
            <v>97136</v>
          </cell>
          <cell r="R146">
            <v>88088</v>
          </cell>
          <cell r="S146">
            <v>82618</v>
          </cell>
          <cell r="T146">
            <v>95536</v>
          </cell>
          <cell r="U146">
            <v>89890</v>
          </cell>
          <cell r="V146">
            <v>104687</v>
          </cell>
          <cell r="W146">
            <v>88767</v>
          </cell>
          <cell r="X146">
            <v>95868</v>
          </cell>
          <cell r="Y146">
            <v>97119</v>
          </cell>
          <cell r="Z146">
            <v>128525</v>
          </cell>
          <cell r="AA146">
            <v>115422</v>
          </cell>
          <cell r="AB146">
            <v>111344</v>
          </cell>
          <cell r="AC146">
            <v>104910</v>
          </cell>
          <cell r="AD146">
            <v>94460</v>
          </cell>
          <cell r="AE146">
            <v>83277</v>
          </cell>
          <cell r="AF146">
            <v>82063</v>
          </cell>
          <cell r="AG146">
            <v>76306</v>
          </cell>
          <cell r="AI146">
            <v>58478</v>
          </cell>
        </row>
        <row r="147">
          <cell r="I147">
            <v>139093</v>
          </cell>
          <cell r="J147">
            <v>158356</v>
          </cell>
          <cell r="K147">
            <v>169127</v>
          </cell>
          <cell r="L147">
            <v>192001</v>
          </cell>
          <cell r="M147">
            <v>194422</v>
          </cell>
          <cell r="N147">
            <v>237274</v>
          </cell>
          <cell r="O147">
            <v>238705</v>
          </cell>
          <cell r="P147">
            <v>221369</v>
          </cell>
          <cell r="Q147">
            <v>214591</v>
          </cell>
          <cell r="R147">
            <v>193222</v>
          </cell>
          <cell r="S147">
            <v>179592</v>
          </cell>
          <cell r="T147">
            <v>145565</v>
          </cell>
          <cell r="U147">
            <v>136642</v>
          </cell>
          <cell r="V147">
            <v>149334</v>
          </cell>
          <cell r="W147">
            <v>158932</v>
          </cell>
          <cell r="X147">
            <v>184693</v>
          </cell>
          <cell r="Y147">
            <v>183907</v>
          </cell>
          <cell r="Z147">
            <v>224936</v>
          </cell>
          <cell r="AA147">
            <v>224603</v>
          </cell>
          <cell r="AB147">
            <v>210582</v>
          </cell>
          <cell r="AC147">
            <v>212548</v>
          </cell>
          <cell r="AD147">
            <v>184376</v>
          </cell>
          <cell r="AE147">
            <v>170175</v>
          </cell>
          <cell r="AF147">
            <v>161706</v>
          </cell>
          <cell r="AG147">
            <v>154248</v>
          </cell>
          <cell r="AI147">
            <v>158356</v>
          </cell>
        </row>
        <row r="148">
          <cell r="I148">
            <v>122441</v>
          </cell>
          <cell r="J148">
            <v>129015</v>
          </cell>
          <cell r="K148">
            <v>140359</v>
          </cell>
          <cell r="L148">
            <v>161519</v>
          </cell>
          <cell r="M148">
            <v>166645</v>
          </cell>
          <cell r="N148">
            <v>174243</v>
          </cell>
          <cell r="O148">
            <v>191176</v>
          </cell>
          <cell r="P148">
            <v>171394</v>
          </cell>
          <cell r="Q148">
            <v>165699</v>
          </cell>
          <cell r="R148">
            <v>155885</v>
          </cell>
          <cell r="S148">
            <v>143958</v>
          </cell>
          <cell r="T148">
            <v>144483</v>
          </cell>
          <cell r="U148">
            <v>138294</v>
          </cell>
          <cell r="V148">
            <v>140850</v>
          </cell>
          <cell r="W148">
            <v>131093</v>
          </cell>
          <cell r="X148">
            <v>140220</v>
          </cell>
          <cell r="Y148">
            <v>140172</v>
          </cell>
          <cell r="Z148">
            <v>165452</v>
          </cell>
          <cell r="AA148">
            <v>168225</v>
          </cell>
          <cell r="AB148">
            <v>156096</v>
          </cell>
          <cell r="AC148">
            <v>151352</v>
          </cell>
          <cell r="AD148">
            <v>147991</v>
          </cell>
          <cell r="AE148">
            <v>136349</v>
          </cell>
          <cell r="AF148">
            <v>128961</v>
          </cell>
          <cell r="AG148">
            <v>122389</v>
          </cell>
          <cell r="AI148">
            <v>129015</v>
          </cell>
        </row>
        <row r="149">
          <cell r="I149">
            <v>1010040</v>
          </cell>
          <cell r="J149">
            <v>1109196</v>
          </cell>
          <cell r="K149">
            <v>1181260</v>
          </cell>
          <cell r="L149">
            <v>1359674</v>
          </cell>
          <cell r="M149">
            <v>1362543</v>
          </cell>
          <cell r="N149">
            <v>1635038</v>
          </cell>
          <cell r="O149">
            <v>1634781</v>
          </cell>
          <cell r="P149">
            <v>1516939</v>
          </cell>
          <cell r="Q149">
            <v>1440604</v>
          </cell>
          <cell r="R149">
            <v>1266280</v>
          </cell>
          <cell r="S149">
            <v>1174498</v>
          </cell>
          <cell r="T149">
            <v>1074752</v>
          </cell>
          <cell r="U149">
            <v>1021241</v>
          </cell>
          <cell r="V149">
            <v>1088996</v>
          </cell>
          <cell r="W149">
            <v>1176355</v>
          </cell>
          <cell r="X149">
            <v>1361559</v>
          </cell>
          <cell r="Y149">
            <v>1316329</v>
          </cell>
          <cell r="Z149">
            <v>1580861</v>
          </cell>
          <cell r="AA149">
            <v>1588903</v>
          </cell>
          <cell r="AB149">
            <v>1477659</v>
          </cell>
          <cell r="AC149">
            <v>1404445</v>
          </cell>
          <cell r="AD149">
            <v>1239827</v>
          </cell>
          <cell r="AE149">
            <v>1145728</v>
          </cell>
          <cell r="AF149">
            <v>1050435</v>
          </cell>
          <cell r="AG149">
            <v>990022</v>
          </cell>
          <cell r="AI149">
            <v>1109196</v>
          </cell>
        </row>
        <row r="150">
          <cell r="I150">
            <v>188654</v>
          </cell>
          <cell r="J150">
            <v>189418</v>
          </cell>
          <cell r="K150">
            <v>217701</v>
          </cell>
          <cell r="L150">
            <v>215870</v>
          </cell>
          <cell r="M150">
            <v>233226</v>
          </cell>
          <cell r="N150">
            <v>274210</v>
          </cell>
          <cell r="O150">
            <v>281875</v>
          </cell>
          <cell r="P150">
            <v>255245</v>
          </cell>
          <cell r="Q150">
            <v>243062</v>
          </cell>
          <cell r="R150">
            <v>227584</v>
          </cell>
          <cell r="S150">
            <v>227100</v>
          </cell>
          <cell r="T150">
            <v>198298</v>
          </cell>
          <cell r="U150">
            <v>205823</v>
          </cell>
          <cell r="V150">
            <v>180897</v>
          </cell>
          <cell r="W150">
            <v>204689</v>
          </cell>
          <cell r="X150">
            <v>225163</v>
          </cell>
          <cell r="Y150">
            <v>228177</v>
          </cell>
          <cell r="Z150">
            <v>262337</v>
          </cell>
          <cell r="AA150">
            <v>275071</v>
          </cell>
          <cell r="AB150">
            <v>248813</v>
          </cell>
          <cell r="AC150">
            <v>239092</v>
          </cell>
          <cell r="AD150">
            <v>231056</v>
          </cell>
          <cell r="AE150">
            <v>219728</v>
          </cell>
          <cell r="AF150">
            <v>208444</v>
          </cell>
          <cell r="AG150">
            <v>191922</v>
          </cell>
          <cell r="AI150">
            <v>189418</v>
          </cell>
        </row>
        <row r="151">
          <cell r="I151">
            <v>116522</v>
          </cell>
          <cell r="J151">
            <v>120168</v>
          </cell>
          <cell r="K151">
            <v>127204</v>
          </cell>
          <cell r="L151">
            <v>151158</v>
          </cell>
          <cell r="M151">
            <v>152174</v>
          </cell>
          <cell r="N151">
            <v>178936</v>
          </cell>
          <cell r="O151">
            <v>186571</v>
          </cell>
          <cell r="P151">
            <v>170698</v>
          </cell>
          <cell r="Q151">
            <v>161489</v>
          </cell>
          <cell r="R151">
            <v>148262</v>
          </cell>
          <cell r="S151">
            <v>137143</v>
          </cell>
          <cell r="T151">
            <v>134055</v>
          </cell>
          <cell r="U151">
            <v>123460</v>
          </cell>
          <cell r="V151">
            <v>132295</v>
          </cell>
          <cell r="W151">
            <v>135465</v>
          </cell>
          <cell r="X151">
            <v>151661</v>
          </cell>
          <cell r="Y151">
            <v>153412</v>
          </cell>
          <cell r="Z151">
            <v>175946</v>
          </cell>
          <cell r="AA151">
            <v>180625</v>
          </cell>
          <cell r="AB151">
            <v>162800</v>
          </cell>
          <cell r="AC151">
            <v>160302</v>
          </cell>
          <cell r="AD151">
            <v>124386</v>
          </cell>
          <cell r="AE151">
            <v>117590</v>
          </cell>
          <cell r="AF151">
            <v>114311</v>
          </cell>
          <cell r="AG151">
            <v>105225</v>
          </cell>
          <cell r="AI151">
            <v>120168</v>
          </cell>
        </row>
        <row r="152">
          <cell r="I152">
            <v>332647</v>
          </cell>
          <cell r="J152">
            <v>303947</v>
          </cell>
          <cell r="K152">
            <v>308239</v>
          </cell>
          <cell r="L152">
            <v>354813</v>
          </cell>
          <cell r="M152">
            <v>342566</v>
          </cell>
          <cell r="N152">
            <v>364766</v>
          </cell>
          <cell r="O152">
            <v>419854</v>
          </cell>
          <cell r="P152">
            <v>354839</v>
          </cell>
          <cell r="Q152">
            <v>355111</v>
          </cell>
          <cell r="R152">
            <v>361986</v>
          </cell>
          <cell r="S152">
            <v>333434</v>
          </cell>
          <cell r="T152">
            <v>348302</v>
          </cell>
          <cell r="U152">
            <v>305880</v>
          </cell>
          <cell r="V152">
            <v>350635</v>
          </cell>
          <cell r="W152">
            <v>333879</v>
          </cell>
          <cell r="X152">
            <v>378204</v>
          </cell>
          <cell r="Y152">
            <v>336881</v>
          </cell>
          <cell r="Z152">
            <v>412876</v>
          </cell>
          <cell r="AA152">
            <v>390414</v>
          </cell>
          <cell r="AB152">
            <v>385291</v>
          </cell>
          <cell r="AC152">
            <v>355411</v>
          </cell>
          <cell r="AD152">
            <v>381855</v>
          </cell>
          <cell r="AE152">
            <v>355342</v>
          </cell>
          <cell r="AF152">
            <v>349561</v>
          </cell>
          <cell r="AG152">
            <v>347886</v>
          </cell>
          <cell r="AI152">
            <v>303947</v>
          </cell>
        </row>
        <row r="154">
          <cell r="I154">
            <v>3780806</v>
          </cell>
          <cell r="J154">
            <v>3477899</v>
          </cell>
          <cell r="K154">
            <v>3500925</v>
          </cell>
          <cell r="L154">
            <v>3613253</v>
          </cell>
          <cell r="M154">
            <v>3375876</v>
          </cell>
          <cell r="N154">
            <v>3918112</v>
          </cell>
          <cell r="O154">
            <v>3700105</v>
          </cell>
          <cell r="P154">
            <v>3567181</v>
          </cell>
          <cell r="Q154">
            <v>4305288</v>
          </cell>
          <cell r="R154">
            <v>4521243</v>
          </cell>
          <cell r="S154">
            <v>4405699</v>
          </cell>
          <cell r="T154">
            <v>3794587</v>
          </cell>
          <cell r="U154">
            <v>4268623</v>
          </cell>
          <cell r="V154">
            <v>3375254</v>
          </cell>
          <cell r="W154">
            <v>2803023</v>
          </cell>
          <cell r="X154">
            <v>2558527</v>
          </cell>
          <cell r="Y154">
            <v>2717085</v>
          </cell>
          <cell r="Z154">
            <v>2744468</v>
          </cell>
          <cell r="AA154">
            <v>2422058</v>
          </cell>
          <cell r="AB154">
            <v>2119996</v>
          </cell>
          <cell r="AC154">
            <v>3157938</v>
          </cell>
          <cell r="AD154">
            <v>3532801</v>
          </cell>
          <cell r="AE154">
            <v>3041363</v>
          </cell>
          <cell r="AF154">
            <v>2500545</v>
          </cell>
          <cell r="AG154">
            <v>2861128</v>
          </cell>
          <cell r="AI154">
            <v>3477899</v>
          </cell>
        </row>
        <row r="155">
          <cell r="I155">
            <v>4599488</v>
          </cell>
          <cell r="J155">
            <v>4140032</v>
          </cell>
          <cell r="K155">
            <v>4503393</v>
          </cell>
          <cell r="L155">
            <v>4593853</v>
          </cell>
          <cell r="M155">
            <v>4786081</v>
          </cell>
          <cell r="N155">
            <v>5133669</v>
          </cell>
          <cell r="O155">
            <v>4437666</v>
          </cell>
          <cell r="P155">
            <v>4202018</v>
          </cell>
          <cell r="Q155">
            <v>4889609</v>
          </cell>
          <cell r="R155">
            <v>4815673</v>
          </cell>
          <cell r="S155">
            <v>4799127</v>
          </cell>
          <cell r="T155">
            <v>4381121</v>
          </cell>
          <cell r="U155">
            <v>4576532</v>
          </cell>
          <cell r="V155">
            <v>4172676</v>
          </cell>
          <cell r="W155">
            <v>3972596</v>
          </cell>
          <cell r="X155">
            <v>4484718</v>
          </cell>
          <cell r="Y155">
            <v>4862351</v>
          </cell>
          <cell r="Z155">
            <v>4950238</v>
          </cell>
          <cell r="AA155">
            <v>4369450</v>
          </cell>
          <cell r="AB155">
            <v>3936932</v>
          </cell>
          <cell r="AC155">
            <v>4575482</v>
          </cell>
          <cell r="AD155">
            <v>5379019</v>
          </cell>
          <cell r="AE155">
            <v>4775677</v>
          </cell>
          <cell r="AF155">
            <v>4304386</v>
          </cell>
          <cell r="AG155">
            <v>4466536</v>
          </cell>
          <cell r="AI155">
            <v>4140032</v>
          </cell>
        </row>
        <row r="156">
          <cell r="I156">
            <v>6375774</v>
          </cell>
          <cell r="J156">
            <v>5566114</v>
          </cell>
          <cell r="K156">
            <v>6221172</v>
          </cell>
          <cell r="L156">
            <v>5594161</v>
          </cell>
          <cell r="M156">
            <v>5993459</v>
          </cell>
          <cell r="N156">
            <v>6343503</v>
          </cell>
          <cell r="O156">
            <v>5780284</v>
          </cell>
          <cell r="P156">
            <v>5287111</v>
          </cell>
          <cell r="Q156">
            <v>6731077</v>
          </cell>
          <cell r="R156">
            <v>6141458</v>
          </cell>
          <cell r="S156">
            <v>6744235</v>
          </cell>
          <cell r="T156">
            <v>6161718</v>
          </cell>
          <cell r="U156">
            <v>6142484</v>
          </cell>
          <cell r="V156">
            <v>4948916</v>
          </cell>
          <cell r="W156">
            <v>5753325</v>
          </cell>
          <cell r="X156">
            <v>5568332</v>
          </cell>
          <cell r="Y156">
            <v>6019924</v>
          </cell>
          <cell r="Z156">
            <v>6300257</v>
          </cell>
          <cell r="AA156">
            <v>5645309</v>
          </cell>
          <cell r="AB156">
            <v>5270888</v>
          </cell>
          <cell r="AC156">
            <v>5694207</v>
          </cell>
          <cell r="AD156">
            <v>6991542</v>
          </cell>
          <cell r="AE156">
            <v>6683370</v>
          </cell>
          <cell r="AF156">
            <v>5941236</v>
          </cell>
          <cell r="AG156">
            <v>5535598</v>
          </cell>
          <cell r="AI156">
            <v>5566114</v>
          </cell>
        </row>
        <row r="157">
          <cell r="I157">
            <v>2754617</v>
          </cell>
          <cell r="J157">
            <v>2405411</v>
          </cell>
          <cell r="K157">
            <v>2728817</v>
          </cell>
          <cell r="L157">
            <v>2914803</v>
          </cell>
          <cell r="M157">
            <v>3048180</v>
          </cell>
          <cell r="N157">
            <v>3294328</v>
          </cell>
          <cell r="O157">
            <v>2716607</v>
          </cell>
          <cell r="P157">
            <v>2499653</v>
          </cell>
          <cell r="Q157">
            <v>3033797</v>
          </cell>
          <cell r="R157">
            <v>3188732</v>
          </cell>
          <cell r="S157">
            <v>3123032</v>
          </cell>
          <cell r="T157">
            <v>2954939</v>
          </cell>
          <cell r="U157">
            <v>3004960</v>
          </cell>
          <cell r="V157">
            <v>2402747</v>
          </cell>
          <cell r="W157">
            <v>2200435</v>
          </cell>
          <cell r="X157">
            <v>2479181</v>
          </cell>
          <cell r="Y157">
            <v>2791571</v>
          </cell>
          <cell r="Z157">
            <v>2738724</v>
          </cell>
          <cell r="AA157">
            <v>2390641</v>
          </cell>
          <cell r="AB157">
            <v>2016617</v>
          </cell>
          <cell r="AC157">
            <v>2665626</v>
          </cell>
          <cell r="AD157">
            <v>3512448</v>
          </cell>
          <cell r="AE157">
            <v>2777453</v>
          </cell>
          <cell r="AF157">
            <v>2771245</v>
          </cell>
          <cell r="AG157">
            <v>2525742</v>
          </cell>
          <cell r="AI157">
            <v>2405411</v>
          </cell>
        </row>
        <row r="158">
          <cell r="I158">
            <v>2303832</v>
          </cell>
          <cell r="J158">
            <v>2125476</v>
          </cell>
          <cell r="K158">
            <v>2546566</v>
          </cell>
          <cell r="L158">
            <v>2708087</v>
          </cell>
          <cell r="M158">
            <v>2799466</v>
          </cell>
          <cell r="N158">
            <v>2901572</v>
          </cell>
          <cell r="O158">
            <v>2494191</v>
          </cell>
          <cell r="P158">
            <v>1985034</v>
          </cell>
          <cell r="Q158">
            <v>2586258</v>
          </cell>
          <cell r="R158">
            <v>2626704</v>
          </cell>
          <cell r="S158">
            <v>2397839</v>
          </cell>
          <cell r="T158">
            <v>2437263</v>
          </cell>
          <cell r="U158">
            <v>2265992</v>
          </cell>
          <cell r="V158">
            <v>2006286</v>
          </cell>
          <cell r="W158">
            <v>2116638</v>
          </cell>
          <cell r="X158">
            <v>2155006</v>
          </cell>
          <cell r="Y158">
            <v>2429255</v>
          </cell>
          <cell r="Z158">
            <v>2701937</v>
          </cell>
          <cell r="AA158">
            <v>2261763</v>
          </cell>
          <cell r="AB158">
            <v>1990602</v>
          </cell>
          <cell r="AC158">
            <v>2256540</v>
          </cell>
          <cell r="AD158">
            <v>2839061</v>
          </cell>
          <cell r="AE158">
            <v>2412868</v>
          </cell>
          <cell r="AF158">
            <v>2450133</v>
          </cell>
          <cell r="AG158">
            <v>2147657</v>
          </cell>
          <cell r="AI158">
            <v>2125476</v>
          </cell>
        </row>
        <row r="159">
          <cell r="I159">
            <v>3805703</v>
          </cell>
          <cell r="J159">
            <v>3298199</v>
          </cell>
          <cell r="K159">
            <v>3646649</v>
          </cell>
          <cell r="L159">
            <v>3830387</v>
          </cell>
          <cell r="M159">
            <v>3925230</v>
          </cell>
          <cell r="N159">
            <v>4084927</v>
          </cell>
          <cell r="O159">
            <v>3809004</v>
          </cell>
          <cell r="P159">
            <v>3229698</v>
          </cell>
          <cell r="Q159">
            <v>3630554</v>
          </cell>
          <cell r="R159">
            <v>3181912</v>
          </cell>
          <cell r="S159">
            <v>3055075</v>
          </cell>
          <cell r="T159">
            <v>3504830</v>
          </cell>
          <cell r="U159">
            <v>3453457</v>
          </cell>
          <cell r="V159">
            <v>3089366</v>
          </cell>
          <cell r="W159">
            <v>2824178</v>
          </cell>
          <cell r="X159">
            <v>3425504</v>
          </cell>
          <cell r="Y159">
            <v>3838068</v>
          </cell>
          <cell r="Z159">
            <v>3882377</v>
          </cell>
          <cell r="AA159">
            <v>3442865</v>
          </cell>
          <cell r="AB159">
            <v>3179277</v>
          </cell>
          <cell r="AC159">
            <v>3359420</v>
          </cell>
          <cell r="AD159">
            <v>4686144</v>
          </cell>
          <cell r="AE159">
            <v>4114771</v>
          </cell>
          <cell r="AF159">
            <v>3757593</v>
          </cell>
          <cell r="AG159">
            <v>3634411</v>
          </cell>
          <cell r="AI159">
            <v>3298199</v>
          </cell>
        </row>
        <row r="160">
          <cell r="I160">
            <v>3173898</v>
          </cell>
          <cell r="J160">
            <v>3057409</v>
          </cell>
          <cell r="K160">
            <v>3154803</v>
          </cell>
          <cell r="L160">
            <v>3317080</v>
          </cell>
          <cell r="M160">
            <v>3395577</v>
          </cell>
          <cell r="N160">
            <v>3488540</v>
          </cell>
          <cell r="O160">
            <v>2817052</v>
          </cell>
          <cell r="P160">
            <v>2552589</v>
          </cell>
          <cell r="Q160">
            <v>2735781</v>
          </cell>
          <cell r="R160">
            <v>3815560</v>
          </cell>
          <cell r="S160">
            <v>3728761</v>
          </cell>
          <cell r="T160">
            <v>3901151</v>
          </cell>
          <cell r="U160">
            <v>3621403</v>
          </cell>
          <cell r="V160">
            <v>3335202</v>
          </cell>
          <cell r="W160">
            <v>3795759</v>
          </cell>
          <cell r="X160">
            <v>3842504</v>
          </cell>
          <cell r="Y160">
            <v>4386101</v>
          </cell>
          <cell r="Z160">
            <v>4515781</v>
          </cell>
          <cell r="AA160">
            <v>3974700</v>
          </cell>
          <cell r="AB160">
            <v>3256233</v>
          </cell>
          <cell r="AC160">
            <v>3457124</v>
          </cell>
          <cell r="AD160">
            <v>4346956</v>
          </cell>
          <cell r="AE160">
            <v>4247819</v>
          </cell>
          <cell r="AF160">
            <v>3949483</v>
          </cell>
          <cell r="AG160">
            <v>3475579</v>
          </cell>
          <cell r="AI160">
            <v>3057409</v>
          </cell>
        </row>
        <row r="161">
          <cell r="I161">
            <v>3436672</v>
          </cell>
          <cell r="J161">
            <v>3035707</v>
          </cell>
          <cell r="K161">
            <v>3311853</v>
          </cell>
          <cell r="L161">
            <v>3400532</v>
          </cell>
          <cell r="M161">
            <v>3419514</v>
          </cell>
          <cell r="N161">
            <v>3711138</v>
          </cell>
          <cell r="O161">
            <v>3181041</v>
          </cell>
          <cell r="P161">
            <v>3050009</v>
          </cell>
          <cell r="Q161">
            <v>3330454</v>
          </cell>
          <cell r="R161">
            <v>3978241</v>
          </cell>
          <cell r="S161">
            <v>3693278</v>
          </cell>
          <cell r="T161">
            <v>3828953</v>
          </cell>
          <cell r="U161">
            <v>3622887</v>
          </cell>
          <cell r="V161">
            <v>3100225</v>
          </cell>
          <cell r="W161">
            <v>3449670</v>
          </cell>
          <cell r="X161">
            <v>3530753</v>
          </cell>
          <cell r="Y161">
            <v>3933023</v>
          </cell>
          <cell r="Z161">
            <v>4202074</v>
          </cell>
          <cell r="AA161">
            <v>3700042</v>
          </cell>
          <cell r="AB161">
            <v>3109949</v>
          </cell>
          <cell r="AC161">
            <v>3349039</v>
          </cell>
          <cell r="AD161">
            <v>4318258</v>
          </cell>
          <cell r="AE161">
            <v>3758329</v>
          </cell>
          <cell r="AF161">
            <v>3837589</v>
          </cell>
          <cell r="AG161">
            <v>3243912</v>
          </cell>
          <cell r="AI161">
            <v>3035707</v>
          </cell>
        </row>
        <row r="162">
          <cell r="I162">
            <v>5577348</v>
          </cell>
          <cell r="J162">
            <v>5147512</v>
          </cell>
          <cell r="K162">
            <v>5269701</v>
          </cell>
          <cell r="L162">
            <v>5568209</v>
          </cell>
          <cell r="M162">
            <v>5612971</v>
          </cell>
          <cell r="N162">
            <v>6257274</v>
          </cell>
          <cell r="O162">
            <v>5270115</v>
          </cell>
          <cell r="P162">
            <v>5018877</v>
          </cell>
          <cell r="Q162">
            <v>5449481</v>
          </cell>
          <cell r="R162">
            <v>6238507</v>
          </cell>
          <cell r="S162">
            <v>5773875</v>
          </cell>
          <cell r="T162">
            <v>6312939</v>
          </cell>
          <cell r="U162">
            <v>6240474</v>
          </cell>
          <cell r="V162">
            <v>5092792</v>
          </cell>
          <cell r="W162">
            <v>5717618</v>
          </cell>
          <cell r="X162">
            <v>5371796</v>
          </cell>
          <cell r="Y162">
            <v>6045509</v>
          </cell>
          <cell r="Z162">
            <v>6560231</v>
          </cell>
          <cell r="AA162">
            <v>5725443</v>
          </cell>
          <cell r="AB162">
            <v>5052577</v>
          </cell>
          <cell r="AC162">
            <v>5596760</v>
          </cell>
          <cell r="AD162">
            <v>6754011</v>
          </cell>
          <cell r="AE162">
            <v>6377815</v>
          </cell>
          <cell r="AF162">
            <v>6099857</v>
          </cell>
          <cell r="AG162">
            <v>5659072</v>
          </cell>
          <cell r="AI162">
            <v>5147512</v>
          </cell>
        </row>
        <row r="163">
          <cell r="I163">
            <v>3821468</v>
          </cell>
          <cell r="J163">
            <v>3542372</v>
          </cell>
          <cell r="K163">
            <v>3387147</v>
          </cell>
          <cell r="L163">
            <v>3774940</v>
          </cell>
          <cell r="M163">
            <v>4651260</v>
          </cell>
          <cell r="N163">
            <v>4325400</v>
          </cell>
          <cell r="O163">
            <v>3707342</v>
          </cell>
          <cell r="P163">
            <v>3265219</v>
          </cell>
          <cell r="Q163">
            <v>3606983</v>
          </cell>
          <cell r="R163">
            <v>4385268</v>
          </cell>
          <cell r="S163">
            <v>3842605</v>
          </cell>
          <cell r="T163">
            <v>3957443</v>
          </cell>
          <cell r="U163">
            <v>4133222</v>
          </cell>
          <cell r="V163">
            <v>3667326</v>
          </cell>
          <cell r="W163">
            <v>3268302</v>
          </cell>
          <cell r="X163">
            <v>3405340</v>
          </cell>
          <cell r="Y163">
            <v>3758797</v>
          </cell>
          <cell r="Z163">
            <v>3942311</v>
          </cell>
          <cell r="AA163">
            <v>3469583</v>
          </cell>
          <cell r="AB163">
            <v>3127269</v>
          </cell>
          <cell r="AC163">
            <v>3436962</v>
          </cell>
          <cell r="AD163">
            <v>4599987</v>
          </cell>
          <cell r="AE163">
            <v>3963246</v>
          </cell>
          <cell r="AF163">
            <v>3830469</v>
          </cell>
          <cell r="AG163">
            <v>3471072</v>
          </cell>
          <cell r="AI163">
            <v>3542372</v>
          </cell>
        </row>
        <row r="164">
          <cell r="I164">
            <v>3266173</v>
          </cell>
          <cell r="J164">
            <v>3093334</v>
          </cell>
          <cell r="K164">
            <v>2955930</v>
          </cell>
          <cell r="L164">
            <v>3322223</v>
          </cell>
          <cell r="M164">
            <v>3481687</v>
          </cell>
          <cell r="N164">
            <v>3555922</v>
          </cell>
          <cell r="O164">
            <v>3268979</v>
          </cell>
          <cell r="P164">
            <v>2774440</v>
          </cell>
          <cell r="Q164">
            <v>2913579</v>
          </cell>
          <cell r="R164">
            <v>3483363</v>
          </cell>
          <cell r="S164">
            <v>3023275</v>
          </cell>
          <cell r="T164">
            <v>3196196</v>
          </cell>
          <cell r="U164">
            <v>3116832</v>
          </cell>
          <cell r="V164">
            <v>2957768</v>
          </cell>
          <cell r="W164">
            <v>2710575</v>
          </cell>
          <cell r="X164">
            <v>2827521</v>
          </cell>
          <cell r="Y164">
            <v>3199862</v>
          </cell>
          <cell r="Z164">
            <v>3219528</v>
          </cell>
          <cell r="AA164">
            <v>2897294</v>
          </cell>
          <cell r="AB164">
            <v>2731067</v>
          </cell>
          <cell r="AC164">
            <v>2521764</v>
          </cell>
          <cell r="AD164">
            <v>3406149</v>
          </cell>
          <cell r="AE164">
            <v>2659468</v>
          </cell>
          <cell r="AF164">
            <v>2763887</v>
          </cell>
          <cell r="AG164">
            <v>2631986</v>
          </cell>
          <cell r="AI164">
            <v>3093334</v>
          </cell>
        </row>
        <row r="165">
          <cell r="I165">
            <v>5063077</v>
          </cell>
          <cell r="J165">
            <v>4494785</v>
          </cell>
          <cell r="K165">
            <v>4401633</v>
          </cell>
          <cell r="L165">
            <v>4433908</v>
          </cell>
          <cell r="M165">
            <v>4697057</v>
          </cell>
          <cell r="N165">
            <v>4828527</v>
          </cell>
          <cell r="O165">
            <v>4561076</v>
          </cell>
          <cell r="P165">
            <v>4046733</v>
          </cell>
          <cell r="Q165">
            <v>4614576</v>
          </cell>
          <cell r="R165">
            <v>5601918</v>
          </cell>
          <cell r="S165">
            <v>5170684</v>
          </cell>
          <cell r="T165">
            <v>5633749</v>
          </cell>
          <cell r="U165">
            <v>5191428</v>
          </cell>
          <cell r="V165">
            <v>4672244</v>
          </cell>
          <cell r="W165">
            <v>4558449</v>
          </cell>
          <cell r="X165">
            <v>4182855</v>
          </cell>
          <cell r="Y165">
            <v>4610447</v>
          </cell>
          <cell r="Z165">
            <v>4963833</v>
          </cell>
          <cell r="AA165">
            <v>4448526</v>
          </cell>
          <cell r="AB165">
            <v>4313519</v>
          </cell>
          <cell r="AC165">
            <v>4378510</v>
          </cell>
          <cell r="AD165">
            <v>5783628</v>
          </cell>
          <cell r="AE165">
            <v>5588864</v>
          </cell>
          <cell r="AF165">
            <v>5461470</v>
          </cell>
          <cell r="AG165">
            <v>4771134</v>
          </cell>
          <cell r="AI165">
            <v>4494785</v>
          </cell>
        </row>
        <row r="166">
          <cell r="I166">
            <v>3522338</v>
          </cell>
          <cell r="J166">
            <v>3193635</v>
          </cell>
          <cell r="K166">
            <v>3096825</v>
          </cell>
          <cell r="L166">
            <v>3330443</v>
          </cell>
          <cell r="M166">
            <v>3447547</v>
          </cell>
          <cell r="N166">
            <v>3657931</v>
          </cell>
          <cell r="O166">
            <v>3250758</v>
          </cell>
          <cell r="P166">
            <v>3223328</v>
          </cell>
          <cell r="Q166">
            <v>3079054</v>
          </cell>
          <cell r="R166">
            <v>4395603</v>
          </cell>
          <cell r="S166">
            <v>3718688</v>
          </cell>
          <cell r="T166">
            <v>3985058</v>
          </cell>
          <cell r="U166">
            <v>3615117</v>
          </cell>
          <cell r="V166">
            <v>3317029</v>
          </cell>
          <cell r="W166">
            <v>3220370</v>
          </cell>
          <cell r="X166">
            <v>3210392</v>
          </cell>
          <cell r="Y166">
            <v>3586559</v>
          </cell>
          <cell r="Z166">
            <v>3834570</v>
          </cell>
          <cell r="AA166">
            <v>3625723</v>
          </cell>
          <cell r="AB166">
            <v>2958754</v>
          </cell>
          <cell r="AC166">
            <v>3099233</v>
          </cell>
          <cell r="AD166">
            <v>4480661</v>
          </cell>
          <cell r="AE166">
            <v>4046128</v>
          </cell>
          <cell r="AF166">
            <v>4114620</v>
          </cell>
          <cell r="AG166">
            <v>3299080</v>
          </cell>
          <cell r="AI166">
            <v>3193635</v>
          </cell>
        </row>
        <row r="167">
          <cell r="I167">
            <v>3290715</v>
          </cell>
          <cell r="J167">
            <v>3160023</v>
          </cell>
          <cell r="K167">
            <v>3166351</v>
          </cell>
          <cell r="L167">
            <v>3249371</v>
          </cell>
          <cell r="M167">
            <v>3461596</v>
          </cell>
          <cell r="N167">
            <v>3566533</v>
          </cell>
          <cell r="O167">
            <v>3436045</v>
          </cell>
          <cell r="P167">
            <v>3125847</v>
          </cell>
          <cell r="Q167">
            <v>3077601</v>
          </cell>
          <cell r="R167">
            <v>4125505</v>
          </cell>
          <cell r="S167">
            <v>3578087</v>
          </cell>
          <cell r="T167">
            <v>3400961</v>
          </cell>
          <cell r="U167">
            <v>3642181</v>
          </cell>
          <cell r="V167">
            <v>3276212</v>
          </cell>
          <cell r="W167">
            <v>3076578</v>
          </cell>
          <cell r="X167">
            <v>3051202</v>
          </cell>
          <cell r="Y167">
            <v>3401328</v>
          </cell>
          <cell r="Z167">
            <v>3707337</v>
          </cell>
          <cell r="AA167">
            <v>3237295</v>
          </cell>
          <cell r="AB167">
            <v>2910367</v>
          </cell>
          <cell r="AC167">
            <v>2797044</v>
          </cell>
          <cell r="AD167">
            <v>4062071</v>
          </cell>
          <cell r="AE167">
            <v>3506985</v>
          </cell>
          <cell r="AF167">
            <v>3188249</v>
          </cell>
          <cell r="AG167">
            <v>2805058</v>
          </cell>
          <cell r="AI167">
            <v>3160023</v>
          </cell>
        </row>
        <row r="168">
          <cell r="I168">
            <v>5271676</v>
          </cell>
          <cell r="J168">
            <v>4753449</v>
          </cell>
          <cell r="K168">
            <v>4702150</v>
          </cell>
          <cell r="L168">
            <v>4653395</v>
          </cell>
          <cell r="M168">
            <v>4961668</v>
          </cell>
          <cell r="N168">
            <v>5247200</v>
          </cell>
          <cell r="O168">
            <v>4688743</v>
          </cell>
          <cell r="P168">
            <v>4532799</v>
          </cell>
          <cell r="Q168">
            <v>4097078</v>
          </cell>
          <cell r="R168">
            <v>5253088</v>
          </cell>
          <cell r="S168">
            <v>4621543</v>
          </cell>
          <cell r="T168">
            <v>5097550</v>
          </cell>
          <cell r="U168">
            <v>5046922</v>
          </cell>
          <cell r="V168">
            <v>4683621</v>
          </cell>
          <cell r="W168">
            <v>4080780</v>
          </cell>
          <cell r="X168">
            <v>3846126</v>
          </cell>
          <cell r="Y168">
            <v>4099920</v>
          </cell>
          <cell r="Z168">
            <v>4486276</v>
          </cell>
          <cell r="AA168">
            <v>3973272</v>
          </cell>
          <cell r="AB168">
            <v>3525962</v>
          </cell>
          <cell r="AC168">
            <v>3668381</v>
          </cell>
          <cell r="AD168">
            <v>4743111</v>
          </cell>
          <cell r="AE168">
            <v>4237984</v>
          </cell>
          <cell r="AF168">
            <v>4128391</v>
          </cell>
          <cell r="AG168">
            <v>3642299</v>
          </cell>
          <cell r="AI168">
            <v>4753449</v>
          </cell>
        </row>
        <row r="169">
          <cell r="I169">
            <v>4754448</v>
          </cell>
          <cell r="J169">
            <v>4133156</v>
          </cell>
          <cell r="K169">
            <v>3955288</v>
          </cell>
          <cell r="L169">
            <v>4519150</v>
          </cell>
          <cell r="M169">
            <v>4706922</v>
          </cell>
          <cell r="N169">
            <v>5502880</v>
          </cell>
          <cell r="O169">
            <v>4584406</v>
          </cell>
          <cell r="P169">
            <v>3878477</v>
          </cell>
          <cell r="Q169">
            <v>4067383</v>
          </cell>
          <cell r="R169">
            <v>5125802</v>
          </cell>
          <cell r="S169">
            <v>4543236</v>
          </cell>
          <cell r="T169">
            <v>5022151</v>
          </cell>
          <cell r="U169">
            <v>4699041</v>
          </cell>
          <cell r="V169">
            <v>4672990</v>
          </cell>
          <cell r="W169">
            <v>4382532</v>
          </cell>
          <cell r="X169">
            <v>4217531</v>
          </cell>
          <cell r="Y169">
            <v>5187305</v>
          </cell>
          <cell r="Z169">
            <v>5677864</v>
          </cell>
          <cell r="AA169">
            <v>5217212</v>
          </cell>
          <cell r="AB169">
            <v>4072774</v>
          </cell>
          <cell r="AC169">
            <v>4100542</v>
          </cell>
          <cell r="AD169">
            <v>5182214</v>
          </cell>
          <cell r="AE169">
            <v>5168809</v>
          </cell>
          <cell r="AF169">
            <v>4878621</v>
          </cell>
          <cell r="AG169">
            <v>8003427</v>
          </cell>
          <cell r="AI169">
            <v>4133156</v>
          </cell>
        </row>
        <row r="170">
          <cell r="I170">
            <v>41361980</v>
          </cell>
          <cell r="J170">
            <v>30292659</v>
          </cell>
          <cell r="K170">
            <v>35196499</v>
          </cell>
          <cell r="L170">
            <v>29664705</v>
          </cell>
          <cell r="M170">
            <v>29192265</v>
          </cell>
          <cell r="N170">
            <v>32959276</v>
          </cell>
          <cell r="O170">
            <v>33143555</v>
          </cell>
          <cell r="P170">
            <v>32076377</v>
          </cell>
          <cell r="Q170">
            <v>36364397</v>
          </cell>
          <cell r="R170">
            <v>45714784</v>
          </cell>
          <cell r="S170">
            <v>37069394</v>
          </cell>
          <cell r="T170">
            <v>41657987</v>
          </cell>
          <cell r="U170">
            <v>39039149</v>
          </cell>
          <cell r="V170">
            <v>37546294</v>
          </cell>
          <cell r="W170">
            <v>33425631</v>
          </cell>
          <cell r="X170">
            <v>28095616</v>
          </cell>
          <cell r="Y170">
            <v>31183619</v>
          </cell>
          <cell r="Z170">
            <v>28692527</v>
          </cell>
          <cell r="AA170">
            <v>31100367</v>
          </cell>
          <cell r="AB170">
            <v>31303352</v>
          </cell>
          <cell r="AC170">
            <v>30408575</v>
          </cell>
          <cell r="AD170">
            <v>41202647</v>
          </cell>
          <cell r="AE170">
            <v>42739934</v>
          </cell>
          <cell r="AF170">
            <v>40093150</v>
          </cell>
          <cell r="AG170">
            <v>32463017</v>
          </cell>
          <cell r="AI170">
            <v>30292659</v>
          </cell>
        </row>
        <row r="171">
          <cell r="I171">
            <v>6941560</v>
          </cell>
          <cell r="J171">
            <v>5202480</v>
          </cell>
          <cell r="K171">
            <v>6261436</v>
          </cell>
          <cell r="L171">
            <v>5401399</v>
          </cell>
          <cell r="M171">
            <v>5353712</v>
          </cell>
          <cell r="N171">
            <v>5780401</v>
          </cell>
          <cell r="O171">
            <v>6034681</v>
          </cell>
          <cell r="P171">
            <v>5139312</v>
          </cell>
          <cell r="Q171">
            <v>7652250</v>
          </cell>
          <cell r="R171">
            <v>8369493</v>
          </cell>
          <cell r="S171">
            <v>7851041</v>
          </cell>
          <cell r="T171">
            <v>8368776</v>
          </cell>
          <cell r="U171">
            <v>7593514</v>
          </cell>
          <cell r="V171">
            <v>6087617</v>
          </cell>
          <cell r="W171">
            <v>6861480</v>
          </cell>
          <cell r="X171">
            <v>5743787</v>
          </cell>
          <cell r="Y171">
            <v>8802078</v>
          </cell>
          <cell r="Z171">
            <v>4144446</v>
          </cell>
          <cell r="AA171">
            <v>9299320</v>
          </cell>
          <cell r="AB171">
            <v>3798433</v>
          </cell>
          <cell r="AC171">
            <v>6601875</v>
          </cell>
          <cell r="AD171">
            <v>8007893</v>
          </cell>
          <cell r="AE171">
            <v>8352978</v>
          </cell>
          <cell r="AF171">
            <v>7015951</v>
          </cell>
          <cell r="AG171">
            <v>2726821</v>
          </cell>
          <cell r="AI171">
            <v>5202480</v>
          </cell>
        </row>
        <row r="172">
          <cell r="I172">
            <v>3428216</v>
          </cell>
          <cell r="J172">
            <v>3833243</v>
          </cell>
          <cell r="K172">
            <v>3703962</v>
          </cell>
          <cell r="L172">
            <v>4567616</v>
          </cell>
          <cell r="M172">
            <v>4141355</v>
          </cell>
          <cell r="N172">
            <v>4085233</v>
          </cell>
          <cell r="O172">
            <v>4208469</v>
          </cell>
          <cell r="P172">
            <v>4025090</v>
          </cell>
          <cell r="Q172">
            <v>4140702</v>
          </cell>
          <cell r="R172">
            <v>5081699</v>
          </cell>
          <cell r="S172">
            <v>4726003</v>
          </cell>
          <cell r="T172">
            <v>4722485</v>
          </cell>
          <cell r="U172">
            <v>4853853</v>
          </cell>
          <cell r="V172">
            <v>4523706</v>
          </cell>
          <cell r="W172">
            <v>4050039</v>
          </cell>
          <cell r="X172">
            <v>4109754</v>
          </cell>
          <cell r="Y172">
            <v>4236746</v>
          </cell>
          <cell r="Z172">
            <v>4600611</v>
          </cell>
          <cell r="AA172">
            <v>4794565</v>
          </cell>
          <cell r="AB172">
            <v>3651770</v>
          </cell>
          <cell r="AC172">
            <v>3859897</v>
          </cell>
          <cell r="AD172">
            <v>5024160</v>
          </cell>
          <cell r="AE172">
            <v>4434931</v>
          </cell>
          <cell r="AF172">
            <v>4534183</v>
          </cell>
          <cell r="AG172">
            <v>4215402</v>
          </cell>
          <cell r="AI172">
            <v>3833243</v>
          </cell>
        </row>
        <row r="173">
          <cell r="I173">
            <v>6385731</v>
          </cell>
          <cell r="J173">
            <v>5002697</v>
          </cell>
          <cell r="K173">
            <v>4634781</v>
          </cell>
          <cell r="L173">
            <v>5852843</v>
          </cell>
          <cell r="M173">
            <v>6002366</v>
          </cell>
          <cell r="N173">
            <v>5745454</v>
          </cell>
          <cell r="O173">
            <v>6423650</v>
          </cell>
          <cell r="P173">
            <v>4487063</v>
          </cell>
          <cell r="Q173">
            <v>4829527</v>
          </cell>
          <cell r="R173">
            <v>5308095</v>
          </cell>
          <cell r="S173">
            <v>5470540</v>
          </cell>
          <cell r="T173">
            <v>5784064</v>
          </cell>
          <cell r="U173">
            <v>5343752</v>
          </cell>
          <cell r="V173">
            <v>5116153</v>
          </cell>
          <cell r="W173">
            <v>4546773</v>
          </cell>
          <cell r="X173">
            <v>5011009</v>
          </cell>
          <cell r="Y173">
            <v>5422408</v>
          </cell>
          <cell r="Z173">
            <v>5899229</v>
          </cell>
          <cell r="AA173">
            <v>5717910</v>
          </cell>
          <cell r="AB173">
            <v>4489213</v>
          </cell>
          <cell r="AC173">
            <v>4206505</v>
          </cell>
          <cell r="AD173">
            <v>5668018</v>
          </cell>
          <cell r="AE173">
            <v>5650767</v>
          </cell>
          <cell r="AF173">
            <v>5676664</v>
          </cell>
          <cell r="AG173">
            <v>5343399</v>
          </cell>
          <cell r="AI173">
            <v>5002697</v>
          </cell>
        </row>
        <row r="175">
          <cell r="I175">
            <v>196377</v>
          </cell>
          <cell r="J175">
            <v>202622</v>
          </cell>
          <cell r="K175">
            <v>210090</v>
          </cell>
          <cell r="L175">
            <v>221678</v>
          </cell>
          <cell r="M175">
            <v>232669</v>
          </cell>
          <cell r="N175">
            <v>215159</v>
          </cell>
          <cell r="O175">
            <v>205993</v>
          </cell>
          <cell r="P175">
            <v>190603</v>
          </cell>
          <cell r="Q175">
            <v>206278</v>
          </cell>
          <cell r="R175">
            <v>211422</v>
          </cell>
          <cell r="S175">
            <v>202187</v>
          </cell>
          <cell r="T175">
            <v>204215</v>
          </cell>
          <cell r="U175">
            <v>199173</v>
          </cell>
          <cell r="V175">
            <v>193607</v>
          </cell>
          <cell r="W175">
            <v>192666</v>
          </cell>
          <cell r="X175">
            <v>209642</v>
          </cell>
          <cell r="Y175">
            <v>212304</v>
          </cell>
          <cell r="Z175">
            <v>234594</v>
          </cell>
          <cell r="AA175">
            <v>186176</v>
          </cell>
          <cell r="AB175">
            <v>179723</v>
          </cell>
          <cell r="AC175">
            <v>199047</v>
          </cell>
          <cell r="AD175">
            <v>197044</v>
          </cell>
          <cell r="AE175">
            <v>199324</v>
          </cell>
          <cell r="AF175">
            <v>186836</v>
          </cell>
          <cell r="AG175">
            <v>204048</v>
          </cell>
          <cell r="AI175">
            <v>202622</v>
          </cell>
        </row>
        <row r="176">
          <cell r="I176">
            <v>557885</v>
          </cell>
          <cell r="J176">
            <v>572367</v>
          </cell>
          <cell r="K176">
            <v>640463</v>
          </cell>
          <cell r="L176">
            <v>666808</v>
          </cell>
          <cell r="M176">
            <v>697514</v>
          </cell>
          <cell r="N176">
            <v>806248</v>
          </cell>
          <cell r="O176">
            <v>627722</v>
          </cell>
          <cell r="P176">
            <v>529068</v>
          </cell>
          <cell r="Q176">
            <v>495835</v>
          </cell>
          <cell r="R176">
            <v>501645</v>
          </cell>
          <cell r="S176">
            <v>563356</v>
          </cell>
          <cell r="T176">
            <v>516824</v>
          </cell>
          <cell r="U176">
            <v>551042</v>
          </cell>
          <cell r="V176">
            <v>609039</v>
          </cell>
          <cell r="W176">
            <v>568408</v>
          </cell>
          <cell r="X176">
            <v>626321</v>
          </cell>
          <cell r="Y176">
            <v>716643</v>
          </cell>
          <cell r="Z176">
            <v>757841</v>
          </cell>
          <cell r="AA176">
            <v>606805</v>
          </cell>
          <cell r="AB176">
            <v>486820</v>
          </cell>
          <cell r="AC176">
            <v>528339</v>
          </cell>
          <cell r="AD176">
            <v>494683</v>
          </cell>
          <cell r="AE176">
            <v>497949</v>
          </cell>
          <cell r="AF176">
            <v>516452</v>
          </cell>
          <cell r="AG176">
            <v>591750</v>
          </cell>
          <cell r="AI176">
            <v>572367</v>
          </cell>
        </row>
        <row r="177">
          <cell r="I177">
            <v>309405</v>
          </cell>
          <cell r="J177">
            <v>318972</v>
          </cell>
          <cell r="K177">
            <v>360377</v>
          </cell>
          <cell r="L177">
            <v>345103</v>
          </cell>
          <cell r="M177">
            <v>355602</v>
          </cell>
          <cell r="N177">
            <v>397876</v>
          </cell>
          <cell r="O177">
            <v>315962</v>
          </cell>
          <cell r="P177">
            <v>307907</v>
          </cell>
          <cell r="Q177">
            <v>337862</v>
          </cell>
          <cell r="R177">
            <v>314015</v>
          </cell>
          <cell r="S177">
            <v>334448</v>
          </cell>
          <cell r="T177">
            <v>323247</v>
          </cell>
          <cell r="U177">
            <v>323287</v>
          </cell>
          <cell r="V177">
            <v>317092</v>
          </cell>
          <cell r="W177">
            <v>435841</v>
          </cell>
          <cell r="X177">
            <v>434986</v>
          </cell>
          <cell r="Y177">
            <v>462582</v>
          </cell>
          <cell r="Z177">
            <v>507143</v>
          </cell>
          <cell r="AA177">
            <v>464696</v>
          </cell>
          <cell r="AB177">
            <v>383249</v>
          </cell>
          <cell r="AC177">
            <v>353830</v>
          </cell>
          <cell r="AD177">
            <v>462387</v>
          </cell>
          <cell r="AE177">
            <v>423182</v>
          </cell>
          <cell r="AF177">
            <v>451089</v>
          </cell>
          <cell r="AG177">
            <v>412193</v>
          </cell>
          <cell r="AI177">
            <v>318972</v>
          </cell>
        </row>
        <row r="178">
          <cell r="I178">
            <v>340168</v>
          </cell>
          <cell r="J178">
            <v>314355</v>
          </cell>
          <cell r="K178">
            <v>375761</v>
          </cell>
          <cell r="L178">
            <v>348304</v>
          </cell>
          <cell r="M178">
            <v>374091</v>
          </cell>
          <cell r="N178">
            <v>424373</v>
          </cell>
          <cell r="O178">
            <v>354567</v>
          </cell>
          <cell r="P178">
            <v>348025</v>
          </cell>
          <cell r="Q178">
            <v>350483</v>
          </cell>
          <cell r="R178">
            <v>351650</v>
          </cell>
          <cell r="S178">
            <v>383168</v>
          </cell>
          <cell r="T178">
            <v>355147</v>
          </cell>
          <cell r="U178">
            <v>347694</v>
          </cell>
          <cell r="V178">
            <v>369513</v>
          </cell>
          <cell r="W178">
            <v>389224</v>
          </cell>
          <cell r="X178">
            <v>407548</v>
          </cell>
          <cell r="Y178">
            <v>422572</v>
          </cell>
          <cell r="Z178">
            <v>454864</v>
          </cell>
          <cell r="AA178">
            <v>361685</v>
          </cell>
          <cell r="AB178">
            <v>370889</v>
          </cell>
          <cell r="AC178">
            <v>401358</v>
          </cell>
          <cell r="AD178">
            <v>375186</v>
          </cell>
          <cell r="AE178">
            <v>363379</v>
          </cell>
          <cell r="AF178">
            <v>399645</v>
          </cell>
          <cell r="AG178">
            <v>345613</v>
          </cell>
          <cell r="AI178">
            <v>314355</v>
          </cell>
        </row>
        <row r="179">
          <cell r="I179">
            <v>146720</v>
          </cell>
          <cell r="J179">
            <v>122599</v>
          </cell>
          <cell r="K179">
            <v>124435</v>
          </cell>
          <cell r="L179">
            <v>138412</v>
          </cell>
          <cell r="M179">
            <v>132564</v>
          </cell>
          <cell r="N179">
            <v>163159</v>
          </cell>
          <cell r="O179">
            <v>140374</v>
          </cell>
          <cell r="P179">
            <v>113270</v>
          </cell>
          <cell r="Q179">
            <v>140086</v>
          </cell>
          <cell r="R179">
            <v>127999</v>
          </cell>
          <cell r="S179">
            <v>130789</v>
          </cell>
          <cell r="T179">
            <v>133814</v>
          </cell>
          <cell r="U179">
            <v>139661</v>
          </cell>
          <cell r="V179">
            <v>134523</v>
          </cell>
          <cell r="W179">
            <v>141616</v>
          </cell>
          <cell r="X179">
            <v>134662</v>
          </cell>
          <cell r="Y179">
            <v>136909</v>
          </cell>
          <cell r="Z179">
            <v>165059</v>
          </cell>
          <cell r="AA179">
            <v>125435</v>
          </cell>
          <cell r="AB179">
            <v>119930</v>
          </cell>
          <cell r="AC179">
            <v>124206</v>
          </cell>
          <cell r="AD179">
            <v>141003</v>
          </cell>
          <cell r="AE179">
            <v>126399</v>
          </cell>
          <cell r="AF179">
            <v>131856</v>
          </cell>
          <cell r="AG179">
            <v>134816</v>
          </cell>
          <cell r="AI179">
            <v>122599</v>
          </cell>
        </row>
        <row r="180">
          <cell r="I180">
            <v>130294</v>
          </cell>
          <cell r="J180">
            <v>114725</v>
          </cell>
          <cell r="K180">
            <v>137817</v>
          </cell>
          <cell r="L180">
            <v>111087</v>
          </cell>
          <cell r="M180">
            <v>120615</v>
          </cell>
          <cell r="N180">
            <v>133824</v>
          </cell>
          <cell r="O180">
            <v>123603</v>
          </cell>
          <cell r="P180">
            <v>109683</v>
          </cell>
          <cell r="Q180">
            <v>113146</v>
          </cell>
          <cell r="R180">
            <v>116282</v>
          </cell>
          <cell r="S180">
            <v>119989</v>
          </cell>
          <cell r="T180">
            <v>118363</v>
          </cell>
          <cell r="U180">
            <v>109609</v>
          </cell>
          <cell r="V180">
            <v>111964</v>
          </cell>
          <cell r="W180">
            <v>99422</v>
          </cell>
          <cell r="X180">
            <v>114452</v>
          </cell>
          <cell r="Y180">
            <v>107802</v>
          </cell>
          <cell r="Z180">
            <v>124547</v>
          </cell>
          <cell r="AA180">
            <v>95224</v>
          </cell>
          <cell r="AB180">
            <v>96559</v>
          </cell>
          <cell r="AC180">
            <v>83987</v>
          </cell>
          <cell r="AD180">
            <v>88555</v>
          </cell>
          <cell r="AE180">
            <v>107282</v>
          </cell>
          <cell r="AF180">
            <v>89182</v>
          </cell>
          <cell r="AG180">
            <v>107997</v>
          </cell>
          <cell r="AI180">
            <v>114725</v>
          </cell>
        </row>
        <row r="181">
          <cell r="I181">
            <v>661605</v>
          </cell>
          <cell r="J181">
            <v>559829</v>
          </cell>
          <cell r="K181">
            <v>598647</v>
          </cell>
          <cell r="L181">
            <v>595369</v>
          </cell>
          <cell r="M181">
            <v>638022</v>
          </cell>
          <cell r="N181">
            <v>481254</v>
          </cell>
          <cell r="O181">
            <v>244414</v>
          </cell>
          <cell r="P181">
            <v>208983</v>
          </cell>
          <cell r="Q181">
            <v>217819</v>
          </cell>
          <cell r="R181">
            <v>261689</v>
          </cell>
          <cell r="S181">
            <v>236536</v>
          </cell>
          <cell r="T181">
            <v>243219</v>
          </cell>
          <cell r="U181">
            <v>244300</v>
          </cell>
          <cell r="V181">
            <v>226442</v>
          </cell>
          <cell r="W181">
            <v>243916</v>
          </cell>
          <cell r="X181">
            <v>245876</v>
          </cell>
          <cell r="Y181">
            <v>289714</v>
          </cell>
          <cell r="Z181">
            <v>298247</v>
          </cell>
          <cell r="AA181">
            <v>238779</v>
          </cell>
          <cell r="AB181">
            <v>221845</v>
          </cell>
          <cell r="AC181">
            <v>218239</v>
          </cell>
          <cell r="AD181">
            <v>255347</v>
          </cell>
          <cell r="AE181">
            <v>221816</v>
          </cell>
          <cell r="AF181">
            <v>244457</v>
          </cell>
          <cell r="AG181">
            <v>230003</v>
          </cell>
          <cell r="AI181">
            <v>559829</v>
          </cell>
        </row>
        <row r="182">
          <cell r="I182">
            <v>135397</v>
          </cell>
          <cell r="J182">
            <v>125684</v>
          </cell>
          <cell r="K182">
            <v>150483</v>
          </cell>
          <cell r="L182">
            <v>142787</v>
          </cell>
          <cell r="M182">
            <v>143240</v>
          </cell>
          <cell r="N182">
            <v>166182</v>
          </cell>
          <cell r="O182">
            <v>143312</v>
          </cell>
          <cell r="P182">
            <v>113795</v>
          </cell>
          <cell r="Q182">
            <v>170775</v>
          </cell>
          <cell r="R182">
            <v>148263</v>
          </cell>
          <cell r="S182">
            <v>137440</v>
          </cell>
          <cell r="T182">
            <v>149965</v>
          </cell>
          <cell r="U182">
            <v>136436</v>
          </cell>
          <cell r="V182">
            <v>150110</v>
          </cell>
          <cell r="W182">
            <v>155178</v>
          </cell>
          <cell r="X182">
            <v>153782</v>
          </cell>
          <cell r="Y182">
            <v>159372</v>
          </cell>
          <cell r="Z182">
            <v>189644</v>
          </cell>
          <cell r="AA182">
            <v>157472</v>
          </cell>
          <cell r="AB182">
            <v>146282</v>
          </cell>
          <cell r="AC182">
            <v>153173</v>
          </cell>
          <cell r="AD182">
            <v>42850</v>
          </cell>
          <cell r="AE182">
            <v>35084</v>
          </cell>
          <cell r="AF182">
            <v>41922</v>
          </cell>
          <cell r="AG182">
            <v>37594</v>
          </cell>
          <cell r="AI182">
            <v>125684</v>
          </cell>
        </row>
        <row r="183">
          <cell r="I183">
            <v>250121</v>
          </cell>
          <cell r="J183">
            <v>219247</v>
          </cell>
          <cell r="K183">
            <v>233107</v>
          </cell>
          <cell r="L183">
            <v>241469</v>
          </cell>
          <cell r="M183">
            <v>251838</v>
          </cell>
          <cell r="N183">
            <v>286856</v>
          </cell>
          <cell r="O183">
            <v>235662</v>
          </cell>
          <cell r="P183">
            <v>201354</v>
          </cell>
          <cell r="Q183">
            <v>224794</v>
          </cell>
          <cell r="R183">
            <v>234102</v>
          </cell>
          <cell r="S183">
            <v>223826</v>
          </cell>
          <cell r="T183">
            <v>271615</v>
          </cell>
          <cell r="U183">
            <v>238713</v>
          </cell>
          <cell r="V183">
            <v>227802</v>
          </cell>
          <cell r="W183">
            <v>295451</v>
          </cell>
          <cell r="X183">
            <v>284352</v>
          </cell>
          <cell r="Y183">
            <v>328096</v>
          </cell>
          <cell r="Z183">
            <v>353719</v>
          </cell>
          <cell r="AA183">
            <v>286234</v>
          </cell>
          <cell r="AB183">
            <v>466649</v>
          </cell>
          <cell r="AC183">
            <v>239475</v>
          </cell>
          <cell r="AD183">
            <v>645310</v>
          </cell>
          <cell r="AE183">
            <v>471844</v>
          </cell>
          <cell r="AF183">
            <v>720543</v>
          </cell>
          <cell r="AG183">
            <v>377437</v>
          </cell>
          <cell r="AI183">
            <v>219247</v>
          </cell>
        </row>
        <row r="184">
          <cell r="I184">
            <v>245625</v>
          </cell>
          <cell r="J184">
            <v>249462</v>
          </cell>
          <cell r="K184">
            <v>262176</v>
          </cell>
          <cell r="L184">
            <v>408713</v>
          </cell>
          <cell r="M184">
            <v>318053</v>
          </cell>
          <cell r="N184">
            <v>417283</v>
          </cell>
          <cell r="O184">
            <v>405198</v>
          </cell>
          <cell r="P184">
            <v>313707</v>
          </cell>
          <cell r="Q184">
            <v>593455</v>
          </cell>
          <cell r="R184">
            <v>334504</v>
          </cell>
          <cell r="S184">
            <v>611781</v>
          </cell>
          <cell r="T184">
            <v>536080</v>
          </cell>
          <cell r="U184">
            <v>390125</v>
          </cell>
          <cell r="V184">
            <v>340421</v>
          </cell>
          <cell r="W184">
            <v>198934</v>
          </cell>
          <cell r="X184">
            <v>203253</v>
          </cell>
          <cell r="Y184">
            <v>259960</v>
          </cell>
          <cell r="Z184">
            <v>249843</v>
          </cell>
          <cell r="AA184">
            <v>216971</v>
          </cell>
          <cell r="AB184">
            <v>149797</v>
          </cell>
          <cell r="AC184">
            <v>195415</v>
          </cell>
          <cell r="AD184">
            <v>191580</v>
          </cell>
          <cell r="AE184">
            <v>148138</v>
          </cell>
          <cell r="AF184">
            <v>161222</v>
          </cell>
          <cell r="AG184">
            <v>188381</v>
          </cell>
          <cell r="AI184">
            <v>249462</v>
          </cell>
        </row>
        <row r="185">
          <cell r="I185">
            <v>510842</v>
          </cell>
          <cell r="J185">
            <v>463113</v>
          </cell>
          <cell r="K185">
            <v>475246</v>
          </cell>
          <cell r="L185">
            <v>493071</v>
          </cell>
          <cell r="M185">
            <v>488713</v>
          </cell>
          <cell r="N185">
            <v>571766</v>
          </cell>
          <cell r="O185">
            <v>507418</v>
          </cell>
          <cell r="P185">
            <v>429739</v>
          </cell>
          <cell r="Q185">
            <v>459733</v>
          </cell>
          <cell r="R185">
            <v>492130</v>
          </cell>
          <cell r="S185">
            <v>476720</v>
          </cell>
          <cell r="T185">
            <v>522458</v>
          </cell>
          <cell r="U185">
            <v>492040</v>
          </cell>
          <cell r="V185">
            <v>469382</v>
          </cell>
          <cell r="W185">
            <v>524536</v>
          </cell>
          <cell r="X185">
            <v>469002</v>
          </cell>
          <cell r="Y185">
            <v>544693</v>
          </cell>
          <cell r="Z185">
            <v>571540</v>
          </cell>
          <cell r="AA185">
            <v>506535</v>
          </cell>
          <cell r="AB185">
            <v>440672</v>
          </cell>
          <cell r="AC185">
            <v>457528</v>
          </cell>
          <cell r="AD185">
            <v>511130</v>
          </cell>
          <cell r="AE185">
            <v>470819</v>
          </cell>
          <cell r="AF185">
            <v>522147</v>
          </cell>
          <cell r="AG185">
            <v>474099</v>
          </cell>
          <cell r="AI185">
            <v>463113</v>
          </cell>
        </row>
        <row r="186">
          <cell r="I186">
            <v>83193</v>
          </cell>
          <cell r="J186">
            <v>53923</v>
          </cell>
          <cell r="K186">
            <v>58028</v>
          </cell>
          <cell r="L186">
            <v>53762</v>
          </cell>
          <cell r="M186">
            <v>59052</v>
          </cell>
          <cell r="N186">
            <v>69130</v>
          </cell>
          <cell r="O186">
            <v>59084</v>
          </cell>
          <cell r="P186">
            <v>39418</v>
          </cell>
          <cell r="Q186">
            <v>40873</v>
          </cell>
          <cell r="R186">
            <v>42485</v>
          </cell>
          <cell r="S186">
            <v>43643</v>
          </cell>
          <cell r="T186">
            <v>51684</v>
          </cell>
          <cell r="U186">
            <v>48365</v>
          </cell>
          <cell r="V186">
            <v>50241</v>
          </cell>
          <cell r="W186">
            <v>50731</v>
          </cell>
          <cell r="X186">
            <v>49089</v>
          </cell>
          <cell r="Y186">
            <v>59923</v>
          </cell>
          <cell r="Z186">
            <v>56902</v>
          </cell>
          <cell r="AA186">
            <v>39829</v>
          </cell>
          <cell r="AB186">
            <v>34641</v>
          </cell>
          <cell r="AC186">
            <v>33087</v>
          </cell>
          <cell r="AD186">
            <v>38242</v>
          </cell>
          <cell r="AE186">
            <v>33786</v>
          </cell>
          <cell r="AF186">
            <v>39476</v>
          </cell>
          <cell r="AG186">
            <v>36756</v>
          </cell>
          <cell r="AI186">
            <v>53923</v>
          </cell>
        </row>
        <row r="187">
          <cell r="I187">
            <v>184191</v>
          </cell>
          <cell r="J187">
            <v>154690</v>
          </cell>
          <cell r="K187">
            <v>182307</v>
          </cell>
          <cell r="L187">
            <v>179458</v>
          </cell>
          <cell r="M187">
            <v>185640</v>
          </cell>
          <cell r="N187">
            <v>217412</v>
          </cell>
          <cell r="O187">
            <v>179457</v>
          </cell>
          <cell r="P187">
            <v>151673</v>
          </cell>
          <cell r="Q187">
            <v>162784</v>
          </cell>
          <cell r="R187">
            <v>166606</v>
          </cell>
          <cell r="S187">
            <v>154883</v>
          </cell>
          <cell r="T187">
            <v>177869</v>
          </cell>
          <cell r="U187">
            <v>175613</v>
          </cell>
          <cell r="V187">
            <v>175219</v>
          </cell>
          <cell r="W187">
            <v>168517</v>
          </cell>
          <cell r="X187">
            <v>164686</v>
          </cell>
          <cell r="Y187">
            <v>180729</v>
          </cell>
          <cell r="Z187">
            <v>202367</v>
          </cell>
          <cell r="AA187">
            <v>161935</v>
          </cell>
          <cell r="AB187">
            <v>140352</v>
          </cell>
          <cell r="AC187">
            <v>136551</v>
          </cell>
          <cell r="AD187">
            <v>137768</v>
          </cell>
          <cell r="AE187">
            <v>132535</v>
          </cell>
          <cell r="AF187">
            <v>142429</v>
          </cell>
          <cell r="AG187">
            <v>157363</v>
          </cell>
          <cell r="AI187">
            <v>154690</v>
          </cell>
        </row>
        <row r="188">
          <cell r="I188">
            <v>520945</v>
          </cell>
          <cell r="J188">
            <v>521096</v>
          </cell>
          <cell r="K188">
            <v>576500</v>
          </cell>
          <cell r="L188">
            <v>573442</v>
          </cell>
          <cell r="M188">
            <v>598878</v>
          </cell>
          <cell r="N188">
            <v>644492</v>
          </cell>
          <cell r="O188">
            <v>601424</v>
          </cell>
          <cell r="P188">
            <v>488536</v>
          </cell>
          <cell r="Q188">
            <v>474982</v>
          </cell>
          <cell r="R188">
            <v>446500</v>
          </cell>
          <cell r="S188">
            <v>515879</v>
          </cell>
          <cell r="T188">
            <v>524080</v>
          </cell>
          <cell r="U188">
            <v>465865</v>
          </cell>
          <cell r="V188">
            <v>509138</v>
          </cell>
          <cell r="W188">
            <v>527623</v>
          </cell>
          <cell r="X188">
            <v>531072</v>
          </cell>
          <cell r="Y188">
            <v>535318</v>
          </cell>
          <cell r="Z188">
            <v>591952</v>
          </cell>
          <cell r="AA188">
            <v>536078</v>
          </cell>
          <cell r="AB188">
            <v>423521</v>
          </cell>
          <cell r="AC188">
            <v>422593</v>
          </cell>
          <cell r="AD188">
            <v>504064</v>
          </cell>
          <cell r="AE188">
            <v>435668</v>
          </cell>
          <cell r="AF188">
            <v>504975</v>
          </cell>
          <cell r="AG188">
            <v>448440</v>
          </cell>
          <cell r="AI188">
            <v>521096</v>
          </cell>
        </row>
        <row r="189">
          <cell r="I189">
            <v>507026</v>
          </cell>
          <cell r="J189">
            <v>572125</v>
          </cell>
          <cell r="K189">
            <v>370657</v>
          </cell>
          <cell r="L189">
            <v>158100</v>
          </cell>
          <cell r="M189">
            <v>164911</v>
          </cell>
          <cell r="N189">
            <v>239667</v>
          </cell>
          <cell r="O189">
            <v>457411</v>
          </cell>
          <cell r="P189">
            <v>601624</v>
          </cell>
          <cell r="Q189">
            <v>546264</v>
          </cell>
          <cell r="R189">
            <v>612913</v>
          </cell>
          <cell r="S189">
            <v>535315</v>
          </cell>
          <cell r="T189">
            <v>556592</v>
          </cell>
          <cell r="U189">
            <v>623346</v>
          </cell>
          <cell r="V189">
            <v>554594</v>
          </cell>
          <cell r="W189">
            <v>721666</v>
          </cell>
          <cell r="X189">
            <v>455698</v>
          </cell>
          <cell r="Y189">
            <v>245024</v>
          </cell>
          <cell r="Z189">
            <v>451199</v>
          </cell>
          <cell r="AA189">
            <v>688939</v>
          </cell>
          <cell r="AB189">
            <v>589123</v>
          </cell>
          <cell r="AC189">
            <v>604240</v>
          </cell>
          <cell r="AD189">
            <v>660295</v>
          </cell>
          <cell r="AE189">
            <v>634088</v>
          </cell>
          <cell r="AF189">
            <v>603568</v>
          </cell>
          <cell r="AG189">
            <v>706323</v>
          </cell>
          <cell r="AI189">
            <v>572125</v>
          </cell>
        </row>
        <row r="190">
          <cell r="I190">
            <v>130509</v>
          </cell>
          <cell r="J190">
            <v>116922</v>
          </cell>
          <cell r="K190">
            <v>115208</v>
          </cell>
          <cell r="L190">
            <v>117515</v>
          </cell>
          <cell r="M190">
            <v>130442</v>
          </cell>
          <cell r="N190">
            <v>149210</v>
          </cell>
          <cell r="O190">
            <v>128193</v>
          </cell>
          <cell r="P190">
            <v>55489</v>
          </cell>
          <cell r="Q190">
            <v>70466</v>
          </cell>
          <cell r="R190">
            <v>72590</v>
          </cell>
          <cell r="S190">
            <v>78481</v>
          </cell>
          <cell r="T190">
            <v>83781</v>
          </cell>
          <cell r="U190">
            <v>87251</v>
          </cell>
          <cell r="V190">
            <v>77550</v>
          </cell>
          <cell r="W190">
            <v>94913</v>
          </cell>
          <cell r="X190">
            <v>88671</v>
          </cell>
          <cell r="Y190">
            <v>102889</v>
          </cell>
          <cell r="Z190">
            <v>122153</v>
          </cell>
          <cell r="AA190">
            <v>98481</v>
          </cell>
          <cell r="AB190">
            <v>82255</v>
          </cell>
          <cell r="AC190">
            <v>82261</v>
          </cell>
          <cell r="AD190">
            <v>93751</v>
          </cell>
          <cell r="AE190">
            <v>79702</v>
          </cell>
          <cell r="AF190">
            <v>87253</v>
          </cell>
          <cell r="AG190">
            <v>80902</v>
          </cell>
          <cell r="AI190">
            <v>116922</v>
          </cell>
        </row>
        <row r="191">
          <cell r="I191">
            <v>272225</v>
          </cell>
          <cell r="J191">
            <v>215932</v>
          </cell>
          <cell r="K191">
            <v>193662</v>
          </cell>
          <cell r="L191">
            <v>207842</v>
          </cell>
          <cell r="M191">
            <v>198895</v>
          </cell>
          <cell r="N191">
            <v>213502</v>
          </cell>
          <cell r="O191">
            <v>630988</v>
          </cell>
          <cell r="P191">
            <v>539930</v>
          </cell>
          <cell r="Q191">
            <v>552697</v>
          </cell>
          <cell r="R191">
            <v>577672</v>
          </cell>
          <cell r="S191">
            <v>583998</v>
          </cell>
          <cell r="T191">
            <v>614699</v>
          </cell>
          <cell r="U191">
            <v>573108</v>
          </cell>
          <cell r="V191">
            <v>562411</v>
          </cell>
          <cell r="W191">
            <v>618164</v>
          </cell>
          <cell r="X191">
            <v>549172</v>
          </cell>
          <cell r="Y191">
            <v>577272</v>
          </cell>
          <cell r="Z191">
            <v>644863</v>
          </cell>
          <cell r="AA191">
            <v>619394</v>
          </cell>
          <cell r="AB191">
            <v>524247</v>
          </cell>
          <cell r="AC191">
            <v>618307</v>
          </cell>
          <cell r="AD191">
            <v>770329</v>
          </cell>
          <cell r="AE191">
            <v>752612</v>
          </cell>
          <cell r="AF191">
            <v>778621</v>
          </cell>
          <cell r="AG191">
            <v>763814</v>
          </cell>
          <cell r="AI191">
            <v>215932</v>
          </cell>
        </row>
        <row r="192">
          <cell r="I192">
            <v>242610</v>
          </cell>
          <cell r="J192">
            <v>219094</v>
          </cell>
          <cell r="K192">
            <v>256806</v>
          </cell>
          <cell r="L192">
            <v>252304</v>
          </cell>
          <cell r="M192">
            <v>257007</v>
          </cell>
          <cell r="N192">
            <v>328871</v>
          </cell>
          <cell r="O192">
            <v>252315</v>
          </cell>
          <cell r="P192">
            <v>241173</v>
          </cell>
          <cell r="Q192">
            <v>281054</v>
          </cell>
          <cell r="R192">
            <v>306396</v>
          </cell>
          <cell r="S192">
            <v>278977</v>
          </cell>
          <cell r="T192">
            <v>325049</v>
          </cell>
          <cell r="U192">
            <v>294149</v>
          </cell>
          <cell r="V192">
            <v>281503</v>
          </cell>
          <cell r="W192">
            <v>301870</v>
          </cell>
          <cell r="X192">
            <v>277441</v>
          </cell>
          <cell r="Y192">
            <v>302947</v>
          </cell>
          <cell r="Z192">
            <v>315102</v>
          </cell>
          <cell r="AA192">
            <v>325996</v>
          </cell>
          <cell r="AB192">
            <v>277139</v>
          </cell>
          <cell r="AC192">
            <v>268336</v>
          </cell>
          <cell r="AD192">
            <v>289569</v>
          </cell>
          <cell r="AE192">
            <v>283282</v>
          </cell>
          <cell r="AF192">
            <v>320009</v>
          </cell>
          <cell r="AG192">
            <v>291981</v>
          </cell>
          <cell r="AI192">
            <v>219094</v>
          </cell>
        </row>
        <row r="193">
          <cell r="I193">
            <v>295894</v>
          </cell>
          <cell r="J193">
            <v>263312</v>
          </cell>
          <cell r="K193">
            <v>257808</v>
          </cell>
          <cell r="L193">
            <v>378431</v>
          </cell>
          <cell r="M193">
            <v>363438</v>
          </cell>
          <cell r="N193">
            <v>366602</v>
          </cell>
          <cell r="O193">
            <v>405017</v>
          </cell>
          <cell r="P193">
            <v>297053</v>
          </cell>
          <cell r="Q193">
            <v>330776</v>
          </cell>
          <cell r="R193">
            <v>367528</v>
          </cell>
          <cell r="S193">
            <v>324654</v>
          </cell>
          <cell r="T193">
            <v>377213</v>
          </cell>
          <cell r="U193">
            <v>331138</v>
          </cell>
          <cell r="V193">
            <v>324731</v>
          </cell>
          <cell r="W193">
            <v>347078</v>
          </cell>
          <cell r="X193">
            <v>333104</v>
          </cell>
          <cell r="Y193">
            <v>345553</v>
          </cell>
          <cell r="Z193">
            <v>346948</v>
          </cell>
          <cell r="AA193">
            <v>387871</v>
          </cell>
          <cell r="AB193">
            <v>303609</v>
          </cell>
          <cell r="AC193">
            <v>346022</v>
          </cell>
          <cell r="AD193">
            <v>372134</v>
          </cell>
          <cell r="AE193">
            <v>333766</v>
          </cell>
          <cell r="AF193">
            <v>439242</v>
          </cell>
          <cell r="AG193">
            <v>482635</v>
          </cell>
          <cell r="AI193">
            <v>263312</v>
          </cell>
        </row>
        <row r="194">
          <cell r="I194">
            <v>516424</v>
          </cell>
          <cell r="J194">
            <v>425361</v>
          </cell>
          <cell r="K194">
            <v>396133</v>
          </cell>
          <cell r="L194">
            <v>420612</v>
          </cell>
          <cell r="M194">
            <v>449843</v>
          </cell>
          <cell r="N194">
            <v>407574</v>
          </cell>
          <cell r="O194">
            <v>455465</v>
          </cell>
          <cell r="P194">
            <v>396920</v>
          </cell>
          <cell r="Q194">
            <v>401822</v>
          </cell>
          <cell r="R194">
            <v>458420</v>
          </cell>
          <cell r="S194">
            <v>403507</v>
          </cell>
          <cell r="T194">
            <v>383400</v>
          </cell>
          <cell r="U194">
            <v>429009</v>
          </cell>
          <cell r="V194">
            <v>395950</v>
          </cell>
          <cell r="W194">
            <v>355540</v>
          </cell>
          <cell r="X194">
            <v>421908</v>
          </cell>
          <cell r="Y194">
            <v>299058</v>
          </cell>
          <cell r="Z194">
            <v>375002</v>
          </cell>
          <cell r="AA194">
            <v>384231</v>
          </cell>
          <cell r="AB194">
            <v>350894</v>
          </cell>
          <cell r="AC194">
            <v>334624</v>
          </cell>
          <cell r="AD194">
            <v>363317</v>
          </cell>
          <cell r="AE194">
            <v>362990</v>
          </cell>
          <cell r="AF194">
            <v>354838</v>
          </cell>
          <cell r="AG194">
            <v>340595</v>
          </cell>
          <cell r="AI194">
            <v>425361</v>
          </cell>
        </row>
        <row r="196">
          <cell r="I196">
            <v>205112124</v>
          </cell>
          <cell r="J196">
            <v>202848316</v>
          </cell>
          <cell r="K196">
            <v>203989444</v>
          </cell>
          <cell r="L196">
            <v>210664463</v>
          </cell>
          <cell r="M196">
            <v>199665415</v>
          </cell>
          <cell r="N196">
            <v>214235837</v>
          </cell>
          <cell r="O196">
            <v>208908386</v>
          </cell>
          <cell r="P196">
            <v>193836458</v>
          </cell>
          <cell r="Q196">
            <v>200375192</v>
          </cell>
          <cell r="R196">
            <v>214162547</v>
          </cell>
          <cell r="S196">
            <v>216590814</v>
          </cell>
          <cell r="T196">
            <v>202276374</v>
          </cell>
          <cell r="U196">
            <v>207503184</v>
          </cell>
          <cell r="V196">
            <v>193534288</v>
          </cell>
          <cell r="W196">
            <v>186190487</v>
          </cell>
          <cell r="X196">
            <v>193247243</v>
          </cell>
          <cell r="Y196">
            <v>189329525</v>
          </cell>
          <cell r="Z196">
            <v>200981428</v>
          </cell>
          <cell r="AA196">
            <v>188617274</v>
          </cell>
          <cell r="AB196">
            <v>166610708</v>
          </cell>
          <cell r="AC196">
            <v>184433065</v>
          </cell>
          <cell r="AD196">
            <v>197180732</v>
          </cell>
          <cell r="AE196">
            <v>183361285</v>
          </cell>
          <cell r="AF196">
            <v>178217072</v>
          </cell>
          <cell r="AG196">
            <v>181634688</v>
          </cell>
          <cell r="AI196">
            <v>202848316</v>
          </cell>
        </row>
        <row r="197">
          <cell r="I197">
            <v>39922786</v>
          </cell>
          <cell r="J197">
            <v>37788267</v>
          </cell>
          <cell r="K197">
            <v>46631052</v>
          </cell>
          <cell r="L197">
            <v>48540260</v>
          </cell>
          <cell r="M197">
            <v>51937962</v>
          </cell>
          <cell r="N197">
            <v>57987314</v>
          </cell>
          <cell r="O197">
            <v>43603433</v>
          </cell>
          <cell r="P197">
            <v>36327112</v>
          </cell>
          <cell r="Q197">
            <v>44553502</v>
          </cell>
          <cell r="R197">
            <v>46413793</v>
          </cell>
          <cell r="S197">
            <v>53392729</v>
          </cell>
          <cell r="T197">
            <v>47322427</v>
          </cell>
          <cell r="U197">
            <v>44320363</v>
          </cell>
          <cell r="V197">
            <v>40684111</v>
          </cell>
          <cell r="W197">
            <v>41634918</v>
          </cell>
          <cell r="X197">
            <v>50758776</v>
          </cell>
          <cell r="Y197">
            <v>59108465</v>
          </cell>
          <cell r="Z197">
            <v>57838323</v>
          </cell>
          <cell r="AA197">
            <v>45686647</v>
          </cell>
          <cell r="AB197">
            <v>36506842</v>
          </cell>
          <cell r="AC197">
            <v>46571568</v>
          </cell>
          <cell r="AD197">
            <v>59429825</v>
          </cell>
          <cell r="AE197">
            <v>59479548</v>
          </cell>
          <cell r="AF197">
            <v>49127529</v>
          </cell>
          <cell r="AG197">
            <v>43406192</v>
          </cell>
          <cell r="AI197">
            <v>37788267</v>
          </cell>
        </row>
        <row r="198">
          <cell r="I198">
            <v>50268179</v>
          </cell>
          <cell r="J198">
            <v>47471168</v>
          </cell>
          <cell r="K198">
            <v>58327428</v>
          </cell>
          <cell r="L198">
            <v>58761143</v>
          </cell>
          <cell r="M198">
            <v>60827888</v>
          </cell>
          <cell r="N198">
            <v>66919610</v>
          </cell>
          <cell r="O198">
            <v>52009042</v>
          </cell>
          <cell r="P198">
            <v>45519262</v>
          </cell>
          <cell r="Q198">
            <v>53634992</v>
          </cell>
          <cell r="R198">
            <v>53855375</v>
          </cell>
          <cell r="S198">
            <v>61509285</v>
          </cell>
          <cell r="T198">
            <v>57070697</v>
          </cell>
          <cell r="U198">
            <v>53361394</v>
          </cell>
          <cell r="V198">
            <v>46866142</v>
          </cell>
          <cell r="W198">
            <v>50184833</v>
          </cell>
          <cell r="X198">
            <v>55125467</v>
          </cell>
          <cell r="Y198">
            <v>64509334</v>
          </cell>
          <cell r="Z198">
            <v>63845471</v>
          </cell>
          <cell r="AA198">
            <v>51919567</v>
          </cell>
          <cell r="AB198">
            <v>42590244</v>
          </cell>
          <cell r="AC198">
            <v>41760763</v>
          </cell>
          <cell r="AD198">
            <v>55078615</v>
          </cell>
          <cell r="AE198">
            <v>53827229</v>
          </cell>
          <cell r="AF198">
            <v>49159670</v>
          </cell>
          <cell r="AG198">
            <v>39928889</v>
          </cell>
          <cell r="AI198">
            <v>47471168</v>
          </cell>
        </row>
        <row r="199">
          <cell r="I199">
            <v>67522378</v>
          </cell>
          <cell r="J199">
            <v>61401542</v>
          </cell>
          <cell r="K199">
            <v>74292996</v>
          </cell>
          <cell r="L199">
            <v>74004622</v>
          </cell>
          <cell r="M199">
            <v>74759740</v>
          </cell>
          <cell r="N199">
            <v>78030507</v>
          </cell>
          <cell r="O199">
            <v>66543710</v>
          </cell>
          <cell r="P199">
            <v>60714492</v>
          </cell>
          <cell r="Q199">
            <v>70556771</v>
          </cell>
          <cell r="R199">
            <v>70964009</v>
          </cell>
          <cell r="S199">
            <v>75778441</v>
          </cell>
          <cell r="T199">
            <v>72127589</v>
          </cell>
          <cell r="U199">
            <v>71734448</v>
          </cell>
          <cell r="V199">
            <v>62906579</v>
          </cell>
          <cell r="W199">
            <v>68989949</v>
          </cell>
          <cell r="X199">
            <v>69676163</v>
          </cell>
          <cell r="Y199">
            <v>76910552</v>
          </cell>
          <cell r="Z199">
            <v>76897198</v>
          </cell>
          <cell r="AA199">
            <v>68919327</v>
          </cell>
          <cell r="AB199">
            <v>55772651</v>
          </cell>
          <cell r="AC199">
            <v>63174285</v>
          </cell>
          <cell r="AD199">
            <v>75929795</v>
          </cell>
          <cell r="AE199">
            <v>69633838</v>
          </cell>
          <cell r="AF199">
            <v>72835412</v>
          </cell>
          <cell r="AG199">
            <v>60068071</v>
          </cell>
          <cell r="AI199">
            <v>61401542</v>
          </cell>
        </row>
        <row r="200">
          <cell r="I200">
            <v>54436746</v>
          </cell>
          <cell r="J200">
            <v>49114835</v>
          </cell>
          <cell r="K200">
            <v>57674871</v>
          </cell>
          <cell r="L200">
            <v>63251380</v>
          </cell>
          <cell r="M200">
            <v>64482105</v>
          </cell>
          <cell r="N200">
            <v>68088946</v>
          </cell>
          <cell r="O200">
            <v>57750223</v>
          </cell>
          <cell r="P200">
            <v>47298301</v>
          </cell>
          <cell r="Q200">
            <v>52051521</v>
          </cell>
          <cell r="R200">
            <v>57793408</v>
          </cell>
          <cell r="S200">
            <v>58821847</v>
          </cell>
          <cell r="T200">
            <v>57450751</v>
          </cell>
          <cell r="U200">
            <v>51642803</v>
          </cell>
          <cell r="V200">
            <v>43628817</v>
          </cell>
          <cell r="W200">
            <v>51568350</v>
          </cell>
          <cell r="X200">
            <v>54952510</v>
          </cell>
          <cell r="Y200">
            <v>64836844</v>
          </cell>
          <cell r="Z200">
            <v>65739711</v>
          </cell>
          <cell r="AA200">
            <v>52207894</v>
          </cell>
          <cell r="AB200">
            <v>41973840</v>
          </cell>
          <cell r="AC200">
            <v>45521287</v>
          </cell>
          <cell r="AD200">
            <v>60870977</v>
          </cell>
          <cell r="AE200">
            <v>56016884</v>
          </cell>
          <cell r="AF200">
            <v>56291658</v>
          </cell>
          <cell r="AG200">
            <v>44942071</v>
          </cell>
          <cell r="AI200">
            <v>49114835</v>
          </cell>
        </row>
        <row r="201">
          <cell r="I201">
            <v>64029928</v>
          </cell>
          <cell r="J201">
            <v>58435310</v>
          </cell>
          <cell r="K201">
            <v>65479479</v>
          </cell>
          <cell r="L201">
            <v>70732769</v>
          </cell>
          <cell r="M201">
            <v>73001855</v>
          </cell>
          <cell r="N201">
            <v>73918974</v>
          </cell>
          <cell r="O201">
            <v>64750133</v>
          </cell>
          <cell r="P201">
            <v>46953785</v>
          </cell>
          <cell r="Q201">
            <v>52226919</v>
          </cell>
          <cell r="R201">
            <v>57118689</v>
          </cell>
          <cell r="S201">
            <v>59853812</v>
          </cell>
          <cell r="T201">
            <v>60820774</v>
          </cell>
          <cell r="U201">
            <v>55074978</v>
          </cell>
          <cell r="V201">
            <v>48744801</v>
          </cell>
          <cell r="W201">
            <v>51806556</v>
          </cell>
          <cell r="X201">
            <v>54689388</v>
          </cell>
          <cell r="Y201">
            <v>68752527</v>
          </cell>
          <cell r="Z201">
            <v>69245557</v>
          </cell>
          <cell r="AA201">
            <v>57420951</v>
          </cell>
          <cell r="AB201">
            <v>47881384</v>
          </cell>
          <cell r="AC201">
            <v>49503009</v>
          </cell>
          <cell r="AD201">
            <v>65255627</v>
          </cell>
          <cell r="AE201">
            <v>59846576</v>
          </cell>
          <cell r="AF201">
            <v>58668927</v>
          </cell>
          <cell r="AG201">
            <v>50061515</v>
          </cell>
          <cell r="AI201">
            <v>58435310</v>
          </cell>
        </row>
        <row r="202">
          <cell r="I202">
            <v>60089205</v>
          </cell>
          <cell r="J202">
            <v>54786404</v>
          </cell>
          <cell r="K202">
            <v>61699975</v>
          </cell>
          <cell r="L202">
            <v>63937314</v>
          </cell>
          <cell r="M202">
            <v>68462985</v>
          </cell>
          <cell r="N202">
            <v>72541095</v>
          </cell>
          <cell r="O202">
            <v>58809153</v>
          </cell>
          <cell r="P202">
            <v>57393131</v>
          </cell>
          <cell r="Q202">
            <v>61823426</v>
          </cell>
          <cell r="R202">
            <v>70706841</v>
          </cell>
          <cell r="S202">
            <v>70932193</v>
          </cell>
          <cell r="T202">
            <v>76931478</v>
          </cell>
          <cell r="U202">
            <v>67999358</v>
          </cell>
          <cell r="V202">
            <v>60836567</v>
          </cell>
          <cell r="W202">
            <v>65075820</v>
          </cell>
          <cell r="X202">
            <v>66212247</v>
          </cell>
          <cell r="Y202">
            <v>77162092</v>
          </cell>
          <cell r="Z202">
            <v>79381376</v>
          </cell>
          <cell r="AA202">
            <v>68904235</v>
          </cell>
          <cell r="AB202">
            <v>55807251</v>
          </cell>
          <cell r="AC202">
            <v>58953878</v>
          </cell>
          <cell r="AD202">
            <v>74769872</v>
          </cell>
          <cell r="AE202">
            <v>73290895</v>
          </cell>
          <cell r="AF202">
            <v>71767958</v>
          </cell>
          <cell r="AG202">
            <v>59367697</v>
          </cell>
          <cell r="AI202">
            <v>54786404</v>
          </cell>
        </row>
        <row r="203">
          <cell r="I203">
            <v>55563207</v>
          </cell>
          <cell r="J203">
            <v>51218857</v>
          </cell>
          <cell r="K203">
            <v>59327665</v>
          </cell>
          <cell r="L203">
            <v>64874873</v>
          </cell>
          <cell r="M203">
            <v>68338547</v>
          </cell>
          <cell r="N203">
            <v>72810995</v>
          </cell>
          <cell r="O203">
            <v>58084727</v>
          </cell>
          <cell r="P203">
            <v>49373867</v>
          </cell>
          <cell r="Q203">
            <v>51513199</v>
          </cell>
          <cell r="R203">
            <v>60426950</v>
          </cell>
          <cell r="S203">
            <v>61509116</v>
          </cell>
          <cell r="T203">
            <v>68791272</v>
          </cell>
          <cell r="U203">
            <v>61552172</v>
          </cell>
          <cell r="V203">
            <v>52848586</v>
          </cell>
          <cell r="W203">
            <v>59517321</v>
          </cell>
          <cell r="X203">
            <v>59225739</v>
          </cell>
          <cell r="Y203">
            <v>72427808</v>
          </cell>
          <cell r="Z203">
            <v>76517577</v>
          </cell>
          <cell r="AA203">
            <v>61257589</v>
          </cell>
          <cell r="AB203">
            <v>48740844</v>
          </cell>
          <cell r="AC203">
            <v>51054222</v>
          </cell>
          <cell r="AD203">
            <v>65895619</v>
          </cell>
          <cell r="AE203">
            <v>64114537</v>
          </cell>
          <cell r="AF203">
            <v>63136154</v>
          </cell>
          <cell r="AG203">
            <v>49670102</v>
          </cell>
          <cell r="AI203">
            <v>51218857</v>
          </cell>
        </row>
        <row r="204">
          <cell r="I204">
            <v>54947005</v>
          </cell>
          <cell r="J204">
            <v>49092642</v>
          </cell>
          <cell r="K204">
            <v>54613824</v>
          </cell>
          <cell r="L204">
            <v>61126604</v>
          </cell>
          <cell r="M204">
            <v>63430781</v>
          </cell>
          <cell r="N204">
            <v>68078237</v>
          </cell>
          <cell r="O204">
            <v>55347011</v>
          </cell>
          <cell r="P204">
            <v>47088872</v>
          </cell>
          <cell r="Q204">
            <v>50810695</v>
          </cell>
          <cell r="R204">
            <v>59933656</v>
          </cell>
          <cell r="S204">
            <v>58820353</v>
          </cell>
          <cell r="T204">
            <v>66267634</v>
          </cell>
          <cell r="U204">
            <v>57185372</v>
          </cell>
          <cell r="V204">
            <v>48282078</v>
          </cell>
          <cell r="W204">
            <v>57701158</v>
          </cell>
          <cell r="X204">
            <v>55662294</v>
          </cell>
          <cell r="Y204">
            <v>67483581</v>
          </cell>
          <cell r="Z204">
            <v>71903388</v>
          </cell>
          <cell r="AA204">
            <v>57356805</v>
          </cell>
          <cell r="AB204">
            <v>48538642</v>
          </cell>
          <cell r="AC204">
            <v>50366701</v>
          </cell>
          <cell r="AD204">
            <v>63191178</v>
          </cell>
          <cell r="AE204">
            <v>59149807</v>
          </cell>
          <cell r="AF204">
            <v>61053865</v>
          </cell>
          <cell r="AG204">
            <v>48678533</v>
          </cell>
          <cell r="AI204">
            <v>49092642</v>
          </cell>
        </row>
        <row r="205">
          <cell r="I205">
            <v>53940673</v>
          </cell>
          <cell r="J205">
            <v>46783033</v>
          </cell>
          <cell r="K205">
            <v>50871628</v>
          </cell>
          <cell r="L205">
            <v>58835131</v>
          </cell>
          <cell r="M205">
            <v>63035756</v>
          </cell>
          <cell r="N205">
            <v>64325267</v>
          </cell>
          <cell r="O205">
            <v>54434403</v>
          </cell>
          <cell r="P205">
            <v>43920251</v>
          </cell>
          <cell r="Q205">
            <v>47054168</v>
          </cell>
          <cell r="R205">
            <v>56876242</v>
          </cell>
          <cell r="S205">
            <v>55747399</v>
          </cell>
          <cell r="T205">
            <v>60328544</v>
          </cell>
          <cell r="U205">
            <v>55210981</v>
          </cell>
          <cell r="V205">
            <v>46362911</v>
          </cell>
          <cell r="W205">
            <v>52932693</v>
          </cell>
          <cell r="X205">
            <v>53812412</v>
          </cell>
          <cell r="Y205">
            <v>64849448</v>
          </cell>
          <cell r="Z205">
            <v>67828114</v>
          </cell>
          <cell r="AA205">
            <v>55169026</v>
          </cell>
          <cell r="AB205">
            <v>44953497</v>
          </cell>
          <cell r="AC205">
            <v>45990712</v>
          </cell>
          <cell r="AD205">
            <v>63068817</v>
          </cell>
          <cell r="AE205">
            <v>57864370</v>
          </cell>
          <cell r="AF205">
            <v>58500083</v>
          </cell>
          <cell r="AG205">
            <v>46798174</v>
          </cell>
          <cell r="AI205">
            <v>46783033</v>
          </cell>
        </row>
        <row r="206">
          <cell r="I206">
            <v>60545445</v>
          </cell>
          <cell r="J206">
            <v>53517450</v>
          </cell>
          <cell r="K206">
            <v>55091203</v>
          </cell>
          <cell r="L206">
            <v>66010056</v>
          </cell>
          <cell r="M206">
            <v>69190352</v>
          </cell>
          <cell r="N206">
            <v>73706650</v>
          </cell>
          <cell r="O206">
            <v>61682089</v>
          </cell>
          <cell r="P206">
            <v>49332334</v>
          </cell>
          <cell r="Q206">
            <v>54445689</v>
          </cell>
          <cell r="R206">
            <v>64512521</v>
          </cell>
          <cell r="S206">
            <v>62689051</v>
          </cell>
          <cell r="T206">
            <v>70257957</v>
          </cell>
          <cell r="U206">
            <v>63851387</v>
          </cell>
          <cell r="V206">
            <v>53419150</v>
          </cell>
          <cell r="W206">
            <v>56251479</v>
          </cell>
          <cell r="X206">
            <v>58184128</v>
          </cell>
          <cell r="Y206">
            <v>70169497</v>
          </cell>
          <cell r="Z206">
            <v>73695857</v>
          </cell>
          <cell r="AA206">
            <v>61448299</v>
          </cell>
          <cell r="AB206">
            <v>48133168</v>
          </cell>
          <cell r="AC206">
            <v>49733209</v>
          </cell>
          <cell r="AD206">
            <v>67047849</v>
          </cell>
          <cell r="AE206">
            <v>60283285</v>
          </cell>
          <cell r="AF206">
            <v>66470500</v>
          </cell>
          <cell r="AG206">
            <v>53021338</v>
          </cell>
          <cell r="AI206">
            <v>53517450</v>
          </cell>
        </row>
        <row r="207">
          <cell r="I207">
            <v>76281995</v>
          </cell>
          <cell r="J207">
            <v>64546137</v>
          </cell>
          <cell r="K207">
            <v>68235691</v>
          </cell>
          <cell r="L207">
            <v>76443009</v>
          </cell>
          <cell r="M207">
            <v>80641315</v>
          </cell>
          <cell r="N207">
            <v>86807693</v>
          </cell>
          <cell r="O207">
            <v>72502284</v>
          </cell>
          <cell r="P207">
            <v>59650326</v>
          </cell>
          <cell r="Q207">
            <v>62414278</v>
          </cell>
          <cell r="R207">
            <v>73972456</v>
          </cell>
          <cell r="S207">
            <v>70976321</v>
          </cell>
          <cell r="T207">
            <v>80925731</v>
          </cell>
          <cell r="U207">
            <v>71122379</v>
          </cell>
          <cell r="V207">
            <v>62490629</v>
          </cell>
          <cell r="W207">
            <v>67553936</v>
          </cell>
          <cell r="X207">
            <v>66358023</v>
          </cell>
          <cell r="Y207">
            <v>82460397</v>
          </cell>
          <cell r="Z207">
            <v>84341435</v>
          </cell>
          <cell r="AA207">
            <v>74772235</v>
          </cell>
          <cell r="AB207">
            <v>59263361</v>
          </cell>
          <cell r="AC207">
            <v>58798182</v>
          </cell>
          <cell r="AD207">
            <v>76822836</v>
          </cell>
          <cell r="AE207">
            <v>75339200</v>
          </cell>
          <cell r="AF207">
            <v>75529228</v>
          </cell>
          <cell r="AG207">
            <v>63100202</v>
          </cell>
          <cell r="AI207">
            <v>64546137</v>
          </cell>
        </row>
        <row r="208">
          <cell r="I208">
            <v>42261775</v>
          </cell>
          <cell r="J208">
            <v>36180225</v>
          </cell>
          <cell r="K208">
            <v>39098375</v>
          </cell>
          <cell r="L208">
            <v>46749590</v>
          </cell>
          <cell r="M208">
            <v>49518207</v>
          </cell>
          <cell r="N208">
            <v>54065403</v>
          </cell>
          <cell r="O208">
            <v>45179742</v>
          </cell>
          <cell r="P208">
            <v>35980056</v>
          </cell>
          <cell r="Q208">
            <v>35481712</v>
          </cell>
          <cell r="R208">
            <v>46033566</v>
          </cell>
          <cell r="S208">
            <v>43523841</v>
          </cell>
          <cell r="T208">
            <v>50170949</v>
          </cell>
          <cell r="U208">
            <v>44010409</v>
          </cell>
          <cell r="V208">
            <v>37005610</v>
          </cell>
          <cell r="W208">
            <v>47184750</v>
          </cell>
          <cell r="X208">
            <v>45948475</v>
          </cell>
          <cell r="Y208">
            <v>57937697</v>
          </cell>
          <cell r="Z208">
            <v>61585045</v>
          </cell>
          <cell r="AA208">
            <v>52600758</v>
          </cell>
          <cell r="AB208">
            <v>40173642</v>
          </cell>
          <cell r="AC208">
            <v>39527481</v>
          </cell>
          <cell r="AD208">
            <v>51637747</v>
          </cell>
          <cell r="AE208">
            <v>52618663</v>
          </cell>
          <cell r="AF208">
            <v>54487732</v>
          </cell>
          <cell r="AG208">
            <v>41498472</v>
          </cell>
          <cell r="AI208">
            <v>36180225</v>
          </cell>
        </row>
        <row r="209">
          <cell r="I209">
            <v>68940368</v>
          </cell>
          <cell r="J209">
            <v>60189911</v>
          </cell>
          <cell r="K209">
            <v>62761702</v>
          </cell>
          <cell r="L209">
            <v>73203484</v>
          </cell>
          <cell r="M209">
            <v>74172936</v>
          </cell>
          <cell r="N209">
            <v>83119802</v>
          </cell>
          <cell r="O209">
            <v>72610884</v>
          </cell>
          <cell r="P209">
            <v>60303918</v>
          </cell>
          <cell r="Q209">
            <v>57455251</v>
          </cell>
          <cell r="R209">
            <v>72071433</v>
          </cell>
          <cell r="S209">
            <v>65867665</v>
          </cell>
          <cell r="T209">
            <v>69701666</v>
          </cell>
          <cell r="U209">
            <v>62584670</v>
          </cell>
          <cell r="V209">
            <v>56199303</v>
          </cell>
          <cell r="W209">
            <v>58530183</v>
          </cell>
          <cell r="X209">
            <v>57838405</v>
          </cell>
          <cell r="Y209">
            <v>67898684</v>
          </cell>
          <cell r="Z209">
            <v>74168121</v>
          </cell>
          <cell r="AA209">
            <v>63156861</v>
          </cell>
          <cell r="AB209">
            <v>52285141</v>
          </cell>
          <cell r="AC209">
            <v>50990051</v>
          </cell>
          <cell r="AD209">
            <v>63131608</v>
          </cell>
          <cell r="AE209">
            <v>62021837</v>
          </cell>
          <cell r="AF209">
            <v>63932576</v>
          </cell>
          <cell r="AG209">
            <v>52102522</v>
          </cell>
          <cell r="AI209">
            <v>60189911</v>
          </cell>
        </row>
        <row r="210">
          <cell r="I210">
            <v>61647334</v>
          </cell>
          <cell r="J210">
            <v>52857831</v>
          </cell>
          <cell r="K210">
            <v>53191134</v>
          </cell>
          <cell r="L210">
            <v>62028535</v>
          </cell>
          <cell r="M210">
            <v>65628717</v>
          </cell>
          <cell r="N210">
            <v>71478257</v>
          </cell>
          <cell r="O210">
            <v>61291333</v>
          </cell>
          <cell r="P210">
            <v>51331035</v>
          </cell>
          <cell r="Q210">
            <v>49990132</v>
          </cell>
          <cell r="R210">
            <v>61841804</v>
          </cell>
          <cell r="S210">
            <v>59433128</v>
          </cell>
          <cell r="T210">
            <v>71717485</v>
          </cell>
          <cell r="U210">
            <v>66003262</v>
          </cell>
          <cell r="V210">
            <v>58418882</v>
          </cell>
          <cell r="W210">
            <v>55626857</v>
          </cell>
          <cell r="X210">
            <v>54791510</v>
          </cell>
          <cell r="Y210">
            <v>66515043</v>
          </cell>
          <cell r="Z210">
            <v>71756727</v>
          </cell>
          <cell r="AA210">
            <v>63333490</v>
          </cell>
          <cell r="AB210">
            <v>50451005</v>
          </cell>
          <cell r="AC210">
            <v>50132519</v>
          </cell>
          <cell r="AD210">
            <v>64063076</v>
          </cell>
          <cell r="AE210">
            <v>60532343</v>
          </cell>
          <cell r="AF210">
            <v>64782339</v>
          </cell>
          <cell r="AG210">
            <v>51002940</v>
          </cell>
          <cell r="AI210">
            <v>52857831</v>
          </cell>
        </row>
        <row r="211">
          <cell r="I211">
            <v>62675813</v>
          </cell>
          <cell r="J211">
            <v>56692139</v>
          </cell>
          <cell r="K211">
            <v>53606801</v>
          </cell>
          <cell r="L211">
            <v>63463526</v>
          </cell>
          <cell r="M211">
            <v>67451507</v>
          </cell>
          <cell r="N211">
            <v>73196042</v>
          </cell>
          <cell r="O211">
            <v>69284325</v>
          </cell>
          <cell r="P211">
            <v>55607151</v>
          </cell>
          <cell r="Q211">
            <v>55897708</v>
          </cell>
          <cell r="R211">
            <v>69333240</v>
          </cell>
          <cell r="S211">
            <v>69551039</v>
          </cell>
          <cell r="T211">
            <v>74084770</v>
          </cell>
          <cell r="U211">
            <v>68139551</v>
          </cell>
          <cell r="V211">
            <v>62927505</v>
          </cell>
          <cell r="W211">
            <v>65956306</v>
          </cell>
          <cell r="X211">
            <v>67064680</v>
          </cell>
          <cell r="Y211">
            <v>79974599</v>
          </cell>
          <cell r="Z211">
            <v>82006907</v>
          </cell>
          <cell r="AA211">
            <v>77057847</v>
          </cell>
          <cell r="AB211">
            <v>60225422</v>
          </cell>
          <cell r="AC211">
            <v>60190184</v>
          </cell>
          <cell r="AD211">
            <v>73938979</v>
          </cell>
          <cell r="AE211">
            <v>73549941</v>
          </cell>
          <cell r="AF211">
            <v>76248504</v>
          </cell>
          <cell r="AG211">
            <v>63006278</v>
          </cell>
          <cell r="AI211">
            <v>56692139</v>
          </cell>
        </row>
        <row r="212">
          <cell r="I212">
            <v>104741027</v>
          </cell>
          <cell r="J212">
            <v>85140167</v>
          </cell>
          <cell r="K212">
            <v>90639039</v>
          </cell>
          <cell r="L212">
            <v>94051914</v>
          </cell>
          <cell r="M212">
            <v>94660386</v>
          </cell>
          <cell r="N212">
            <v>105061839</v>
          </cell>
          <cell r="O212">
            <v>101411967</v>
          </cell>
          <cell r="P212">
            <v>86225273</v>
          </cell>
          <cell r="Q212">
            <v>90137061</v>
          </cell>
          <cell r="R212">
            <v>109307984</v>
          </cell>
          <cell r="S212">
            <v>98540857</v>
          </cell>
          <cell r="T212">
            <v>110118576</v>
          </cell>
          <cell r="U212">
            <v>100896865</v>
          </cell>
          <cell r="V212">
            <v>94299085</v>
          </cell>
          <cell r="W212">
            <v>94182735</v>
          </cell>
          <cell r="X212">
            <v>87852055</v>
          </cell>
          <cell r="Y212">
            <v>102194945</v>
          </cell>
          <cell r="Z212">
            <v>103712365</v>
          </cell>
          <cell r="AA212">
            <v>102202508</v>
          </cell>
          <cell r="AB212">
            <v>86056196</v>
          </cell>
          <cell r="AC212">
            <v>82756364</v>
          </cell>
          <cell r="AD212">
            <v>105262668</v>
          </cell>
          <cell r="AE212">
            <v>109867451</v>
          </cell>
          <cell r="AF212">
            <v>107704446</v>
          </cell>
          <cell r="AG212">
            <v>87699009</v>
          </cell>
          <cell r="AI212">
            <v>85140167</v>
          </cell>
        </row>
        <row r="213">
          <cell r="I213">
            <v>60820665</v>
          </cell>
          <cell r="J213">
            <v>50009384</v>
          </cell>
          <cell r="K213">
            <v>52231056</v>
          </cell>
          <cell r="L213">
            <v>60473482</v>
          </cell>
          <cell r="M213">
            <v>61571184</v>
          </cell>
          <cell r="N213">
            <v>64662390</v>
          </cell>
          <cell r="O213">
            <v>68461812</v>
          </cell>
          <cell r="P213">
            <v>49247782</v>
          </cell>
          <cell r="Q213">
            <v>52846119</v>
          </cell>
          <cell r="R213">
            <v>59039951</v>
          </cell>
          <cell r="S213">
            <v>58727006</v>
          </cell>
          <cell r="T213">
            <v>64915094</v>
          </cell>
          <cell r="U213">
            <v>58538576</v>
          </cell>
          <cell r="V213">
            <v>53442647</v>
          </cell>
          <cell r="W213">
            <v>54967800</v>
          </cell>
          <cell r="X213">
            <v>54627534</v>
          </cell>
          <cell r="Y213">
            <v>67309523</v>
          </cell>
          <cell r="Z213">
            <v>65698659</v>
          </cell>
          <cell r="AA213">
            <v>70370265</v>
          </cell>
          <cell r="AB213">
            <v>47460104</v>
          </cell>
          <cell r="AC213">
            <v>47384550</v>
          </cell>
          <cell r="AD213">
            <v>59378415</v>
          </cell>
          <cell r="AE213">
            <v>63811106</v>
          </cell>
          <cell r="AF213">
            <v>64659036</v>
          </cell>
          <cell r="AG213">
            <v>49664224</v>
          </cell>
          <cell r="AI213">
            <v>50009384</v>
          </cell>
        </row>
        <row r="214">
          <cell r="I214">
            <v>63297050</v>
          </cell>
          <cell r="J214">
            <v>54772569</v>
          </cell>
          <cell r="K214">
            <v>52350527</v>
          </cell>
          <cell r="L214">
            <v>70260236</v>
          </cell>
          <cell r="M214">
            <v>64892765</v>
          </cell>
          <cell r="N214">
            <v>65220767</v>
          </cell>
          <cell r="O214">
            <v>74312881</v>
          </cell>
          <cell r="P214">
            <v>54611698</v>
          </cell>
          <cell r="Q214">
            <v>52279253</v>
          </cell>
          <cell r="R214">
            <v>62809825</v>
          </cell>
          <cell r="S214">
            <v>60677629</v>
          </cell>
          <cell r="T214">
            <v>65816366</v>
          </cell>
          <cell r="U214">
            <v>63044397</v>
          </cell>
          <cell r="V214">
            <v>56668456</v>
          </cell>
          <cell r="W214">
            <v>56747818</v>
          </cell>
          <cell r="X214">
            <v>60551639</v>
          </cell>
          <cell r="Y214">
            <v>69732779</v>
          </cell>
          <cell r="Z214">
            <v>69381526</v>
          </cell>
          <cell r="AA214">
            <v>71336410</v>
          </cell>
          <cell r="AB214">
            <v>54495541</v>
          </cell>
          <cell r="AC214">
            <v>52654596</v>
          </cell>
          <cell r="AD214">
            <v>57921825</v>
          </cell>
          <cell r="AE214">
            <v>59779001</v>
          </cell>
          <cell r="AF214">
            <v>61416732</v>
          </cell>
          <cell r="AG214">
            <v>51108828</v>
          </cell>
          <cell r="AI214">
            <v>54772569</v>
          </cell>
        </row>
        <row r="215">
          <cell r="I215">
            <v>150553026</v>
          </cell>
          <cell r="J215">
            <v>71858126</v>
          </cell>
          <cell r="K215">
            <v>103518888</v>
          </cell>
          <cell r="L215">
            <v>134562713</v>
          </cell>
          <cell r="M215">
            <v>107007775</v>
          </cell>
          <cell r="N215">
            <v>119713352</v>
          </cell>
          <cell r="O215">
            <v>132009728</v>
          </cell>
          <cell r="P215">
            <v>97895758</v>
          </cell>
          <cell r="Q215">
            <v>104476407</v>
          </cell>
          <cell r="R215">
            <v>111328431</v>
          </cell>
          <cell r="S215">
            <v>112015920</v>
          </cell>
          <cell r="T215">
            <v>120414097</v>
          </cell>
          <cell r="U215">
            <v>115312844</v>
          </cell>
          <cell r="V215">
            <v>106672945</v>
          </cell>
          <cell r="W215">
            <v>106754501</v>
          </cell>
          <cell r="X215">
            <v>113663372</v>
          </cell>
          <cell r="Y215">
            <v>112893412</v>
          </cell>
          <cell r="Z215">
            <v>130165678</v>
          </cell>
          <cell r="AA215">
            <v>125663344</v>
          </cell>
          <cell r="AB215">
            <v>104995620</v>
          </cell>
          <cell r="AC215">
            <v>108795962</v>
          </cell>
          <cell r="AD215">
            <v>101272906</v>
          </cell>
          <cell r="AE215">
            <v>114013360</v>
          </cell>
          <cell r="AF215">
            <v>128772711</v>
          </cell>
          <cell r="AG215">
            <v>96838891</v>
          </cell>
          <cell r="AI215">
            <v>71858126</v>
          </cell>
        </row>
        <row r="217">
          <cell r="I217">
            <v>785442</v>
          </cell>
          <cell r="J217">
            <v>1072325</v>
          </cell>
          <cell r="K217">
            <v>1627854</v>
          </cell>
          <cell r="L217">
            <v>1737004</v>
          </cell>
          <cell r="M217">
            <v>1926605</v>
          </cell>
          <cell r="N217">
            <v>2192924</v>
          </cell>
          <cell r="O217">
            <v>1149141</v>
          </cell>
          <cell r="P217">
            <v>707537</v>
          </cell>
          <cell r="Q217">
            <v>667603</v>
          </cell>
          <cell r="R217">
            <v>717285</v>
          </cell>
          <cell r="S217">
            <v>860877</v>
          </cell>
          <cell r="T217">
            <v>706425</v>
          </cell>
          <cell r="U217">
            <v>698515</v>
          </cell>
          <cell r="V217">
            <v>916904</v>
          </cell>
          <cell r="W217">
            <v>1115875</v>
          </cell>
          <cell r="X217">
            <v>1506023</v>
          </cell>
          <cell r="Y217">
            <v>1904968</v>
          </cell>
          <cell r="Z217">
            <v>1815087</v>
          </cell>
          <cell r="AA217">
            <v>1204159</v>
          </cell>
          <cell r="AB217">
            <v>801691</v>
          </cell>
          <cell r="AC217">
            <v>666826</v>
          </cell>
          <cell r="AD217">
            <v>844330</v>
          </cell>
          <cell r="AE217">
            <v>771380</v>
          </cell>
          <cell r="AF217">
            <v>656764</v>
          </cell>
          <cell r="AG217">
            <v>662484</v>
          </cell>
          <cell r="AI217">
            <v>1072325</v>
          </cell>
        </row>
        <row r="218">
          <cell r="I218">
            <v>1134702</v>
          </cell>
          <cell r="J218">
            <v>1447186</v>
          </cell>
          <cell r="K218">
            <v>2197994</v>
          </cell>
          <cell r="L218">
            <v>2504847</v>
          </cell>
          <cell r="M218">
            <v>2721542</v>
          </cell>
          <cell r="N218">
            <v>3091731</v>
          </cell>
          <cell r="O218">
            <v>1040473</v>
          </cell>
          <cell r="P218">
            <v>641737</v>
          </cell>
          <cell r="Q218">
            <v>632153</v>
          </cell>
          <cell r="R218">
            <v>658864</v>
          </cell>
          <cell r="S218">
            <v>777850</v>
          </cell>
          <cell r="T218">
            <v>686088</v>
          </cell>
          <cell r="U218">
            <v>617205</v>
          </cell>
          <cell r="V218">
            <v>758446</v>
          </cell>
          <cell r="W218">
            <v>1088753</v>
          </cell>
          <cell r="X218">
            <v>1321231</v>
          </cell>
          <cell r="Y218">
            <v>1858273</v>
          </cell>
          <cell r="Z218">
            <v>1707321</v>
          </cell>
          <cell r="AA218">
            <v>1108627</v>
          </cell>
          <cell r="AB218">
            <v>753706</v>
          </cell>
          <cell r="AC218">
            <v>624482</v>
          </cell>
          <cell r="AD218">
            <v>787028</v>
          </cell>
          <cell r="AE218">
            <v>733955</v>
          </cell>
          <cell r="AF218">
            <v>661851</v>
          </cell>
          <cell r="AG218">
            <v>566306</v>
          </cell>
          <cell r="AI218">
            <v>1447186</v>
          </cell>
        </row>
        <row r="219">
          <cell r="I219">
            <v>1016314</v>
          </cell>
          <cell r="J219">
            <v>1261852</v>
          </cell>
          <cell r="K219">
            <v>1755208</v>
          </cell>
          <cell r="L219">
            <v>2128296</v>
          </cell>
          <cell r="M219">
            <v>2307742</v>
          </cell>
          <cell r="N219">
            <v>2535678</v>
          </cell>
          <cell r="O219">
            <v>658591</v>
          </cell>
          <cell r="P219">
            <v>418442</v>
          </cell>
          <cell r="Q219">
            <v>418134</v>
          </cell>
          <cell r="R219">
            <v>482739</v>
          </cell>
          <cell r="S219">
            <v>519825</v>
          </cell>
          <cell r="T219">
            <v>503762</v>
          </cell>
          <cell r="U219">
            <v>444993</v>
          </cell>
          <cell r="V219">
            <v>494510</v>
          </cell>
          <cell r="W219">
            <v>688639</v>
          </cell>
          <cell r="X219">
            <v>803537</v>
          </cell>
          <cell r="Y219">
            <v>1080727</v>
          </cell>
          <cell r="Z219">
            <v>1081781</v>
          </cell>
          <cell r="AA219">
            <v>673166</v>
          </cell>
          <cell r="AB219">
            <v>456784</v>
          </cell>
          <cell r="AC219">
            <v>424225</v>
          </cell>
          <cell r="AD219">
            <v>524843</v>
          </cell>
          <cell r="AE219">
            <v>471860</v>
          </cell>
          <cell r="AF219">
            <v>476047</v>
          </cell>
          <cell r="AG219">
            <v>377845</v>
          </cell>
          <cell r="AI219">
            <v>1261852</v>
          </cell>
        </row>
        <row r="220">
          <cell r="I220">
            <v>1255407</v>
          </cell>
          <cell r="J220">
            <v>1562240</v>
          </cell>
          <cell r="K220">
            <v>2258658</v>
          </cell>
          <cell r="L220">
            <v>2679702</v>
          </cell>
          <cell r="M220">
            <v>2966487</v>
          </cell>
          <cell r="N220">
            <v>3120554</v>
          </cell>
          <cell r="O220">
            <v>929299</v>
          </cell>
          <cell r="P220">
            <v>518911</v>
          </cell>
          <cell r="Q220">
            <v>532735</v>
          </cell>
          <cell r="R220">
            <v>579422</v>
          </cell>
          <cell r="S220">
            <v>629158</v>
          </cell>
          <cell r="T220">
            <v>630720</v>
          </cell>
          <cell r="U220">
            <v>533568</v>
          </cell>
          <cell r="V220">
            <v>639795</v>
          </cell>
          <cell r="W220">
            <v>893959</v>
          </cell>
          <cell r="X220">
            <v>1043181</v>
          </cell>
          <cell r="Y220">
            <v>1452050</v>
          </cell>
          <cell r="Z220">
            <v>1357494</v>
          </cell>
          <cell r="AA220">
            <v>944988</v>
          </cell>
          <cell r="AB220">
            <v>590824</v>
          </cell>
          <cell r="AC220">
            <v>521785</v>
          </cell>
          <cell r="AD220">
            <v>648247</v>
          </cell>
          <cell r="AE220">
            <v>575555</v>
          </cell>
          <cell r="AF220">
            <v>569772</v>
          </cell>
          <cell r="AG220">
            <v>505700</v>
          </cell>
          <cell r="AI220">
            <v>1562240</v>
          </cell>
        </row>
        <row r="221">
          <cell r="I221">
            <v>1096231</v>
          </cell>
          <cell r="J221">
            <v>1482495</v>
          </cell>
          <cell r="K221">
            <v>2017679</v>
          </cell>
          <cell r="L221">
            <v>2451893</v>
          </cell>
          <cell r="M221">
            <v>2900341</v>
          </cell>
          <cell r="N221">
            <v>2822550</v>
          </cell>
          <cell r="O221">
            <v>1561896</v>
          </cell>
          <cell r="P221">
            <v>832105</v>
          </cell>
          <cell r="Q221">
            <v>806803</v>
          </cell>
          <cell r="R221">
            <v>972186</v>
          </cell>
          <cell r="S221">
            <v>990700</v>
          </cell>
          <cell r="T221">
            <v>948420</v>
          </cell>
          <cell r="U221">
            <v>852655</v>
          </cell>
          <cell r="V221">
            <v>961763</v>
          </cell>
          <cell r="W221">
            <v>1482875</v>
          </cell>
          <cell r="X221">
            <v>1717162</v>
          </cell>
          <cell r="Y221">
            <v>2450051</v>
          </cell>
          <cell r="Z221">
            <v>2289746</v>
          </cell>
          <cell r="AA221">
            <v>1643049</v>
          </cell>
          <cell r="AB221">
            <v>946026</v>
          </cell>
          <cell r="AC221">
            <v>859330</v>
          </cell>
          <cell r="AD221">
            <v>1090945</v>
          </cell>
          <cell r="AE221">
            <v>927389</v>
          </cell>
          <cell r="AF221">
            <v>934883</v>
          </cell>
          <cell r="AG221">
            <v>817751</v>
          </cell>
          <cell r="AI221">
            <v>1482495</v>
          </cell>
        </row>
        <row r="222">
          <cell r="I222">
            <v>1214484</v>
          </cell>
          <cell r="J222">
            <v>1582138</v>
          </cell>
          <cell r="K222">
            <v>2075767</v>
          </cell>
          <cell r="L222">
            <v>2671224</v>
          </cell>
          <cell r="M222">
            <v>3003057</v>
          </cell>
          <cell r="N222">
            <v>3118814</v>
          </cell>
          <cell r="O222">
            <v>1044194</v>
          </cell>
          <cell r="P222">
            <v>612130</v>
          </cell>
          <cell r="Q222">
            <v>548034</v>
          </cell>
          <cell r="R222">
            <v>603658</v>
          </cell>
          <cell r="S222">
            <v>652455</v>
          </cell>
          <cell r="T222">
            <v>657878</v>
          </cell>
          <cell r="U222">
            <v>572266</v>
          </cell>
          <cell r="V222">
            <v>674144</v>
          </cell>
          <cell r="W222">
            <v>953955</v>
          </cell>
          <cell r="X222">
            <v>1113409</v>
          </cell>
          <cell r="Y222">
            <v>1579366</v>
          </cell>
          <cell r="Z222">
            <v>1573170</v>
          </cell>
          <cell r="AA222">
            <v>1104593</v>
          </cell>
          <cell r="AB222">
            <v>638029</v>
          </cell>
          <cell r="AC222">
            <v>564971</v>
          </cell>
          <cell r="AD222">
            <v>683679</v>
          </cell>
          <cell r="AE222">
            <v>612579</v>
          </cell>
          <cell r="AF222">
            <v>582948</v>
          </cell>
          <cell r="AG222">
            <v>542544</v>
          </cell>
          <cell r="AI222">
            <v>1582138</v>
          </cell>
        </row>
        <row r="223">
          <cell r="I223">
            <v>1177510</v>
          </cell>
          <cell r="J223">
            <v>1546394</v>
          </cell>
          <cell r="K223">
            <v>1991725</v>
          </cell>
          <cell r="L223">
            <v>2633944</v>
          </cell>
          <cell r="M223">
            <v>2915612</v>
          </cell>
          <cell r="N223">
            <v>3082510</v>
          </cell>
          <cell r="O223">
            <v>434911</v>
          </cell>
          <cell r="P223">
            <v>279748</v>
          </cell>
          <cell r="Q223">
            <v>244491</v>
          </cell>
          <cell r="R223">
            <v>270978</v>
          </cell>
          <cell r="S223">
            <v>283287</v>
          </cell>
          <cell r="T223">
            <v>308099</v>
          </cell>
          <cell r="U223">
            <v>241622</v>
          </cell>
          <cell r="V223">
            <v>238401</v>
          </cell>
          <cell r="W223">
            <v>388825</v>
          </cell>
          <cell r="X223">
            <v>425076</v>
          </cell>
          <cell r="Y223">
            <v>564987</v>
          </cell>
          <cell r="Z223">
            <v>644901</v>
          </cell>
          <cell r="AA223">
            <v>442055</v>
          </cell>
          <cell r="AB223">
            <v>264979</v>
          </cell>
          <cell r="AC223">
            <v>240039</v>
          </cell>
          <cell r="AD223">
            <v>299506</v>
          </cell>
          <cell r="AE223">
            <v>289194</v>
          </cell>
          <cell r="AF223">
            <v>262927</v>
          </cell>
          <cell r="AG223">
            <v>211179</v>
          </cell>
          <cell r="AI223">
            <v>1546394</v>
          </cell>
        </row>
        <row r="224">
          <cell r="I224">
            <v>1215686</v>
          </cell>
          <cell r="J224">
            <v>1599956</v>
          </cell>
          <cell r="K224">
            <v>2025905</v>
          </cell>
          <cell r="L224">
            <v>2670293</v>
          </cell>
          <cell r="M224">
            <v>3010562</v>
          </cell>
          <cell r="N224">
            <v>3033370</v>
          </cell>
          <cell r="O224">
            <v>1600470</v>
          </cell>
          <cell r="P224">
            <v>787294</v>
          </cell>
          <cell r="Q224">
            <v>695703</v>
          </cell>
          <cell r="R224">
            <v>796703</v>
          </cell>
          <cell r="S224">
            <v>807873</v>
          </cell>
          <cell r="T224">
            <v>863398</v>
          </cell>
          <cell r="U224">
            <v>718310</v>
          </cell>
          <cell r="V224">
            <v>738278</v>
          </cell>
          <cell r="W224">
            <v>1281957</v>
          </cell>
          <cell r="X224">
            <v>1484284</v>
          </cell>
          <cell r="Y224">
            <v>1939504</v>
          </cell>
          <cell r="Z224">
            <v>2083479</v>
          </cell>
          <cell r="AA224">
            <v>1410770</v>
          </cell>
          <cell r="AB224">
            <v>898012</v>
          </cell>
          <cell r="AC224">
            <v>741566</v>
          </cell>
          <cell r="AD224">
            <v>815416</v>
          </cell>
          <cell r="AE224">
            <v>788423</v>
          </cell>
          <cell r="AF224">
            <v>813727</v>
          </cell>
          <cell r="AG224">
            <v>652629</v>
          </cell>
          <cell r="AI224">
            <v>1599956</v>
          </cell>
        </row>
        <row r="225">
          <cell r="I225">
            <v>917532</v>
          </cell>
          <cell r="J225">
            <v>1134063</v>
          </cell>
          <cell r="K225">
            <v>1440489</v>
          </cell>
          <cell r="L225">
            <v>2112918</v>
          </cell>
          <cell r="M225">
            <v>2423809</v>
          </cell>
          <cell r="N225">
            <v>2337108</v>
          </cell>
          <cell r="O225">
            <v>1564506</v>
          </cell>
          <cell r="P225">
            <v>847831</v>
          </cell>
          <cell r="Q225">
            <v>703840</v>
          </cell>
          <cell r="R225">
            <v>817397</v>
          </cell>
          <cell r="S225">
            <v>855821</v>
          </cell>
          <cell r="T225">
            <v>876503</v>
          </cell>
          <cell r="U225">
            <v>830132</v>
          </cell>
          <cell r="V225">
            <v>727078</v>
          </cell>
          <cell r="W225">
            <v>1330764</v>
          </cell>
          <cell r="X225">
            <v>1511404</v>
          </cell>
          <cell r="Y225">
            <v>2199896</v>
          </cell>
          <cell r="Z225">
            <v>2250558</v>
          </cell>
          <cell r="AA225">
            <v>1660657</v>
          </cell>
          <cell r="AB225">
            <v>936586</v>
          </cell>
          <cell r="AC225">
            <v>842230</v>
          </cell>
          <cell r="AD225">
            <v>870602</v>
          </cell>
          <cell r="AE225">
            <v>851795</v>
          </cell>
          <cell r="AF225">
            <v>859545</v>
          </cell>
          <cell r="AG225">
            <v>721908</v>
          </cell>
          <cell r="AI225">
            <v>1134063</v>
          </cell>
        </row>
        <row r="226">
          <cell r="I226">
            <v>1129459</v>
          </cell>
          <cell r="J226">
            <v>1420544</v>
          </cell>
          <cell r="K226">
            <v>1664067</v>
          </cell>
          <cell r="L226">
            <v>2531271</v>
          </cell>
          <cell r="M226">
            <v>2905922</v>
          </cell>
          <cell r="N226">
            <v>2792320</v>
          </cell>
          <cell r="O226">
            <v>2101762</v>
          </cell>
          <cell r="P226">
            <v>449746</v>
          </cell>
          <cell r="Q226">
            <v>333209</v>
          </cell>
          <cell r="R226">
            <v>408396</v>
          </cell>
          <cell r="S226">
            <v>408044</v>
          </cell>
          <cell r="T226">
            <v>431904</v>
          </cell>
          <cell r="U226">
            <v>400826</v>
          </cell>
          <cell r="V226">
            <v>353927</v>
          </cell>
          <cell r="W226">
            <v>627325</v>
          </cell>
          <cell r="X226">
            <v>709144</v>
          </cell>
          <cell r="Y226">
            <v>980563</v>
          </cell>
          <cell r="Z226">
            <v>1079138</v>
          </cell>
          <cell r="AA226">
            <v>760575</v>
          </cell>
          <cell r="AB226">
            <v>456369</v>
          </cell>
          <cell r="AC226">
            <v>368909</v>
          </cell>
          <cell r="AD226">
            <v>445532</v>
          </cell>
          <cell r="AE226">
            <v>417258</v>
          </cell>
          <cell r="AF226">
            <v>422373</v>
          </cell>
          <cell r="AG226">
            <v>362686</v>
          </cell>
          <cell r="AI226">
            <v>1420544</v>
          </cell>
        </row>
        <row r="227">
          <cell r="I227">
            <v>1353309</v>
          </cell>
          <cell r="J227">
            <v>1762012</v>
          </cell>
          <cell r="K227">
            <v>1933390</v>
          </cell>
          <cell r="L227">
            <v>2994693</v>
          </cell>
          <cell r="M227">
            <v>3340017</v>
          </cell>
          <cell r="N227">
            <v>3565208</v>
          </cell>
          <cell r="O227">
            <v>2471921</v>
          </cell>
          <cell r="P227">
            <v>588844</v>
          </cell>
          <cell r="Q227">
            <v>431811</v>
          </cell>
          <cell r="R227">
            <v>494273</v>
          </cell>
          <cell r="S227">
            <v>489587</v>
          </cell>
          <cell r="T227">
            <v>580941</v>
          </cell>
          <cell r="U227">
            <v>457508</v>
          </cell>
          <cell r="V227">
            <v>462729</v>
          </cell>
          <cell r="W227">
            <v>747598</v>
          </cell>
          <cell r="X227">
            <v>780570</v>
          </cell>
          <cell r="Y227">
            <v>1284451</v>
          </cell>
          <cell r="Z227">
            <v>1369581</v>
          </cell>
          <cell r="AA227">
            <v>1019452</v>
          </cell>
          <cell r="AB227">
            <v>581650</v>
          </cell>
          <cell r="AC227">
            <v>490745</v>
          </cell>
          <cell r="AD227">
            <v>509029</v>
          </cell>
          <cell r="AE227">
            <v>553196</v>
          </cell>
          <cell r="AF227">
            <v>472762</v>
          </cell>
          <cell r="AG227">
            <v>434666</v>
          </cell>
          <cell r="AI227">
            <v>1762012</v>
          </cell>
        </row>
        <row r="228">
          <cell r="I228">
            <v>1051017</v>
          </cell>
          <cell r="J228">
            <v>1211374</v>
          </cell>
          <cell r="K228">
            <v>1463967</v>
          </cell>
          <cell r="L228">
            <v>2179755</v>
          </cell>
          <cell r="M228">
            <v>2435614</v>
          </cell>
          <cell r="N228">
            <v>2650724</v>
          </cell>
          <cell r="O228">
            <v>1876973</v>
          </cell>
          <cell r="P228">
            <v>753819</v>
          </cell>
          <cell r="Q228">
            <v>622159</v>
          </cell>
          <cell r="R228">
            <v>673106</v>
          </cell>
          <cell r="S228">
            <v>649636</v>
          </cell>
          <cell r="T228">
            <v>734639</v>
          </cell>
          <cell r="U228">
            <v>622146</v>
          </cell>
          <cell r="V228">
            <v>602207</v>
          </cell>
          <cell r="W228">
            <v>1010587</v>
          </cell>
          <cell r="X228">
            <v>1200584</v>
          </cell>
          <cell r="Y228">
            <v>1614441</v>
          </cell>
          <cell r="Z228">
            <v>1800550</v>
          </cell>
          <cell r="AA228">
            <v>1352358</v>
          </cell>
          <cell r="AB228">
            <v>805785</v>
          </cell>
          <cell r="AC228">
            <v>664245</v>
          </cell>
          <cell r="AD228">
            <v>665449</v>
          </cell>
          <cell r="AE228">
            <v>694108</v>
          </cell>
          <cell r="AF228">
            <v>679687</v>
          </cell>
          <cell r="AG228">
            <v>564742</v>
          </cell>
          <cell r="AI228">
            <v>1211374</v>
          </cell>
        </row>
        <row r="229">
          <cell r="I229">
            <v>1024510</v>
          </cell>
          <cell r="J229">
            <v>1164323</v>
          </cell>
          <cell r="K229">
            <v>1437830</v>
          </cell>
          <cell r="L229">
            <v>2099092</v>
          </cell>
          <cell r="M229">
            <v>2323549</v>
          </cell>
          <cell r="N229">
            <v>2561661</v>
          </cell>
          <cell r="O229">
            <v>1819559</v>
          </cell>
          <cell r="P229">
            <v>751829</v>
          </cell>
          <cell r="Q229">
            <v>623930</v>
          </cell>
          <cell r="R229">
            <v>657095</v>
          </cell>
          <cell r="S229">
            <v>621867</v>
          </cell>
          <cell r="T229">
            <v>731964</v>
          </cell>
          <cell r="U229">
            <v>644001</v>
          </cell>
          <cell r="V229">
            <v>591551</v>
          </cell>
          <cell r="W229">
            <v>968565</v>
          </cell>
          <cell r="X229">
            <v>1139437</v>
          </cell>
          <cell r="Y229">
            <v>1503652</v>
          </cell>
          <cell r="Z229">
            <v>1793839</v>
          </cell>
          <cell r="AA229">
            <v>1307191</v>
          </cell>
          <cell r="AB229">
            <v>834335</v>
          </cell>
          <cell r="AC229">
            <v>665644</v>
          </cell>
          <cell r="AD229">
            <v>694455</v>
          </cell>
          <cell r="AE229">
            <v>672435</v>
          </cell>
          <cell r="AF229">
            <v>714057</v>
          </cell>
          <cell r="AG229">
            <v>606062</v>
          </cell>
          <cell r="AI229">
            <v>1164323</v>
          </cell>
        </row>
        <row r="230">
          <cell r="I230">
            <v>1285590</v>
          </cell>
          <cell r="J230">
            <v>1509095</v>
          </cell>
          <cell r="K230">
            <v>1662064</v>
          </cell>
          <cell r="L230">
            <v>2748352</v>
          </cell>
          <cell r="M230">
            <v>3006597</v>
          </cell>
          <cell r="N230">
            <v>3151260</v>
          </cell>
          <cell r="O230">
            <v>2631157</v>
          </cell>
          <cell r="P230">
            <v>637329</v>
          </cell>
          <cell r="Q230">
            <v>521449</v>
          </cell>
          <cell r="R230">
            <v>581662</v>
          </cell>
          <cell r="S230">
            <v>540497</v>
          </cell>
          <cell r="T230">
            <v>594071</v>
          </cell>
          <cell r="U230">
            <v>544785</v>
          </cell>
          <cell r="V230">
            <v>512354</v>
          </cell>
          <cell r="W230">
            <v>807083</v>
          </cell>
          <cell r="X230">
            <v>925761</v>
          </cell>
          <cell r="Y230">
            <v>1247022</v>
          </cell>
          <cell r="Z230">
            <v>1500182</v>
          </cell>
          <cell r="AA230">
            <v>1133187</v>
          </cell>
          <cell r="AB230">
            <v>656989</v>
          </cell>
          <cell r="AC230">
            <v>587404</v>
          </cell>
          <cell r="AD230">
            <v>541820</v>
          </cell>
          <cell r="AE230">
            <v>571638</v>
          </cell>
          <cell r="AF230">
            <v>628164</v>
          </cell>
          <cell r="AG230">
            <v>509984</v>
          </cell>
          <cell r="AI230">
            <v>1509095</v>
          </cell>
        </row>
        <row r="231">
          <cell r="I231">
            <v>671335</v>
          </cell>
          <cell r="J231">
            <v>742844</v>
          </cell>
          <cell r="K231">
            <v>771650</v>
          </cell>
          <cell r="L231">
            <v>1277239</v>
          </cell>
          <cell r="M231">
            <v>1373258</v>
          </cell>
          <cell r="N231">
            <v>1489155</v>
          </cell>
          <cell r="O231">
            <v>1300261</v>
          </cell>
          <cell r="P231">
            <v>200924</v>
          </cell>
          <cell r="Q231">
            <v>166528</v>
          </cell>
          <cell r="R231">
            <v>172765</v>
          </cell>
          <cell r="S231">
            <v>179410</v>
          </cell>
          <cell r="T231">
            <v>188900</v>
          </cell>
          <cell r="U231">
            <v>179477</v>
          </cell>
          <cell r="V231">
            <v>152314</v>
          </cell>
          <cell r="W231">
            <v>226058</v>
          </cell>
          <cell r="X231">
            <v>285472</v>
          </cell>
          <cell r="Y231">
            <v>389854</v>
          </cell>
          <cell r="Z231">
            <v>466580</v>
          </cell>
          <cell r="AA231">
            <v>345506</v>
          </cell>
          <cell r="AB231">
            <v>203759</v>
          </cell>
          <cell r="AC231">
            <v>169061</v>
          </cell>
          <cell r="AD231">
            <v>167643</v>
          </cell>
          <cell r="AE231">
            <v>179602</v>
          </cell>
          <cell r="AF231">
            <v>176876</v>
          </cell>
          <cell r="AG231">
            <v>156816</v>
          </cell>
          <cell r="AI231">
            <v>742844</v>
          </cell>
        </row>
        <row r="232">
          <cell r="I232">
            <v>1118497</v>
          </cell>
          <cell r="J232">
            <v>1242176</v>
          </cell>
          <cell r="K232">
            <v>1370721</v>
          </cell>
          <cell r="L232">
            <v>2188704</v>
          </cell>
          <cell r="M232">
            <v>2308396</v>
          </cell>
          <cell r="N232">
            <v>2628603</v>
          </cell>
          <cell r="O232">
            <v>2449012</v>
          </cell>
          <cell r="P232">
            <v>675849</v>
          </cell>
          <cell r="Q232">
            <v>549785</v>
          </cell>
          <cell r="R232">
            <v>589738</v>
          </cell>
          <cell r="S232">
            <v>585808</v>
          </cell>
          <cell r="T232">
            <v>672941</v>
          </cell>
          <cell r="U232">
            <v>581082</v>
          </cell>
          <cell r="V232">
            <v>565069</v>
          </cell>
          <cell r="W232">
            <v>759698</v>
          </cell>
          <cell r="X232">
            <v>968152</v>
          </cell>
          <cell r="Y232">
            <v>1336555</v>
          </cell>
          <cell r="Z232">
            <v>1407589</v>
          </cell>
          <cell r="AA232">
            <v>1360526</v>
          </cell>
          <cell r="AB232">
            <v>681351</v>
          </cell>
          <cell r="AC232">
            <v>583768</v>
          </cell>
          <cell r="AD232">
            <v>603785</v>
          </cell>
          <cell r="AE232">
            <v>639317</v>
          </cell>
          <cell r="AF232">
            <v>606688</v>
          </cell>
          <cell r="AG232">
            <v>551232</v>
          </cell>
          <cell r="AI232">
            <v>1242176</v>
          </cell>
        </row>
        <row r="233">
          <cell r="I233">
            <v>734353</v>
          </cell>
          <cell r="J233">
            <v>742864</v>
          </cell>
          <cell r="K233">
            <v>855099</v>
          </cell>
          <cell r="L233">
            <v>1331453</v>
          </cell>
          <cell r="M233">
            <v>1378643</v>
          </cell>
          <cell r="N233">
            <v>1575753</v>
          </cell>
          <cell r="O233">
            <v>1532758</v>
          </cell>
          <cell r="P233">
            <v>181597</v>
          </cell>
          <cell r="Q233">
            <v>164116</v>
          </cell>
          <cell r="R233">
            <v>167202</v>
          </cell>
          <cell r="S233">
            <v>174744</v>
          </cell>
          <cell r="T233">
            <v>193949</v>
          </cell>
          <cell r="U233">
            <v>179719</v>
          </cell>
          <cell r="V233">
            <v>167516</v>
          </cell>
          <cell r="W233">
            <v>188646</v>
          </cell>
          <cell r="X233">
            <v>245575</v>
          </cell>
          <cell r="Y233">
            <v>355109</v>
          </cell>
          <cell r="Z233">
            <v>400596</v>
          </cell>
          <cell r="AA233">
            <v>371582</v>
          </cell>
          <cell r="AB233">
            <v>189734</v>
          </cell>
          <cell r="AC233">
            <v>159303</v>
          </cell>
          <cell r="AD233">
            <v>165456</v>
          </cell>
          <cell r="AE233">
            <v>192755</v>
          </cell>
          <cell r="AF233">
            <v>182600</v>
          </cell>
          <cell r="AG233">
            <v>147652</v>
          </cell>
          <cell r="AI233">
            <v>742864</v>
          </cell>
        </row>
        <row r="234">
          <cell r="I234">
            <v>1257339</v>
          </cell>
          <cell r="J234">
            <v>1201636</v>
          </cell>
          <cell r="K234">
            <v>1277132</v>
          </cell>
          <cell r="L234">
            <v>2345632</v>
          </cell>
          <cell r="M234">
            <v>2372373</v>
          </cell>
          <cell r="N234">
            <v>2342256</v>
          </cell>
          <cell r="O234">
            <v>2808763</v>
          </cell>
          <cell r="P234">
            <v>701980</v>
          </cell>
          <cell r="Q234">
            <v>501000</v>
          </cell>
          <cell r="R234">
            <v>571577</v>
          </cell>
          <cell r="S234">
            <v>540695</v>
          </cell>
          <cell r="T234">
            <v>617581</v>
          </cell>
          <cell r="U234">
            <v>556959</v>
          </cell>
          <cell r="V234">
            <v>499376</v>
          </cell>
          <cell r="W234">
            <v>673708</v>
          </cell>
          <cell r="X234">
            <v>855361</v>
          </cell>
          <cell r="Y234">
            <v>1169676</v>
          </cell>
          <cell r="Z234">
            <v>1359452</v>
          </cell>
          <cell r="AA234">
            <v>1312393</v>
          </cell>
          <cell r="AB234">
            <v>684160</v>
          </cell>
          <cell r="AC234">
            <v>547174</v>
          </cell>
          <cell r="AD234">
            <v>500896</v>
          </cell>
          <cell r="AE234">
            <v>587167</v>
          </cell>
          <cell r="AF234">
            <v>607097</v>
          </cell>
          <cell r="AG234">
            <v>478882</v>
          </cell>
          <cell r="AI234">
            <v>1201636</v>
          </cell>
        </row>
        <row r="235">
          <cell r="I235">
            <v>1147159</v>
          </cell>
          <cell r="J235">
            <v>1085667</v>
          </cell>
          <cell r="K235">
            <v>1320958</v>
          </cell>
          <cell r="L235">
            <v>2452605</v>
          </cell>
          <cell r="M235">
            <v>2449001</v>
          </cell>
          <cell r="N235">
            <v>2648465</v>
          </cell>
          <cell r="O235">
            <v>2938104</v>
          </cell>
          <cell r="P235">
            <v>1127369</v>
          </cell>
          <cell r="Q235">
            <v>720929</v>
          </cell>
          <cell r="R235">
            <v>732905</v>
          </cell>
          <cell r="S235">
            <v>839916</v>
          </cell>
          <cell r="T235">
            <v>830711</v>
          </cell>
          <cell r="U235">
            <v>799463</v>
          </cell>
          <cell r="V235">
            <v>731235</v>
          </cell>
          <cell r="W235">
            <v>998633</v>
          </cell>
          <cell r="X235">
            <v>1255376</v>
          </cell>
          <cell r="Y235">
            <v>1887384</v>
          </cell>
          <cell r="Z235">
            <v>2123348</v>
          </cell>
          <cell r="AA235">
            <v>2177206</v>
          </cell>
          <cell r="AB235">
            <v>1076392</v>
          </cell>
          <cell r="AC235">
            <v>843553</v>
          </cell>
          <cell r="AD235">
            <v>764991</v>
          </cell>
          <cell r="AE235">
            <v>858862</v>
          </cell>
          <cell r="AF235">
            <v>854777</v>
          </cell>
          <cell r="AG235">
            <v>716992</v>
          </cell>
          <cell r="AI235">
            <v>1085667</v>
          </cell>
        </row>
        <row r="236">
          <cell r="I236">
            <v>1958575</v>
          </cell>
          <cell r="J236">
            <v>2045367</v>
          </cell>
          <cell r="K236">
            <v>2323682</v>
          </cell>
          <cell r="L236">
            <v>3879658</v>
          </cell>
          <cell r="M236">
            <v>4016068</v>
          </cell>
          <cell r="N236">
            <v>4158498</v>
          </cell>
          <cell r="O236">
            <v>4857819</v>
          </cell>
          <cell r="P236">
            <v>1986398</v>
          </cell>
          <cell r="Q236">
            <v>1310480</v>
          </cell>
          <cell r="R236">
            <v>1207248</v>
          </cell>
          <cell r="S236">
            <v>1450625</v>
          </cell>
          <cell r="T236">
            <v>1524384</v>
          </cell>
          <cell r="U236">
            <v>1357298</v>
          </cell>
          <cell r="V236">
            <v>1358761</v>
          </cell>
          <cell r="W236">
            <v>1666474</v>
          </cell>
          <cell r="X236">
            <v>2134563</v>
          </cell>
          <cell r="Y236">
            <v>2960603</v>
          </cell>
          <cell r="Z236">
            <v>3310612</v>
          </cell>
          <cell r="AA236">
            <v>3500156</v>
          </cell>
          <cell r="AB236">
            <v>1873009</v>
          </cell>
          <cell r="AC236">
            <v>1469007</v>
          </cell>
          <cell r="AD236">
            <v>1323049</v>
          </cell>
          <cell r="AE236">
            <v>1498896</v>
          </cell>
          <cell r="AF236">
            <v>1475919</v>
          </cell>
          <cell r="AG236">
            <v>1243016</v>
          </cell>
          <cell r="AI236">
            <v>2045367</v>
          </cell>
        </row>
        <row r="238"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-404</v>
          </cell>
          <cell r="N238">
            <v>0</v>
          </cell>
          <cell r="O238">
            <v>209633</v>
          </cell>
          <cell r="P238">
            <v>132279</v>
          </cell>
          <cell r="Q238">
            <v>131303</v>
          </cell>
          <cell r="R238">
            <v>134353</v>
          </cell>
          <cell r="S238">
            <v>167023</v>
          </cell>
          <cell r="T238">
            <v>137090</v>
          </cell>
          <cell r="U238">
            <v>130842</v>
          </cell>
          <cell r="V238">
            <v>171307</v>
          </cell>
          <cell r="W238">
            <v>186642</v>
          </cell>
          <cell r="X238">
            <v>257743</v>
          </cell>
          <cell r="Y238">
            <v>338154</v>
          </cell>
          <cell r="Z238">
            <v>328819</v>
          </cell>
          <cell r="AA238">
            <v>204325</v>
          </cell>
          <cell r="AB238">
            <v>144218</v>
          </cell>
          <cell r="AC238">
            <v>122328</v>
          </cell>
          <cell r="AD238">
            <v>161918</v>
          </cell>
          <cell r="AE238">
            <v>142569</v>
          </cell>
          <cell r="AF238">
            <v>128133</v>
          </cell>
          <cell r="AG238">
            <v>118228</v>
          </cell>
          <cell r="AI238">
            <v>0</v>
          </cell>
        </row>
        <row r="239"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-1353</v>
          </cell>
          <cell r="O239">
            <v>803778</v>
          </cell>
          <cell r="P239">
            <v>503303</v>
          </cell>
          <cell r="Q239">
            <v>481911</v>
          </cell>
          <cell r="R239">
            <v>509198</v>
          </cell>
          <cell r="S239">
            <v>594678</v>
          </cell>
          <cell r="T239">
            <v>547319</v>
          </cell>
          <cell r="U239">
            <v>520278</v>
          </cell>
          <cell r="V239">
            <v>656027</v>
          </cell>
          <cell r="W239">
            <v>827583</v>
          </cell>
          <cell r="X239">
            <v>1071913</v>
          </cell>
          <cell r="Y239">
            <v>1313740</v>
          </cell>
          <cell r="Z239">
            <v>1333192</v>
          </cell>
          <cell r="AA239">
            <v>881053</v>
          </cell>
          <cell r="AB239">
            <v>593396</v>
          </cell>
          <cell r="AC239">
            <v>471072</v>
          </cell>
          <cell r="AD239">
            <v>615079</v>
          </cell>
          <cell r="AE239">
            <v>605100</v>
          </cell>
          <cell r="AF239">
            <v>468751</v>
          </cell>
          <cell r="AG239">
            <v>485552</v>
          </cell>
          <cell r="AI239">
            <v>0</v>
          </cell>
        </row>
        <row r="240"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-195</v>
          </cell>
          <cell r="N240">
            <v>-1373</v>
          </cell>
          <cell r="O240">
            <v>998674</v>
          </cell>
          <cell r="P240">
            <v>592397</v>
          </cell>
          <cell r="Q240">
            <v>588859</v>
          </cell>
          <cell r="R240">
            <v>659974</v>
          </cell>
          <cell r="S240">
            <v>697979</v>
          </cell>
          <cell r="T240">
            <v>657345</v>
          </cell>
          <cell r="U240">
            <v>605196</v>
          </cell>
          <cell r="V240">
            <v>727039</v>
          </cell>
          <cell r="W240">
            <v>991778</v>
          </cell>
          <cell r="X240">
            <v>1188482</v>
          </cell>
          <cell r="Y240">
            <v>1508441</v>
          </cell>
          <cell r="Z240">
            <v>1494803</v>
          </cell>
          <cell r="AA240">
            <v>1004000</v>
          </cell>
          <cell r="AB240">
            <v>684521</v>
          </cell>
          <cell r="AC240">
            <v>591344</v>
          </cell>
          <cell r="AD240">
            <v>716122</v>
          </cell>
          <cell r="AE240">
            <v>667548</v>
          </cell>
          <cell r="AF240">
            <v>620985</v>
          </cell>
          <cell r="AG240">
            <v>569637</v>
          </cell>
          <cell r="AI240">
            <v>0</v>
          </cell>
        </row>
        <row r="241">
          <cell r="I241">
            <v>0</v>
          </cell>
          <cell r="J241">
            <v>-1979</v>
          </cell>
          <cell r="K241">
            <v>0</v>
          </cell>
          <cell r="L241">
            <v>0</v>
          </cell>
          <cell r="M241">
            <v>0</v>
          </cell>
          <cell r="N241">
            <v>-1492</v>
          </cell>
          <cell r="O241">
            <v>1244336</v>
          </cell>
          <cell r="P241">
            <v>705916</v>
          </cell>
          <cell r="Q241">
            <v>707193</v>
          </cell>
          <cell r="R241">
            <v>776802</v>
          </cell>
          <cell r="S241">
            <v>834366</v>
          </cell>
          <cell r="T241">
            <v>854572</v>
          </cell>
          <cell r="U241">
            <v>748003</v>
          </cell>
          <cell r="V241">
            <v>835937</v>
          </cell>
          <cell r="W241">
            <v>1248060</v>
          </cell>
          <cell r="X241">
            <v>1476275</v>
          </cell>
          <cell r="Y241">
            <v>1970133</v>
          </cell>
          <cell r="Z241">
            <v>1851370</v>
          </cell>
          <cell r="AA241">
            <v>1248265</v>
          </cell>
          <cell r="AB241">
            <v>835100</v>
          </cell>
          <cell r="AC241">
            <v>743577</v>
          </cell>
          <cell r="AD241">
            <v>863903</v>
          </cell>
          <cell r="AE241">
            <v>791955</v>
          </cell>
          <cell r="AF241">
            <v>747098</v>
          </cell>
          <cell r="AG241">
            <v>712571</v>
          </cell>
          <cell r="AI241">
            <v>-1979</v>
          </cell>
        </row>
        <row r="242"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483629</v>
          </cell>
          <cell r="P242">
            <v>286728</v>
          </cell>
          <cell r="Q242">
            <v>289906</v>
          </cell>
          <cell r="R242">
            <v>326341</v>
          </cell>
          <cell r="S242">
            <v>344701</v>
          </cell>
          <cell r="T242">
            <v>327827</v>
          </cell>
          <cell r="U242">
            <v>307067</v>
          </cell>
          <cell r="V242">
            <v>342634</v>
          </cell>
          <cell r="W242">
            <v>495271</v>
          </cell>
          <cell r="X242">
            <v>554729</v>
          </cell>
          <cell r="Y242">
            <v>692389</v>
          </cell>
          <cell r="Z242">
            <v>778146</v>
          </cell>
          <cell r="AA242">
            <v>513869</v>
          </cell>
          <cell r="AB242">
            <v>312656</v>
          </cell>
          <cell r="AC242">
            <v>311013</v>
          </cell>
          <cell r="AD242">
            <v>372463</v>
          </cell>
          <cell r="AE242">
            <v>336494</v>
          </cell>
          <cell r="AF242">
            <v>318771</v>
          </cell>
          <cell r="AG242">
            <v>277631</v>
          </cell>
          <cell r="AI242">
            <v>0</v>
          </cell>
        </row>
        <row r="243"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-14</v>
          </cell>
          <cell r="O243">
            <v>1124880</v>
          </cell>
          <cell r="P243">
            <v>683277</v>
          </cell>
          <cell r="Q243">
            <v>661011</v>
          </cell>
          <cell r="R243">
            <v>735148</v>
          </cell>
          <cell r="S243">
            <v>800367</v>
          </cell>
          <cell r="T243">
            <v>810577</v>
          </cell>
          <cell r="U243">
            <v>695938</v>
          </cell>
          <cell r="V243">
            <v>740657</v>
          </cell>
          <cell r="W243">
            <v>1100162</v>
          </cell>
          <cell r="X243">
            <v>1291649</v>
          </cell>
          <cell r="Y243">
            <v>1668965</v>
          </cell>
          <cell r="Z243">
            <v>1748177</v>
          </cell>
          <cell r="AA243">
            <v>1224185</v>
          </cell>
          <cell r="AB243">
            <v>743224</v>
          </cell>
          <cell r="AC243">
            <v>657769</v>
          </cell>
          <cell r="AD243">
            <v>848856</v>
          </cell>
          <cell r="AE243">
            <v>775547</v>
          </cell>
          <cell r="AF243">
            <v>727551</v>
          </cell>
          <cell r="AG243">
            <v>637911</v>
          </cell>
          <cell r="AI243">
            <v>0</v>
          </cell>
        </row>
        <row r="244"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-2830</v>
          </cell>
          <cell r="N244">
            <v>0</v>
          </cell>
          <cell r="O244">
            <v>1665636</v>
          </cell>
          <cell r="P244">
            <v>1018243</v>
          </cell>
          <cell r="Q244">
            <v>909469</v>
          </cell>
          <cell r="R244">
            <v>1028572</v>
          </cell>
          <cell r="S244">
            <v>1049545</v>
          </cell>
          <cell r="T244">
            <v>1147036</v>
          </cell>
          <cell r="U244">
            <v>925282</v>
          </cell>
          <cell r="V244">
            <v>1008736</v>
          </cell>
          <cell r="W244">
            <v>1723836</v>
          </cell>
          <cell r="X244">
            <v>1874176</v>
          </cell>
          <cell r="Y244">
            <v>2467096</v>
          </cell>
          <cell r="Z244">
            <v>2654869</v>
          </cell>
          <cell r="AA244">
            <v>1909572</v>
          </cell>
          <cell r="AB244">
            <v>1102564</v>
          </cell>
          <cell r="AC244">
            <v>964900</v>
          </cell>
          <cell r="AD244">
            <v>1086431</v>
          </cell>
          <cell r="AE244">
            <v>1052381</v>
          </cell>
          <cell r="AF244">
            <v>1003492</v>
          </cell>
          <cell r="AG244">
            <v>915420</v>
          </cell>
          <cell r="AI244">
            <v>0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-3402</v>
          </cell>
          <cell r="O245">
            <v>581796</v>
          </cell>
          <cell r="P245">
            <v>513974</v>
          </cell>
          <cell r="Q245">
            <v>502267</v>
          </cell>
          <cell r="R245">
            <v>539853</v>
          </cell>
          <cell r="S245">
            <v>561560</v>
          </cell>
          <cell r="T245">
            <v>608768</v>
          </cell>
          <cell r="U245">
            <v>509735</v>
          </cell>
          <cell r="V245">
            <v>545485</v>
          </cell>
          <cell r="W245">
            <v>830535</v>
          </cell>
          <cell r="X245">
            <v>931934</v>
          </cell>
          <cell r="Y245">
            <v>1215789</v>
          </cell>
          <cell r="Z245">
            <v>1408111</v>
          </cell>
          <cell r="AA245">
            <v>945975</v>
          </cell>
          <cell r="AB245">
            <v>607068</v>
          </cell>
          <cell r="AC245">
            <v>530191</v>
          </cell>
          <cell r="AD245">
            <v>577271</v>
          </cell>
          <cell r="AE245">
            <v>562609</v>
          </cell>
          <cell r="AF245">
            <v>573381</v>
          </cell>
          <cell r="AG245">
            <v>474704</v>
          </cell>
          <cell r="AI245">
            <v>0</v>
          </cell>
        </row>
        <row r="246"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154734</v>
          </cell>
          <cell r="P246">
            <v>159447</v>
          </cell>
          <cell r="Q246">
            <v>138055</v>
          </cell>
          <cell r="R246">
            <v>139775</v>
          </cell>
          <cell r="S246">
            <v>147450</v>
          </cell>
          <cell r="T246">
            <v>161349</v>
          </cell>
          <cell r="U246">
            <v>142278</v>
          </cell>
          <cell r="V246">
            <v>143256</v>
          </cell>
          <cell r="W246">
            <v>241660</v>
          </cell>
          <cell r="X246">
            <v>287703</v>
          </cell>
          <cell r="Y246">
            <v>373956</v>
          </cell>
          <cell r="Z246">
            <v>441581</v>
          </cell>
          <cell r="AA246">
            <v>298179</v>
          </cell>
          <cell r="AB246">
            <v>178625</v>
          </cell>
          <cell r="AC246">
            <v>141587</v>
          </cell>
          <cell r="AD246">
            <v>152533</v>
          </cell>
          <cell r="AE246">
            <v>152153</v>
          </cell>
          <cell r="AF246">
            <v>157532</v>
          </cell>
          <cell r="AG246">
            <v>128205</v>
          </cell>
          <cell r="AI246">
            <v>0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-1163</v>
          </cell>
          <cell r="M247">
            <v>0</v>
          </cell>
          <cell r="N247">
            <v>8</v>
          </cell>
          <cell r="O247">
            <v>186</v>
          </cell>
          <cell r="P247">
            <v>900948</v>
          </cell>
          <cell r="Q247">
            <v>690718</v>
          </cell>
          <cell r="R247">
            <v>779693</v>
          </cell>
          <cell r="S247">
            <v>795600</v>
          </cell>
          <cell r="T247">
            <v>822699</v>
          </cell>
          <cell r="U247">
            <v>771305</v>
          </cell>
          <cell r="V247">
            <v>724234</v>
          </cell>
          <cell r="W247">
            <v>1271090</v>
          </cell>
          <cell r="X247">
            <v>1523616</v>
          </cell>
          <cell r="Y247">
            <v>2024316</v>
          </cell>
          <cell r="Z247">
            <v>2127418</v>
          </cell>
          <cell r="AA247">
            <v>1620248</v>
          </cell>
          <cell r="AB247">
            <v>927628</v>
          </cell>
          <cell r="AC247">
            <v>760970</v>
          </cell>
          <cell r="AD247">
            <v>835909</v>
          </cell>
          <cell r="AE247">
            <v>778756</v>
          </cell>
          <cell r="AF247">
            <v>790631</v>
          </cell>
          <cell r="AG247">
            <v>682962</v>
          </cell>
          <cell r="AI247">
            <v>0</v>
          </cell>
        </row>
        <row r="248"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-942</v>
          </cell>
          <cell r="O248">
            <v>2402</v>
          </cell>
          <cell r="P248">
            <v>1072278</v>
          </cell>
          <cell r="Q248">
            <v>874411</v>
          </cell>
          <cell r="R248">
            <v>906646</v>
          </cell>
          <cell r="S248">
            <v>845397</v>
          </cell>
          <cell r="T248">
            <v>1050930</v>
          </cell>
          <cell r="U248">
            <v>886520</v>
          </cell>
          <cell r="V248">
            <v>866384</v>
          </cell>
          <cell r="W248">
            <v>1446697</v>
          </cell>
          <cell r="X248">
            <v>1691371</v>
          </cell>
          <cell r="Y248">
            <v>2337802</v>
          </cell>
          <cell r="Z248">
            <v>2523007</v>
          </cell>
          <cell r="AA248">
            <v>1890485</v>
          </cell>
          <cell r="AB248">
            <v>1112368</v>
          </cell>
          <cell r="AC248">
            <v>886223</v>
          </cell>
          <cell r="AD248">
            <v>957786</v>
          </cell>
          <cell r="AE248">
            <v>986788</v>
          </cell>
          <cell r="AF248">
            <v>916866</v>
          </cell>
          <cell r="AG248">
            <v>852011</v>
          </cell>
          <cell r="AI248">
            <v>0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-11</v>
          </cell>
          <cell r="M249">
            <v>22</v>
          </cell>
          <cell r="N249">
            <v>0</v>
          </cell>
          <cell r="O249">
            <v>531</v>
          </cell>
          <cell r="P249">
            <v>483025</v>
          </cell>
          <cell r="Q249">
            <v>378885</v>
          </cell>
          <cell r="R249">
            <v>403581</v>
          </cell>
          <cell r="S249">
            <v>416523</v>
          </cell>
          <cell r="T249">
            <v>431265</v>
          </cell>
          <cell r="U249">
            <v>392214</v>
          </cell>
          <cell r="V249">
            <v>396809</v>
          </cell>
          <cell r="W249">
            <v>600579</v>
          </cell>
          <cell r="X249">
            <v>710612</v>
          </cell>
          <cell r="Y249">
            <v>983503</v>
          </cell>
          <cell r="Z249">
            <v>1169821</v>
          </cell>
          <cell r="AA249">
            <v>778324</v>
          </cell>
          <cell r="AB249">
            <v>493481</v>
          </cell>
          <cell r="AC249">
            <v>405142</v>
          </cell>
          <cell r="AD249">
            <v>419560</v>
          </cell>
          <cell r="AE249">
            <v>424662</v>
          </cell>
          <cell r="AF249">
            <v>404581</v>
          </cell>
          <cell r="AG249">
            <v>358744</v>
          </cell>
          <cell r="AI249">
            <v>0</v>
          </cell>
        </row>
        <row r="250"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-823</v>
          </cell>
          <cell r="O250">
            <v>1132</v>
          </cell>
          <cell r="P250">
            <v>455976</v>
          </cell>
          <cell r="Q250">
            <v>422243</v>
          </cell>
          <cell r="R250">
            <v>401800</v>
          </cell>
          <cell r="S250">
            <v>396140</v>
          </cell>
          <cell r="T250">
            <v>447110</v>
          </cell>
          <cell r="U250">
            <v>391814</v>
          </cell>
          <cell r="V250">
            <v>394980</v>
          </cell>
          <cell r="W250">
            <v>588653</v>
          </cell>
          <cell r="X250">
            <v>697330</v>
          </cell>
          <cell r="Y250">
            <v>919330</v>
          </cell>
          <cell r="Z250">
            <v>1088506</v>
          </cell>
          <cell r="AA250">
            <v>730587</v>
          </cell>
          <cell r="AB250">
            <v>493012</v>
          </cell>
          <cell r="AC250">
            <v>383769</v>
          </cell>
          <cell r="AD250">
            <v>400794</v>
          </cell>
          <cell r="AE250">
            <v>409650</v>
          </cell>
          <cell r="AF250">
            <v>393088</v>
          </cell>
          <cell r="AG250">
            <v>355904</v>
          </cell>
          <cell r="AI250">
            <v>0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38</v>
          </cell>
          <cell r="O251">
            <v>0</v>
          </cell>
          <cell r="P251">
            <v>865781</v>
          </cell>
          <cell r="Q251">
            <v>720267</v>
          </cell>
          <cell r="R251">
            <v>776581</v>
          </cell>
          <cell r="S251">
            <v>722006</v>
          </cell>
          <cell r="T251">
            <v>787999</v>
          </cell>
          <cell r="U251">
            <v>738616</v>
          </cell>
          <cell r="V251">
            <v>668770</v>
          </cell>
          <cell r="W251">
            <v>1137339</v>
          </cell>
          <cell r="X251">
            <v>1379993</v>
          </cell>
          <cell r="Y251">
            <v>1886364</v>
          </cell>
          <cell r="Z251">
            <v>2170827</v>
          </cell>
          <cell r="AA251">
            <v>1688725</v>
          </cell>
          <cell r="AB251">
            <v>938500</v>
          </cell>
          <cell r="AC251">
            <v>818107</v>
          </cell>
          <cell r="AD251">
            <v>748951</v>
          </cell>
          <cell r="AE251">
            <v>773452</v>
          </cell>
          <cell r="AF251">
            <v>789824</v>
          </cell>
          <cell r="AG251">
            <v>684132</v>
          </cell>
          <cell r="AI251">
            <v>0</v>
          </cell>
        </row>
        <row r="252"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-1</v>
          </cell>
          <cell r="N252">
            <v>-890</v>
          </cell>
          <cell r="O252">
            <v>561</v>
          </cell>
          <cell r="P252">
            <v>550470</v>
          </cell>
          <cell r="Q252">
            <v>460406</v>
          </cell>
          <cell r="R252">
            <v>496786</v>
          </cell>
          <cell r="S252">
            <v>505756</v>
          </cell>
          <cell r="T252">
            <v>514854</v>
          </cell>
          <cell r="U252">
            <v>517004</v>
          </cell>
          <cell r="V252">
            <v>435360</v>
          </cell>
          <cell r="W252">
            <v>634854</v>
          </cell>
          <cell r="X252">
            <v>810370</v>
          </cell>
          <cell r="Y252">
            <v>1063144</v>
          </cell>
          <cell r="Z252">
            <v>1271552</v>
          </cell>
          <cell r="AA252">
            <v>943795</v>
          </cell>
          <cell r="AB252">
            <v>588207</v>
          </cell>
          <cell r="AC252">
            <v>493896</v>
          </cell>
          <cell r="AD252">
            <v>501953</v>
          </cell>
          <cell r="AE252">
            <v>532526</v>
          </cell>
          <cell r="AF252">
            <v>527901</v>
          </cell>
          <cell r="AG252">
            <v>455624</v>
          </cell>
          <cell r="AI252">
            <v>0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-799</v>
          </cell>
          <cell r="N253">
            <v>0</v>
          </cell>
          <cell r="O253">
            <v>2472</v>
          </cell>
          <cell r="P253">
            <v>649995</v>
          </cell>
          <cell r="Q253">
            <v>523254</v>
          </cell>
          <cell r="R253">
            <v>560249</v>
          </cell>
          <cell r="S253">
            <v>566867</v>
          </cell>
          <cell r="T253">
            <v>605919</v>
          </cell>
          <cell r="U253">
            <v>564094</v>
          </cell>
          <cell r="V253">
            <v>538194</v>
          </cell>
          <cell r="W253">
            <v>729078</v>
          </cell>
          <cell r="X253">
            <v>949347</v>
          </cell>
          <cell r="Y253">
            <v>1278292</v>
          </cell>
          <cell r="Z253">
            <v>1435009</v>
          </cell>
          <cell r="AA253">
            <v>1254071</v>
          </cell>
          <cell r="AB253">
            <v>710157</v>
          </cell>
          <cell r="AC253">
            <v>586552</v>
          </cell>
          <cell r="AD253">
            <v>580217</v>
          </cell>
          <cell r="AE253">
            <v>625860</v>
          </cell>
          <cell r="AF253">
            <v>611319</v>
          </cell>
          <cell r="AG253">
            <v>513989</v>
          </cell>
          <cell r="AI253">
            <v>0</v>
          </cell>
        </row>
        <row r="254"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-5897</v>
          </cell>
          <cell r="N254">
            <v>-3375</v>
          </cell>
          <cell r="O254">
            <v>-1229</v>
          </cell>
          <cell r="P254">
            <v>624745</v>
          </cell>
          <cell r="Q254">
            <v>517452</v>
          </cell>
          <cell r="R254">
            <v>524695</v>
          </cell>
          <cell r="S254">
            <v>534446</v>
          </cell>
          <cell r="T254">
            <v>617033</v>
          </cell>
          <cell r="U254">
            <v>494797</v>
          </cell>
          <cell r="V254">
            <v>526894</v>
          </cell>
          <cell r="W254">
            <v>685500</v>
          </cell>
          <cell r="X254">
            <v>872529</v>
          </cell>
          <cell r="Y254">
            <v>1191667</v>
          </cell>
          <cell r="Z254">
            <v>1336228</v>
          </cell>
          <cell r="AA254">
            <v>1264505</v>
          </cell>
          <cell r="AB254">
            <v>667833</v>
          </cell>
          <cell r="AC254">
            <v>584662</v>
          </cell>
          <cell r="AD254">
            <v>509606</v>
          </cell>
          <cell r="AE254">
            <v>601733</v>
          </cell>
          <cell r="AF254">
            <v>589553</v>
          </cell>
          <cell r="AG254">
            <v>490864</v>
          </cell>
          <cell r="AI254">
            <v>0</v>
          </cell>
        </row>
        <row r="255">
          <cell r="I255">
            <v>0</v>
          </cell>
          <cell r="J255">
            <v>58</v>
          </cell>
          <cell r="K255">
            <v>62</v>
          </cell>
          <cell r="L255">
            <v>72</v>
          </cell>
          <cell r="M255">
            <v>0</v>
          </cell>
          <cell r="N255">
            <v>0</v>
          </cell>
          <cell r="O255">
            <v>-3061</v>
          </cell>
          <cell r="P255">
            <v>819928</v>
          </cell>
          <cell r="Q255">
            <v>610156</v>
          </cell>
          <cell r="R255">
            <v>667943</v>
          </cell>
          <cell r="S255">
            <v>662160</v>
          </cell>
          <cell r="T255">
            <v>720061</v>
          </cell>
          <cell r="U255">
            <v>704140</v>
          </cell>
          <cell r="V255">
            <v>633068</v>
          </cell>
          <cell r="W255">
            <v>812041</v>
          </cell>
          <cell r="X255">
            <v>1022334</v>
          </cell>
          <cell r="Y255">
            <v>1367148</v>
          </cell>
          <cell r="Z255">
            <v>1527867</v>
          </cell>
          <cell r="AA255">
            <v>1538871</v>
          </cell>
          <cell r="AB255">
            <v>859542</v>
          </cell>
          <cell r="AC255">
            <v>704517</v>
          </cell>
          <cell r="AD255">
            <v>640672</v>
          </cell>
          <cell r="AE255">
            <v>715600</v>
          </cell>
          <cell r="AF255">
            <v>711172</v>
          </cell>
          <cell r="AG255">
            <v>599263</v>
          </cell>
          <cell r="AI255">
            <v>58</v>
          </cell>
        </row>
        <row r="256">
          <cell r="I256">
            <v>0</v>
          </cell>
          <cell r="J256">
            <v>0</v>
          </cell>
          <cell r="K256">
            <v>0</v>
          </cell>
          <cell r="L256">
            <v>-735</v>
          </cell>
          <cell r="M256">
            <v>0</v>
          </cell>
          <cell r="N256">
            <v>-2965</v>
          </cell>
          <cell r="O256">
            <v>1053</v>
          </cell>
          <cell r="P256">
            <v>474252</v>
          </cell>
          <cell r="Q256">
            <v>355399</v>
          </cell>
          <cell r="R256">
            <v>328402</v>
          </cell>
          <cell r="S256">
            <v>392072</v>
          </cell>
          <cell r="T256">
            <v>361954</v>
          </cell>
          <cell r="U256">
            <v>351859</v>
          </cell>
          <cell r="V256">
            <v>380927</v>
          </cell>
          <cell r="W256">
            <v>466181</v>
          </cell>
          <cell r="X256">
            <v>602766</v>
          </cell>
          <cell r="Y256">
            <v>858539</v>
          </cell>
          <cell r="Z256">
            <v>940509</v>
          </cell>
          <cell r="AA256">
            <v>957121</v>
          </cell>
          <cell r="AB256">
            <v>502410</v>
          </cell>
          <cell r="AC256">
            <v>407644</v>
          </cell>
          <cell r="AD256">
            <v>319207</v>
          </cell>
          <cell r="AE256">
            <v>401607</v>
          </cell>
          <cell r="AF256">
            <v>364442</v>
          </cell>
          <cell r="AG256">
            <v>330811</v>
          </cell>
          <cell r="AI256">
            <v>0</v>
          </cell>
        </row>
        <row r="257"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-1001</v>
          </cell>
          <cell r="O257">
            <v>-3621</v>
          </cell>
          <cell r="P257">
            <v>862146</v>
          </cell>
          <cell r="Q257">
            <v>600578</v>
          </cell>
          <cell r="R257">
            <v>593373</v>
          </cell>
          <cell r="S257">
            <v>640785</v>
          </cell>
          <cell r="T257">
            <v>692655</v>
          </cell>
          <cell r="U257">
            <v>604392</v>
          </cell>
          <cell r="V257">
            <v>629634</v>
          </cell>
          <cell r="W257">
            <v>766187</v>
          </cell>
          <cell r="X257">
            <v>946872</v>
          </cell>
          <cell r="Y257">
            <v>1286453</v>
          </cell>
          <cell r="Z257">
            <v>1570847</v>
          </cell>
          <cell r="AA257">
            <v>1626408</v>
          </cell>
          <cell r="AB257">
            <v>868804</v>
          </cell>
          <cell r="AC257">
            <v>662860</v>
          </cell>
          <cell r="AD257">
            <v>655734</v>
          </cell>
          <cell r="AE257">
            <v>689509</v>
          </cell>
          <cell r="AF257">
            <v>684737</v>
          </cell>
          <cell r="AG257">
            <v>601315</v>
          </cell>
          <cell r="AI257">
            <v>0</v>
          </cell>
        </row>
        <row r="259">
          <cell r="I259">
            <v>0</v>
          </cell>
          <cell r="J259">
            <v>194</v>
          </cell>
          <cell r="K259">
            <v>119</v>
          </cell>
          <cell r="L259">
            <v>0</v>
          </cell>
          <cell r="M259">
            <v>0</v>
          </cell>
          <cell r="N259">
            <v>0</v>
          </cell>
          <cell r="O259">
            <v>77714</v>
          </cell>
          <cell r="P259">
            <v>69711</v>
          </cell>
          <cell r="Q259">
            <v>66493</v>
          </cell>
          <cell r="R259">
            <v>76524</v>
          </cell>
          <cell r="S259">
            <v>80197</v>
          </cell>
          <cell r="T259">
            <v>68129</v>
          </cell>
          <cell r="U259">
            <v>76488</v>
          </cell>
          <cell r="V259">
            <v>78491</v>
          </cell>
          <cell r="W259">
            <v>75517</v>
          </cell>
          <cell r="X259">
            <v>91182</v>
          </cell>
          <cell r="Y259">
            <v>105116</v>
          </cell>
          <cell r="Z259">
            <v>106091</v>
          </cell>
          <cell r="AA259">
            <v>86879</v>
          </cell>
          <cell r="AB259">
            <v>70136</v>
          </cell>
          <cell r="AC259">
            <v>76377</v>
          </cell>
          <cell r="AD259">
            <v>88400</v>
          </cell>
          <cell r="AE259">
            <v>82810</v>
          </cell>
          <cell r="AF259">
            <v>71952</v>
          </cell>
          <cell r="AG259">
            <v>76009</v>
          </cell>
          <cell r="AI259">
            <v>194</v>
          </cell>
        </row>
        <row r="260"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-60</v>
          </cell>
          <cell r="O260">
            <v>39660</v>
          </cell>
          <cell r="P260">
            <v>42301</v>
          </cell>
          <cell r="Q260">
            <v>43489</v>
          </cell>
          <cell r="R260">
            <v>45711</v>
          </cell>
          <cell r="S260">
            <v>52705</v>
          </cell>
          <cell r="T260">
            <v>47301</v>
          </cell>
          <cell r="U260">
            <v>45069</v>
          </cell>
          <cell r="V260">
            <v>42541</v>
          </cell>
          <cell r="W260">
            <v>46258</v>
          </cell>
          <cell r="X260">
            <v>48500</v>
          </cell>
          <cell r="Y260">
            <v>62192</v>
          </cell>
          <cell r="Z260">
            <v>65566</v>
          </cell>
          <cell r="AA260">
            <v>48905</v>
          </cell>
          <cell r="AB260">
            <v>42449</v>
          </cell>
          <cell r="AC260">
            <v>44985</v>
          </cell>
          <cell r="AD260">
            <v>53117</v>
          </cell>
          <cell r="AE260">
            <v>45908</v>
          </cell>
          <cell r="AF260">
            <v>52256</v>
          </cell>
          <cell r="AG260">
            <v>42221</v>
          </cell>
          <cell r="AI260">
            <v>0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-51</v>
          </cell>
          <cell r="O261">
            <v>293396</v>
          </cell>
          <cell r="P261">
            <v>258024</v>
          </cell>
          <cell r="Q261">
            <v>295214</v>
          </cell>
          <cell r="R261">
            <v>282790</v>
          </cell>
          <cell r="S261">
            <v>264545</v>
          </cell>
          <cell r="T261">
            <v>275765</v>
          </cell>
          <cell r="U261">
            <v>247762</v>
          </cell>
          <cell r="V261">
            <v>281274</v>
          </cell>
          <cell r="W261">
            <v>273435</v>
          </cell>
          <cell r="X261">
            <v>280373</v>
          </cell>
          <cell r="Y261">
            <v>319308</v>
          </cell>
          <cell r="Z261">
            <v>299466</v>
          </cell>
          <cell r="AA261">
            <v>273387</v>
          </cell>
          <cell r="AB261">
            <v>249883</v>
          </cell>
          <cell r="AC261">
            <v>243573</v>
          </cell>
          <cell r="AD261">
            <v>268024</v>
          </cell>
          <cell r="AE261">
            <v>258762</v>
          </cell>
          <cell r="AF261">
            <v>261501</v>
          </cell>
          <cell r="AG261">
            <v>220337</v>
          </cell>
          <cell r="AI261">
            <v>0</v>
          </cell>
        </row>
        <row r="262"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-36</v>
          </cell>
          <cell r="N262">
            <v>0</v>
          </cell>
          <cell r="O262">
            <v>84277</v>
          </cell>
          <cell r="P262">
            <v>64302</v>
          </cell>
          <cell r="Q262">
            <v>71610</v>
          </cell>
          <cell r="R262">
            <v>89484</v>
          </cell>
          <cell r="S262">
            <v>89314</v>
          </cell>
          <cell r="T262">
            <v>89918</v>
          </cell>
          <cell r="U262">
            <v>69367</v>
          </cell>
          <cell r="V262">
            <v>78335</v>
          </cell>
          <cell r="W262">
            <v>86227</v>
          </cell>
          <cell r="X262">
            <v>91630</v>
          </cell>
          <cell r="Y262">
            <v>124079</v>
          </cell>
          <cell r="Z262">
            <v>112158</v>
          </cell>
          <cell r="AA262">
            <v>85570</v>
          </cell>
          <cell r="AB262">
            <v>77984</v>
          </cell>
          <cell r="AC262">
            <v>67166</v>
          </cell>
          <cell r="AD262">
            <v>78231</v>
          </cell>
          <cell r="AE262">
            <v>70001</v>
          </cell>
          <cell r="AF262">
            <v>77463</v>
          </cell>
          <cell r="AG262">
            <v>72847</v>
          </cell>
          <cell r="AI262">
            <v>0</v>
          </cell>
        </row>
        <row r="263"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-556</v>
          </cell>
          <cell r="O263">
            <v>129774</v>
          </cell>
          <cell r="P263">
            <v>92861</v>
          </cell>
          <cell r="Q263">
            <v>98770</v>
          </cell>
          <cell r="R263">
            <v>120489</v>
          </cell>
          <cell r="S263">
            <v>99311</v>
          </cell>
          <cell r="T263">
            <v>102477</v>
          </cell>
          <cell r="U263">
            <v>108316</v>
          </cell>
          <cell r="V263">
            <v>98166</v>
          </cell>
          <cell r="W263">
            <v>110807</v>
          </cell>
          <cell r="X263">
            <v>130929</v>
          </cell>
          <cell r="Y263">
            <v>159672</v>
          </cell>
          <cell r="Z263">
            <v>167660</v>
          </cell>
          <cell r="AA263">
            <v>116181</v>
          </cell>
          <cell r="AB263">
            <v>87650</v>
          </cell>
          <cell r="AC263">
            <v>101576</v>
          </cell>
          <cell r="AD263">
            <v>106197</v>
          </cell>
          <cell r="AE263">
            <v>99519</v>
          </cell>
          <cell r="AF263">
            <v>101522</v>
          </cell>
          <cell r="AG263">
            <v>101747</v>
          </cell>
          <cell r="AI263">
            <v>0</v>
          </cell>
        </row>
        <row r="264"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255691</v>
          </cell>
          <cell r="P264">
            <v>190037</v>
          </cell>
          <cell r="Q264">
            <v>225200</v>
          </cell>
          <cell r="R264">
            <v>225200</v>
          </cell>
          <cell r="S264">
            <v>238967</v>
          </cell>
          <cell r="T264">
            <v>235696</v>
          </cell>
          <cell r="U264">
            <v>255104</v>
          </cell>
          <cell r="V264">
            <v>207773</v>
          </cell>
          <cell r="W264">
            <v>271330</v>
          </cell>
          <cell r="X264">
            <v>311315</v>
          </cell>
          <cell r="Y264">
            <v>362489</v>
          </cell>
          <cell r="Z264">
            <v>382346</v>
          </cell>
          <cell r="AA264">
            <v>269504</v>
          </cell>
          <cell r="AB264">
            <v>221884</v>
          </cell>
          <cell r="AC264">
            <v>227903</v>
          </cell>
          <cell r="AD264">
            <v>274642</v>
          </cell>
          <cell r="AE264">
            <v>254349</v>
          </cell>
          <cell r="AF264">
            <v>249004</v>
          </cell>
          <cell r="AG264">
            <v>226178</v>
          </cell>
          <cell r="AI264">
            <v>0</v>
          </cell>
        </row>
        <row r="265">
          <cell r="I265">
            <v>0</v>
          </cell>
          <cell r="J265">
            <v>0</v>
          </cell>
          <cell r="K265">
            <v>0</v>
          </cell>
          <cell r="L265">
            <v>-170</v>
          </cell>
          <cell r="M265">
            <v>-41</v>
          </cell>
          <cell r="N265">
            <v>-324</v>
          </cell>
          <cell r="O265">
            <v>812385</v>
          </cell>
          <cell r="P265">
            <v>769558</v>
          </cell>
          <cell r="Q265">
            <v>714911</v>
          </cell>
          <cell r="R265">
            <v>838713</v>
          </cell>
          <cell r="S265">
            <v>772316</v>
          </cell>
          <cell r="T265">
            <v>794812</v>
          </cell>
          <cell r="U265">
            <v>773263</v>
          </cell>
          <cell r="V265">
            <v>746984</v>
          </cell>
          <cell r="W265">
            <v>853317</v>
          </cell>
          <cell r="X265">
            <v>596009</v>
          </cell>
          <cell r="Y265">
            <v>191567</v>
          </cell>
          <cell r="Z265">
            <v>490510</v>
          </cell>
          <cell r="AA265">
            <v>420541</v>
          </cell>
          <cell r="AB265">
            <v>507553</v>
          </cell>
          <cell r="AC265">
            <v>854520</v>
          </cell>
          <cell r="AD265">
            <v>823364</v>
          </cell>
          <cell r="AE265">
            <v>235261</v>
          </cell>
          <cell r="AF265">
            <v>474310</v>
          </cell>
          <cell r="AG265">
            <v>272717</v>
          </cell>
          <cell r="AI265">
            <v>0</v>
          </cell>
        </row>
        <row r="266">
          <cell r="I266">
            <v>0</v>
          </cell>
          <cell r="J266">
            <v>33</v>
          </cell>
          <cell r="K266">
            <v>14</v>
          </cell>
          <cell r="L266">
            <v>0</v>
          </cell>
          <cell r="M266">
            <v>0</v>
          </cell>
          <cell r="N266">
            <v>-1015</v>
          </cell>
          <cell r="O266">
            <v>74635</v>
          </cell>
          <cell r="P266">
            <v>68984</v>
          </cell>
          <cell r="Q266">
            <v>64925</v>
          </cell>
          <cell r="R266">
            <v>76765</v>
          </cell>
          <cell r="S266">
            <v>77050</v>
          </cell>
          <cell r="T266">
            <v>86048</v>
          </cell>
          <cell r="U266">
            <v>71576</v>
          </cell>
          <cell r="V266">
            <v>69088</v>
          </cell>
          <cell r="W266">
            <v>101448</v>
          </cell>
          <cell r="X266">
            <v>101942</v>
          </cell>
          <cell r="Y266">
            <v>156232</v>
          </cell>
          <cell r="Z266">
            <v>131159</v>
          </cell>
          <cell r="AA266">
            <v>117436</v>
          </cell>
          <cell r="AB266">
            <v>132600</v>
          </cell>
          <cell r="AC266">
            <v>100995</v>
          </cell>
          <cell r="AD266">
            <v>84470</v>
          </cell>
          <cell r="AE266">
            <v>83385</v>
          </cell>
          <cell r="AF266">
            <v>75282</v>
          </cell>
          <cell r="AG266">
            <v>72505</v>
          </cell>
          <cell r="AI266">
            <v>33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84036</v>
          </cell>
          <cell r="P267">
            <v>89814</v>
          </cell>
          <cell r="Q267">
            <v>90312</v>
          </cell>
          <cell r="R267">
            <v>88874</v>
          </cell>
          <cell r="S267">
            <v>91979</v>
          </cell>
          <cell r="T267">
            <v>92059</v>
          </cell>
          <cell r="U267">
            <v>90940</v>
          </cell>
          <cell r="V267">
            <v>84373</v>
          </cell>
          <cell r="W267">
            <v>97157</v>
          </cell>
          <cell r="X267">
            <v>124763</v>
          </cell>
          <cell r="Y267">
            <v>159865</v>
          </cell>
          <cell r="Z267">
            <v>187173</v>
          </cell>
          <cell r="AA267">
            <v>115688</v>
          </cell>
          <cell r="AB267">
            <v>82003</v>
          </cell>
          <cell r="AC267">
            <v>88374</v>
          </cell>
          <cell r="AD267">
            <v>93701</v>
          </cell>
          <cell r="AE267">
            <v>87354</v>
          </cell>
          <cell r="AF267">
            <v>99944</v>
          </cell>
          <cell r="AG267">
            <v>84872</v>
          </cell>
          <cell r="AI267">
            <v>0</v>
          </cell>
        </row>
        <row r="268"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-110</v>
          </cell>
          <cell r="P268">
            <v>60874</v>
          </cell>
          <cell r="Q268">
            <v>60672</v>
          </cell>
          <cell r="R268">
            <v>101095</v>
          </cell>
          <cell r="S268">
            <v>106338</v>
          </cell>
          <cell r="T268">
            <v>77284</v>
          </cell>
          <cell r="U268">
            <v>78712</v>
          </cell>
          <cell r="V268">
            <v>65422</v>
          </cell>
          <cell r="W268">
            <v>81763</v>
          </cell>
          <cell r="X268">
            <v>90753</v>
          </cell>
          <cell r="Y268">
            <v>109240</v>
          </cell>
          <cell r="Z268">
            <v>111987</v>
          </cell>
          <cell r="AA268">
            <v>85844</v>
          </cell>
          <cell r="AB268">
            <v>71082</v>
          </cell>
          <cell r="AC268">
            <v>66046</v>
          </cell>
          <cell r="AD268">
            <v>75187</v>
          </cell>
          <cell r="AE268">
            <v>71620</v>
          </cell>
          <cell r="AF268">
            <v>74505</v>
          </cell>
          <cell r="AG268">
            <v>64832</v>
          </cell>
          <cell r="AI268">
            <v>0</v>
          </cell>
        </row>
        <row r="269"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163219</v>
          </cell>
          <cell r="Q269">
            <v>157623</v>
          </cell>
          <cell r="R269">
            <v>171844</v>
          </cell>
          <cell r="S269">
            <v>171000</v>
          </cell>
          <cell r="T269">
            <v>171055</v>
          </cell>
          <cell r="U269">
            <v>166006</v>
          </cell>
          <cell r="V269">
            <v>154018</v>
          </cell>
          <cell r="W269">
            <v>189295</v>
          </cell>
          <cell r="X269">
            <v>232400</v>
          </cell>
          <cell r="Y269">
            <v>260270</v>
          </cell>
          <cell r="Z269">
            <v>268468</v>
          </cell>
          <cell r="AA269">
            <v>204246</v>
          </cell>
          <cell r="AB269">
            <v>158078</v>
          </cell>
          <cell r="AC269">
            <v>143616</v>
          </cell>
          <cell r="AD269">
            <v>164518</v>
          </cell>
          <cell r="AE269">
            <v>161818</v>
          </cell>
          <cell r="AF269">
            <v>143609</v>
          </cell>
          <cell r="AG269">
            <v>139369</v>
          </cell>
          <cell r="AI269">
            <v>0</v>
          </cell>
        </row>
        <row r="270"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126363</v>
          </cell>
          <cell r="Q270">
            <v>119487</v>
          </cell>
          <cell r="R270">
            <v>131451</v>
          </cell>
          <cell r="S270">
            <v>131084</v>
          </cell>
          <cell r="T270">
            <v>163876</v>
          </cell>
          <cell r="U270">
            <v>149983</v>
          </cell>
          <cell r="V270">
            <v>145423</v>
          </cell>
          <cell r="W270">
            <v>167598</v>
          </cell>
          <cell r="X270">
            <v>155499</v>
          </cell>
          <cell r="Y270">
            <v>165210</v>
          </cell>
          <cell r="Z270">
            <v>183848</v>
          </cell>
          <cell r="AA270">
            <v>153512</v>
          </cell>
          <cell r="AB270">
            <v>144234</v>
          </cell>
          <cell r="AC270">
            <v>147378</v>
          </cell>
          <cell r="AD270">
            <v>140568</v>
          </cell>
          <cell r="AE270">
            <v>144539</v>
          </cell>
          <cell r="AF270">
            <v>151792</v>
          </cell>
          <cell r="AG270">
            <v>128900</v>
          </cell>
          <cell r="AI270">
            <v>0</v>
          </cell>
        </row>
        <row r="271">
          <cell r="I271">
            <v>0</v>
          </cell>
          <cell r="J271">
            <v>13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-101</v>
          </cell>
          <cell r="P271">
            <v>155374</v>
          </cell>
          <cell r="Q271">
            <v>151226</v>
          </cell>
          <cell r="R271">
            <v>156095</v>
          </cell>
          <cell r="S271">
            <v>154645</v>
          </cell>
          <cell r="T271">
            <v>164632</v>
          </cell>
          <cell r="U271">
            <v>148209</v>
          </cell>
          <cell r="V271">
            <v>153537</v>
          </cell>
          <cell r="W271">
            <v>168423</v>
          </cell>
          <cell r="X271">
            <v>165886</v>
          </cell>
          <cell r="Y271">
            <v>124459</v>
          </cell>
          <cell r="Z271">
            <v>283807</v>
          </cell>
          <cell r="AA271">
            <v>173928</v>
          </cell>
          <cell r="AB271">
            <v>144888</v>
          </cell>
          <cell r="AC271">
            <v>126463</v>
          </cell>
          <cell r="AD271">
            <v>142164</v>
          </cell>
          <cell r="AE271">
            <v>137050</v>
          </cell>
          <cell r="AF271">
            <v>134849</v>
          </cell>
          <cell r="AG271">
            <v>132599</v>
          </cell>
          <cell r="AI271">
            <v>13</v>
          </cell>
        </row>
        <row r="272">
          <cell r="I272">
            <v>-126</v>
          </cell>
          <cell r="J272">
            <v>0</v>
          </cell>
          <cell r="K272">
            <v>0</v>
          </cell>
          <cell r="L272">
            <v>0</v>
          </cell>
          <cell r="M272">
            <v>-10</v>
          </cell>
          <cell r="N272">
            <v>0</v>
          </cell>
          <cell r="O272">
            <v>0</v>
          </cell>
          <cell r="P272">
            <v>130910</v>
          </cell>
          <cell r="Q272">
            <v>121821</v>
          </cell>
          <cell r="R272">
            <v>148266</v>
          </cell>
          <cell r="S272">
            <v>147098</v>
          </cell>
          <cell r="T272">
            <v>158004</v>
          </cell>
          <cell r="U272">
            <v>150038</v>
          </cell>
          <cell r="V272">
            <v>133288</v>
          </cell>
          <cell r="W272">
            <v>175280</v>
          </cell>
          <cell r="X272">
            <v>185141</v>
          </cell>
          <cell r="Y272">
            <v>228708</v>
          </cell>
          <cell r="Z272">
            <v>260221</v>
          </cell>
          <cell r="AA272">
            <v>213056</v>
          </cell>
          <cell r="AB272">
            <v>144696</v>
          </cell>
          <cell r="AC272">
            <v>133696</v>
          </cell>
          <cell r="AD272">
            <v>155638</v>
          </cell>
          <cell r="AE272">
            <v>151158</v>
          </cell>
          <cell r="AF272">
            <v>152751</v>
          </cell>
          <cell r="AG272">
            <v>145705</v>
          </cell>
          <cell r="AI272">
            <v>0</v>
          </cell>
        </row>
        <row r="273"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-110</v>
          </cell>
          <cell r="N273">
            <v>-2</v>
          </cell>
          <cell r="O273">
            <v>-231</v>
          </cell>
          <cell r="P273">
            <v>46739</v>
          </cell>
          <cell r="Q273">
            <v>43268</v>
          </cell>
          <cell r="R273">
            <v>41932</v>
          </cell>
          <cell r="S273">
            <v>38389</v>
          </cell>
          <cell r="T273">
            <v>35350</v>
          </cell>
          <cell r="U273">
            <v>47045</v>
          </cell>
          <cell r="V273">
            <v>37072</v>
          </cell>
          <cell r="W273">
            <v>46257</v>
          </cell>
          <cell r="X273">
            <v>50941</v>
          </cell>
          <cell r="Y273">
            <v>54364</v>
          </cell>
          <cell r="Z273">
            <v>68519</v>
          </cell>
          <cell r="AA273">
            <v>50135</v>
          </cell>
          <cell r="AB273">
            <v>42358</v>
          </cell>
          <cell r="AC273">
            <v>40676</v>
          </cell>
          <cell r="AD273">
            <v>42060</v>
          </cell>
          <cell r="AE273">
            <v>44957</v>
          </cell>
          <cell r="AF273">
            <v>46202</v>
          </cell>
          <cell r="AG273">
            <v>45305</v>
          </cell>
          <cell r="AI273">
            <v>0</v>
          </cell>
        </row>
        <row r="274"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108849</v>
          </cell>
          <cell r="Q274">
            <v>101675</v>
          </cell>
          <cell r="R274">
            <v>120790</v>
          </cell>
          <cell r="S274">
            <v>113583</v>
          </cell>
          <cell r="T274">
            <v>114750</v>
          </cell>
          <cell r="U274">
            <v>41671</v>
          </cell>
          <cell r="V274">
            <v>164886</v>
          </cell>
          <cell r="W274">
            <v>94148</v>
          </cell>
          <cell r="X274">
            <v>106334</v>
          </cell>
          <cell r="Y274">
            <v>121368</v>
          </cell>
          <cell r="Z274">
            <v>141938</v>
          </cell>
          <cell r="AA274">
            <v>114057</v>
          </cell>
          <cell r="AB274">
            <v>88901</v>
          </cell>
          <cell r="AC274">
            <v>84055</v>
          </cell>
          <cell r="AD274">
            <v>100602</v>
          </cell>
          <cell r="AE274">
            <v>102822</v>
          </cell>
          <cell r="AF274">
            <v>104663</v>
          </cell>
          <cell r="AG274">
            <v>91493</v>
          </cell>
          <cell r="AI274">
            <v>0</v>
          </cell>
        </row>
        <row r="275"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-321</v>
          </cell>
          <cell r="N275">
            <v>-228</v>
          </cell>
          <cell r="O275">
            <v>0</v>
          </cell>
          <cell r="P275">
            <v>1288344</v>
          </cell>
          <cell r="Q275">
            <v>1210445</v>
          </cell>
          <cell r="R275">
            <v>1422671</v>
          </cell>
          <cell r="S275">
            <v>1319488</v>
          </cell>
          <cell r="T275">
            <v>1637476</v>
          </cell>
          <cell r="U275">
            <v>1288524</v>
          </cell>
          <cell r="V275">
            <v>1238155</v>
          </cell>
          <cell r="W275">
            <v>1424391</v>
          </cell>
          <cell r="X275">
            <v>1343365</v>
          </cell>
          <cell r="Y275">
            <v>1470969</v>
          </cell>
          <cell r="Z275">
            <v>1591531</v>
          </cell>
          <cell r="AA275">
            <v>1936571</v>
          </cell>
          <cell r="AB275">
            <v>967049</v>
          </cell>
          <cell r="AC275">
            <v>1290340</v>
          </cell>
          <cell r="AD275">
            <v>1329360</v>
          </cell>
          <cell r="AE275">
            <v>1295054</v>
          </cell>
          <cell r="AF275">
            <v>1414364</v>
          </cell>
          <cell r="AG275">
            <v>1189035</v>
          </cell>
          <cell r="AI275">
            <v>0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-1462</v>
          </cell>
          <cell r="P276">
            <v>114896</v>
          </cell>
          <cell r="Q276">
            <v>101929</v>
          </cell>
          <cell r="R276">
            <v>100877</v>
          </cell>
          <cell r="S276">
            <v>85103</v>
          </cell>
          <cell r="T276">
            <v>83204</v>
          </cell>
          <cell r="U276">
            <v>86927</v>
          </cell>
          <cell r="V276">
            <v>73016</v>
          </cell>
          <cell r="W276">
            <v>91227</v>
          </cell>
          <cell r="X276">
            <v>110802</v>
          </cell>
          <cell r="Y276">
            <v>128633</v>
          </cell>
          <cell r="Z276">
            <v>133751</v>
          </cell>
          <cell r="AA276">
            <v>130178</v>
          </cell>
          <cell r="AB276">
            <v>84825</v>
          </cell>
          <cell r="AC276">
            <v>68090</v>
          </cell>
          <cell r="AD276">
            <v>68049</v>
          </cell>
          <cell r="AE276">
            <v>69201</v>
          </cell>
          <cell r="AF276">
            <v>80037</v>
          </cell>
          <cell r="AG276">
            <v>69153</v>
          </cell>
          <cell r="AI276">
            <v>0</v>
          </cell>
        </row>
        <row r="277"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55904</v>
          </cell>
          <cell r="Q277">
            <v>49836</v>
          </cell>
          <cell r="R277">
            <v>57114</v>
          </cell>
          <cell r="S277">
            <v>60673</v>
          </cell>
          <cell r="T277">
            <v>56406</v>
          </cell>
          <cell r="U277">
            <v>59737</v>
          </cell>
          <cell r="V277">
            <v>56115</v>
          </cell>
          <cell r="W277">
            <v>53165</v>
          </cell>
          <cell r="X277">
            <v>62411</v>
          </cell>
          <cell r="Y277">
            <v>73224</v>
          </cell>
          <cell r="Z277">
            <v>77593</v>
          </cell>
          <cell r="AA277">
            <v>67553</v>
          </cell>
          <cell r="AB277">
            <v>57940</v>
          </cell>
          <cell r="AC277">
            <v>50297</v>
          </cell>
          <cell r="AD277">
            <v>52498</v>
          </cell>
          <cell r="AE277">
            <v>52367</v>
          </cell>
          <cell r="AF277">
            <v>50700</v>
          </cell>
          <cell r="AG277">
            <v>48485</v>
          </cell>
          <cell r="AI277">
            <v>0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-22191</v>
          </cell>
          <cell r="P278">
            <v>400509</v>
          </cell>
          <cell r="Q278">
            <v>286583</v>
          </cell>
          <cell r="R278">
            <v>308964</v>
          </cell>
          <cell r="S278">
            <v>317266</v>
          </cell>
          <cell r="T278">
            <v>361326</v>
          </cell>
          <cell r="U278">
            <v>296825</v>
          </cell>
          <cell r="V278">
            <v>371191</v>
          </cell>
          <cell r="W278">
            <v>259188</v>
          </cell>
          <cell r="X278">
            <v>351506</v>
          </cell>
          <cell r="Y278">
            <v>447750</v>
          </cell>
          <cell r="Z278">
            <v>358486</v>
          </cell>
          <cell r="AA278">
            <v>396971</v>
          </cell>
          <cell r="AB278">
            <v>336057</v>
          </cell>
          <cell r="AC278">
            <v>297334</v>
          </cell>
          <cell r="AD278">
            <v>203490</v>
          </cell>
          <cell r="AE278">
            <v>1252661</v>
          </cell>
          <cell r="AF278">
            <v>1508322</v>
          </cell>
          <cell r="AG278">
            <v>267823</v>
          </cell>
          <cell r="AI278">
            <v>0</v>
          </cell>
        </row>
        <row r="280">
          <cell r="I280">
            <v>703896</v>
          </cell>
          <cell r="J280">
            <v>773075</v>
          </cell>
          <cell r="K280">
            <v>980770</v>
          </cell>
          <cell r="L280">
            <v>979062</v>
          </cell>
          <cell r="M280">
            <v>995688</v>
          </cell>
          <cell r="N280">
            <v>1106439</v>
          </cell>
          <cell r="O280">
            <v>740105</v>
          </cell>
          <cell r="P280">
            <v>689445</v>
          </cell>
          <cell r="Q280">
            <v>644483</v>
          </cell>
          <cell r="R280">
            <v>659976</v>
          </cell>
          <cell r="S280">
            <v>744065</v>
          </cell>
          <cell r="T280">
            <v>639046</v>
          </cell>
          <cell r="U280">
            <v>683357</v>
          </cell>
          <cell r="V280">
            <v>714620</v>
          </cell>
          <cell r="W280">
            <v>758324</v>
          </cell>
          <cell r="X280">
            <v>897702</v>
          </cell>
          <cell r="Y280">
            <v>1027356</v>
          </cell>
          <cell r="Z280">
            <v>987146</v>
          </cell>
          <cell r="AA280">
            <v>770049</v>
          </cell>
          <cell r="AB280">
            <v>613558</v>
          </cell>
          <cell r="AC280">
            <v>631254</v>
          </cell>
          <cell r="AD280">
            <v>725210</v>
          </cell>
          <cell r="AE280">
            <v>695101</v>
          </cell>
          <cell r="AF280">
            <v>630947</v>
          </cell>
          <cell r="AG280">
            <v>635588</v>
          </cell>
          <cell r="AI280">
            <v>773075</v>
          </cell>
        </row>
        <row r="281">
          <cell r="I281">
            <v>150626</v>
          </cell>
          <cell r="J281">
            <v>155578</v>
          </cell>
          <cell r="K281">
            <v>205907</v>
          </cell>
          <cell r="L281">
            <v>210391</v>
          </cell>
          <cell r="M281">
            <v>228281</v>
          </cell>
          <cell r="N281">
            <v>248992</v>
          </cell>
          <cell r="O281">
            <v>130328</v>
          </cell>
          <cell r="P281">
            <v>102343</v>
          </cell>
          <cell r="Q281">
            <v>116739</v>
          </cell>
          <cell r="R281">
            <v>113410</v>
          </cell>
          <cell r="S281">
            <v>128263</v>
          </cell>
          <cell r="T281">
            <v>121571</v>
          </cell>
          <cell r="U281">
            <v>112095</v>
          </cell>
          <cell r="V281">
            <v>113496</v>
          </cell>
          <cell r="W281">
            <v>143197</v>
          </cell>
          <cell r="X281">
            <v>173261</v>
          </cell>
          <cell r="Y281">
            <v>229850</v>
          </cell>
          <cell r="Z281">
            <v>202941</v>
          </cell>
          <cell r="AA281">
            <v>139705</v>
          </cell>
          <cell r="AB281">
            <v>105699</v>
          </cell>
          <cell r="AC281">
            <v>107241</v>
          </cell>
          <cell r="AD281">
            <v>133811</v>
          </cell>
          <cell r="AE281">
            <v>127884</v>
          </cell>
          <cell r="AF281">
            <v>109649</v>
          </cell>
          <cell r="AG281">
            <v>102150</v>
          </cell>
          <cell r="AI281">
            <v>155578</v>
          </cell>
        </row>
        <row r="282">
          <cell r="I282">
            <v>235862</v>
          </cell>
          <cell r="J282">
            <v>235147</v>
          </cell>
          <cell r="K282">
            <v>261636</v>
          </cell>
          <cell r="L282">
            <v>310576</v>
          </cell>
          <cell r="M282">
            <v>318934</v>
          </cell>
          <cell r="N282">
            <v>346628</v>
          </cell>
          <cell r="O282">
            <v>186174</v>
          </cell>
          <cell r="P282">
            <v>177912</v>
          </cell>
          <cell r="Q282">
            <v>183117</v>
          </cell>
          <cell r="R282">
            <v>210144</v>
          </cell>
          <cell r="S282">
            <v>216753</v>
          </cell>
          <cell r="T282">
            <v>205909</v>
          </cell>
          <cell r="U282">
            <v>207373</v>
          </cell>
          <cell r="V282">
            <v>191523</v>
          </cell>
          <cell r="W282">
            <v>216435</v>
          </cell>
          <cell r="X282">
            <v>219497</v>
          </cell>
          <cell r="Y282">
            <v>272391</v>
          </cell>
          <cell r="Z282">
            <v>276701</v>
          </cell>
          <cell r="AA282">
            <v>200199</v>
          </cell>
          <cell r="AB282">
            <v>168866</v>
          </cell>
          <cell r="AC282">
            <v>191733</v>
          </cell>
          <cell r="AD282">
            <v>227173</v>
          </cell>
          <cell r="AE282">
            <v>205176</v>
          </cell>
          <cell r="AF282">
            <v>218029</v>
          </cell>
          <cell r="AG282">
            <v>180851</v>
          </cell>
          <cell r="AI282">
            <v>235147</v>
          </cell>
        </row>
        <row r="283">
          <cell r="I283">
            <v>360264</v>
          </cell>
          <cell r="J283">
            <v>304532</v>
          </cell>
          <cell r="K283">
            <v>408280</v>
          </cell>
          <cell r="L283">
            <v>394683</v>
          </cell>
          <cell r="M283">
            <v>423726</v>
          </cell>
          <cell r="N283">
            <v>440910</v>
          </cell>
          <cell r="O283">
            <v>284234</v>
          </cell>
          <cell r="P283">
            <v>258613</v>
          </cell>
          <cell r="Q283">
            <v>253008</v>
          </cell>
          <cell r="R283">
            <v>298866</v>
          </cell>
          <cell r="S283">
            <v>309458</v>
          </cell>
          <cell r="T283">
            <v>315437</v>
          </cell>
          <cell r="U283">
            <v>255204</v>
          </cell>
          <cell r="V283">
            <v>285494</v>
          </cell>
          <cell r="W283">
            <v>282654</v>
          </cell>
          <cell r="X283">
            <v>302450</v>
          </cell>
          <cell r="Y283">
            <v>402803</v>
          </cell>
          <cell r="Z283">
            <v>335867</v>
          </cell>
          <cell r="AA283">
            <v>285074</v>
          </cell>
          <cell r="AB283">
            <v>233344</v>
          </cell>
          <cell r="AC283">
            <v>245225</v>
          </cell>
          <cell r="AD283">
            <v>324804</v>
          </cell>
          <cell r="AE283">
            <v>285868</v>
          </cell>
          <cell r="AF283">
            <v>286211</v>
          </cell>
          <cell r="AG283">
            <v>271357</v>
          </cell>
          <cell r="AI283">
            <v>304532</v>
          </cell>
        </row>
        <row r="284">
          <cell r="I284">
            <v>562554</v>
          </cell>
          <cell r="J284">
            <v>536237</v>
          </cell>
          <cell r="K284">
            <v>627231</v>
          </cell>
          <cell r="L284">
            <v>710972</v>
          </cell>
          <cell r="M284">
            <v>761447</v>
          </cell>
          <cell r="N284">
            <v>756673</v>
          </cell>
          <cell r="O284">
            <v>489041</v>
          </cell>
          <cell r="P284">
            <v>399488</v>
          </cell>
          <cell r="Q284">
            <v>414477</v>
          </cell>
          <cell r="R284">
            <v>492363</v>
          </cell>
          <cell r="S284">
            <v>477927</v>
          </cell>
          <cell r="T284">
            <v>472834</v>
          </cell>
          <cell r="U284">
            <v>452450</v>
          </cell>
          <cell r="V284">
            <v>628460</v>
          </cell>
          <cell r="W284">
            <v>690576</v>
          </cell>
          <cell r="X284">
            <v>679567</v>
          </cell>
          <cell r="Y284">
            <v>825881</v>
          </cell>
          <cell r="Z284">
            <v>816530</v>
          </cell>
          <cell r="AA284">
            <v>680757</v>
          </cell>
          <cell r="AB284">
            <v>565904</v>
          </cell>
          <cell r="AC284">
            <v>618825</v>
          </cell>
          <cell r="AD284">
            <v>705639</v>
          </cell>
          <cell r="AE284">
            <v>653412</v>
          </cell>
          <cell r="AF284">
            <v>666872</v>
          </cell>
          <cell r="AG284">
            <v>629122</v>
          </cell>
          <cell r="AI284">
            <v>536237</v>
          </cell>
        </row>
        <row r="285">
          <cell r="I285">
            <v>1362737</v>
          </cell>
          <cell r="J285">
            <v>1330162</v>
          </cell>
          <cell r="K285">
            <v>1445941</v>
          </cell>
          <cell r="L285">
            <v>1568949</v>
          </cell>
          <cell r="M285">
            <v>1559587</v>
          </cell>
          <cell r="N285">
            <v>1857319</v>
          </cell>
          <cell r="O285">
            <v>1265542</v>
          </cell>
          <cell r="P285">
            <v>1111631</v>
          </cell>
          <cell r="Q285">
            <v>1133055</v>
          </cell>
          <cell r="R285">
            <v>1270589</v>
          </cell>
          <cell r="S285">
            <v>1247369</v>
          </cell>
          <cell r="T285">
            <v>1259439</v>
          </cell>
          <cell r="U285">
            <v>1249736</v>
          </cell>
          <cell r="V285">
            <v>1140394</v>
          </cell>
          <cell r="W285">
            <v>1232577</v>
          </cell>
          <cell r="X285">
            <v>1324597</v>
          </cell>
          <cell r="Y285">
            <v>1389548</v>
          </cell>
          <cell r="Z285">
            <v>1473813</v>
          </cell>
          <cell r="AA285">
            <v>1272870</v>
          </cell>
          <cell r="AB285">
            <v>1078473</v>
          </cell>
          <cell r="AC285">
            <v>1170109</v>
          </cell>
          <cell r="AD285">
            <v>1304495</v>
          </cell>
          <cell r="AE285">
            <v>1275164</v>
          </cell>
          <cell r="AF285">
            <v>1245049</v>
          </cell>
          <cell r="AG285">
            <v>1151356</v>
          </cell>
          <cell r="AI285">
            <v>1330162</v>
          </cell>
        </row>
        <row r="286">
          <cell r="I286">
            <v>902571</v>
          </cell>
          <cell r="J286">
            <v>770186</v>
          </cell>
          <cell r="K286">
            <v>770586</v>
          </cell>
          <cell r="L286">
            <v>866428</v>
          </cell>
          <cell r="M286">
            <v>817155</v>
          </cell>
          <cell r="N286">
            <v>953876</v>
          </cell>
          <cell r="O286">
            <v>44987</v>
          </cell>
          <cell r="P286">
            <v>35389</v>
          </cell>
          <cell r="Q286">
            <v>37321</v>
          </cell>
          <cell r="R286">
            <v>38127</v>
          </cell>
          <cell r="S286">
            <v>39457</v>
          </cell>
          <cell r="T286">
            <v>41519</v>
          </cell>
          <cell r="U286">
            <v>36466</v>
          </cell>
          <cell r="V286">
            <v>35253</v>
          </cell>
          <cell r="W286">
            <v>53233</v>
          </cell>
          <cell r="X286">
            <v>54669</v>
          </cell>
          <cell r="Y286">
            <v>68547</v>
          </cell>
          <cell r="Z286">
            <v>73272</v>
          </cell>
          <cell r="AA286">
            <v>55031</v>
          </cell>
          <cell r="AB286">
            <v>35413</v>
          </cell>
          <cell r="AC286">
            <v>33677</v>
          </cell>
          <cell r="AD286">
            <v>38744</v>
          </cell>
          <cell r="AE286">
            <v>39111</v>
          </cell>
          <cell r="AF286">
            <v>34351</v>
          </cell>
          <cell r="AG286">
            <v>31949</v>
          </cell>
          <cell r="AI286">
            <v>770186</v>
          </cell>
        </row>
        <row r="287">
          <cell r="I287">
            <v>671512</v>
          </cell>
          <cell r="J287">
            <v>615086</v>
          </cell>
          <cell r="K287">
            <v>758442</v>
          </cell>
          <cell r="L287">
            <v>893207</v>
          </cell>
          <cell r="M287">
            <v>940405</v>
          </cell>
          <cell r="N287">
            <v>954186</v>
          </cell>
          <cell r="O287">
            <v>622183</v>
          </cell>
          <cell r="P287">
            <v>519451</v>
          </cell>
          <cell r="Q287">
            <v>551190</v>
          </cell>
          <cell r="R287">
            <v>672870</v>
          </cell>
          <cell r="S287">
            <v>658292</v>
          </cell>
          <cell r="T287">
            <v>679565</v>
          </cell>
          <cell r="U287">
            <v>590996</v>
          </cell>
          <cell r="V287">
            <v>522534</v>
          </cell>
          <cell r="W287">
            <v>701396</v>
          </cell>
          <cell r="X287">
            <v>670055</v>
          </cell>
          <cell r="Y287">
            <v>1032942</v>
          </cell>
          <cell r="Z287">
            <v>842028</v>
          </cell>
          <cell r="AA287">
            <v>745021</v>
          </cell>
          <cell r="AB287">
            <v>540665</v>
          </cell>
          <cell r="AC287">
            <v>560049</v>
          </cell>
          <cell r="AD287">
            <v>774507</v>
          </cell>
          <cell r="AE287">
            <v>662086</v>
          </cell>
          <cell r="AF287">
            <v>648932</v>
          </cell>
          <cell r="AG287">
            <v>616503</v>
          </cell>
          <cell r="AI287">
            <v>615086</v>
          </cell>
        </row>
        <row r="288">
          <cell r="I288">
            <v>687602</v>
          </cell>
          <cell r="J288">
            <v>688747</v>
          </cell>
          <cell r="K288">
            <v>818495</v>
          </cell>
          <cell r="L288">
            <v>857218</v>
          </cell>
          <cell r="M288">
            <v>933792</v>
          </cell>
          <cell r="N288">
            <v>1054708</v>
          </cell>
          <cell r="O288">
            <v>718795</v>
          </cell>
          <cell r="P288">
            <v>612683</v>
          </cell>
          <cell r="Q288">
            <v>641603</v>
          </cell>
          <cell r="R288">
            <v>661530</v>
          </cell>
          <cell r="S288">
            <v>687674</v>
          </cell>
          <cell r="T288">
            <v>721089</v>
          </cell>
          <cell r="U288">
            <v>669520</v>
          </cell>
          <cell r="V288">
            <v>631039</v>
          </cell>
          <cell r="W288">
            <v>723649</v>
          </cell>
          <cell r="X288">
            <v>750865</v>
          </cell>
          <cell r="Y288">
            <v>840884</v>
          </cell>
          <cell r="Z288">
            <v>968731</v>
          </cell>
          <cell r="AA288">
            <v>720892</v>
          </cell>
          <cell r="AB288">
            <v>595178</v>
          </cell>
          <cell r="AC288">
            <v>647798</v>
          </cell>
          <cell r="AD288">
            <v>711145</v>
          </cell>
          <cell r="AE288">
            <v>683063</v>
          </cell>
          <cell r="AF288">
            <v>740784</v>
          </cell>
          <cell r="AG288">
            <v>628973</v>
          </cell>
          <cell r="AI288">
            <v>688747</v>
          </cell>
        </row>
        <row r="289">
          <cell r="I289">
            <v>719578</v>
          </cell>
          <cell r="J289">
            <v>613193</v>
          </cell>
          <cell r="K289">
            <v>659583</v>
          </cell>
          <cell r="L289">
            <v>745545</v>
          </cell>
          <cell r="M289">
            <v>734961</v>
          </cell>
          <cell r="N289">
            <v>779397</v>
          </cell>
          <cell r="O289">
            <v>662115</v>
          </cell>
          <cell r="P289">
            <v>598232</v>
          </cell>
          <cell r="Q289">
            <v>566450</v>
          </cell>
          <cell r="R289">
            <v>597950</v>
          </cell>
          <cell r="S289">
            <v>642519</v>
          </cell>
          <cell r="T289">
            <v>611938</v>
          </cell>
          <cell r="U289">
            <v>616845</v>
          </cell>
          <cell r="V289">
            <v>519174</v>
          </cell>
          <cell r="W289">
            <v>590190</v>
          </cell>
          <cell r="X289">
            <v>531854</v>
          </cell>
          <cell r="Y289">
            <v>610641</v>
          </cell>
          <cell r="Z289">
            <v>715514</v>
          </cell>
          <cell r="AA289">
            <v>586277</v>
          </cell>
          <cell r="AB289">
            <v>497972</v>
          </cell>
          <cell r="AC289">
            <v>518024</v>
          </cell>
          <cell r="AD289">
            <v>645504</v>
          </cell>
          <cell r="AE289">
            <v>591225</v>
          </cell>
          <cell r="AF289">
            <v>607025</v>
          </cell>
          <cell r="AG289">
            <v>569325</v>
          </cell>
          <cell r="AI289">
            <v>613193</v>
          </cell>
        </row>
        <row r="290">
          <cell r="I290">
            <v>208280</v>
          </cell>
          <cell r="J290">
            <v>215637</v>
          </cell>
          <cell r="K290">
            <v>243277</v>
          </cell>
          <cell r="L290">
            <v>320183</v>
          </cell>
          <cell r="M290">
            <v>329141</v>
          </cell>
          <cell r="N290">
            <v>373370</v>
          </cell>
          <cell r="O290">
            <v>279378</v>
          </cell>
          <cell r="P290">
            <v>50950</v>
          </cell>
          <cell r="Q290">
            <v>42746</v>
          </cell>
          <cell r="R290">
            <v>50115</v>
          </cell>
          <cell r="S290">
            <v>51361</v>
          </cell>
          <cell r="T290">
            <v>50750</v>
          </cell>
          <cell r="U290">
            <v>48848</v>
          </cell>
          <cell r="V290">
            <v>45976</v>
          </cell>
          <cell r="W290">
            <v>58351</v>
          </cell>
          <cell r="X290">
            <v>62898</v>
          </cell>
          <cell r="Y290">
            <v>78424</v>
          </cell>
          <cell r="Z290">
            <v>82246</v>
          </cell>
          <cell r="AA290">
            <v>72514</v>
          </cell>
          <cell r="AB290">
            <v>53065</v>
          </cell>
          <cell r="AC290">
            <v>46729</v>
          </cell>
          <cell r="AD290">
            <v>55082</v>
          </cell>
          <cell r="AE290">
            <v>54588</v>
          </cell>
          <cell r="AF290">
            <v>48310</v>
          </cell>
          <cell r="AG290">
            <v>46601</v>
          </cell>
          <cell r="AI290">
            <v>215637</v>
          </cell>
        </row>
        <row r="291">
          <cell r="I291">
            <v>355985</v>
          </cell>
          <cell r="J291">
            <v>340467</v>
          </cell>
          <cell r="K291">
            <v>411443</v>
          </cell>
          <cell r="L291">
            <v>509976</v>
          </cell>
          <cell r="M291">
            <v>511113</v>
          </cell>
          <cell r="N291">
            <v>557325</v>
          </cell>
          <cell r="O291">
            <v>425207</v>
          </cell>
          <cell r="P291">
            <v>233233</v>
          </cell>
          <cell r="Q291">
            <v>210659</v>
          </cell>
          <cell r="R291">
            <v>216865</v>
          </cell>
          <cell r="S291">
            <v>230683</v>
          </cell>
          <cell r="T291">
            <v>248131</v>
          </cell>
          <cell r="U291">
            <v>219402</v>
          </cell>
          <cell r="V291">
            <v>209961</v>
          </cell>
          <cell r="W291">
            <v>300267</v>
          </cell>
          <cell r="X291">
            <v>285618</v>
          </cell>
          <cell r="Y291">
            <v>394821</v>
          </cell>
          <cell r="Z291">
            <v>396701</v>
          </cell>
          <cell r="AA291">
            <v>320526</v>
          </cell>
          <cell r="AB291">
            <v>229783</v>
          </cell>
          <cell r="AC291">
            <v>221497</v>
          </cell>
          <cell r="AD291">
            <v>245956</v>
          </cell>
          <cell r="AE291">
            <v>261011</v>
          </cell>
          <cell r="AF291">
            <v>261769</v>
          </cell>
          <cell r="AG291">
            <v>222105</v>
          </cell>
          <cell r="AI291">
            <v>340467</v>
          </cell>
        </row>
        <row r="292">
          <cell r="I292">
            <v>1369615</v>
          </cell>
          <cell r="J292">
            <v>1205308</v>
          </cell>
          <cell r="K292">
            <v>1268473</v>
          </cell>
          <cell r="L292">
            <v>1536471</v>
          </cell>
          <cell r="M292">
            <v>1404495</v>
          </cell>
          <cell r="N292">
            <v>1675146</v>
          </cell>
          <cell r="O292">
            <v>1275034</v>
          </cell>
          <cell r="P292">
            <v>1334160</v>
          </cell>
          <cell r="Q292">
            <v>1287155</v>
          </cell>
          <cell r="R292">
            <v>1624921</v>
          </cell>
          <cell r="S292">
            <v>1408111</v>
          </cell>
          <cell r="T292">
            <v>1628441</v>
          </cell>
          <cell r="U292">
            <v>1447533</v>
          </cell>
          <cell r="V292">
            <v>1255663</v>
          </cell>
          <cell r="W292">
            <v>1471499</v>
          </cell>
          <cell r="X292">
            <v>1342407</v>
          </cell>
          <cell r="Y292">
            <v>1480661</v>
          </cell>
          <cell r="Z292">
            <v>1645141</v>
          </cell>
          <cell r="AA292">
            <v>1416369</v>
          </cell>
          <cell r="AB292">
            <v>1324641</v>
          </cell>
          <cell r="AC292">
            <v>1109098</v>
          </cell>
          <cell r="AD292">
            <v>1575610</v>
          </cell>
          <cell r="AE292">
            <v>1442815</v>
          </cell>
          <cell r="AF292">
            <v>1584738</v>
          </cell>
          <cell r="AG292">
            <v>1313874</v>
          </cell>
          <cell r="AI292">
            <v>1205308</v>
          </cell>
        </row>
        <row r="293">
          <cell r="I293">
            <v>795625</v>
          </cell>
          <cell r="J293">
            <v>673549</v>
          </cell>
          <cell r="K293">
            <v>741206</v>
          </cell>
          <cell r="L293">
            <v>810943</v>
          </cell>
          <cell r="M293">
            <v>880474</v>
          </cell>
          <cell r="N293">
            <v>930742</v>
          </cell>
          <cell r="O293">
            <v>772612</v>
          </cell>
          <cell r="P293">
            <v>545427</v>
          </cell>
          <cell r="Q293">
            <v>544544</v>
          </cell>
          <cell r="R293">
            <v>679119</v>
          </cell>
          <cell r="S293">
            <v>626933</v>
          </cell>
          <cell r="T293">
            <v>726466</v>
          </cell>
          <cell r="U293">
            <v>615358</v>
          </cell>
          <cell r="V293">
            <v>573097</v>
          </cell>
          <cell r="W293">
            <v>628353</v>
          </cell>
          <cell r="X293">
            <v>591865</v>
          </cell>
          <cell r="Y293">
            <v>735032</v>
          </cell>
          <cell r="Z293">
            <v>790628</v>
          </cell>
          <cell r="AA293">
            <v>718055</v>
          </cell>
          <cell r="AB293">
            <v>577455</v>
          </cell>
          <cell r="AC293">
            <v>568183</v>
          </cell>
          <cell r="AD293">
            <v>694287</v>
          </cell>
          <cell r="AE293">
            <v>682385</v>
          </cell>
          <cell r="AF293">
            <v>698448</v>
          </cell>
          <cell r="AG293">
            <v>648607</v>
          </cell>
          <cell r="AI293">
            <v>673549</v>
          </cell>
        </row>
        <row r="294">
          <cell r="I294">
            <v>371453</v>
          </cell>
          <cell r="J294">
            <v>1006450</v>
          </cell>
          <cell r="K294">
            <v>1068268</v>
          </cell>
          <cell r="L294">
            <v>1251486</v>
          </cell>
          <cell r="M294">
            <v>1198601</v>
          </cell>
          <cell r="N294">
            <v>1405380</v>
          </cell>
          <cell r="O294">
            <v>1353596</v>
          </cell>
          <cell r="P294">
            <v>943671</v>
          </cell>
          <cell r="Q294">
            <v>959184</v>
          </cell>
          <cell r="R294">
            <v>1062388</v>
          </cell>
          <cell r="S294">
            <v>1141363</v>
          </cell>
          <cell r="T294">
            <v>1105201</v>
          </cell>
          <cell r="U294">
            <v>1168109</v>
          </cell>
          <cell r="V294">
            <v>918664</v>
          </cell>
          <cell r="W294">
            <v>1176508</v>
          </cell>
          <cell r="X294">
            <v>1160206</v>
          </cell>
          <cell r="Y294">
            <v>1214120</v>
          </cell>
          <cell r="Z294">
            <v>1658800</v>
          </cell>
          <cell r="AA294">
            <v>1087141</v>
          </cell>
          <cell r="AB294">
            <v>1057884</v>
          </cell>
          <cell r="AC294">
            <v>1034007</v>
          </cell>
          <cell r="AD294">
            <v>1108666</v>
          </cell>
          <cell r="AE294">
            <v>1229430</v>
          </cell>
          <cell r="AF294">
            <v>1108545</v>
          </cell>
          <cell r="AG294">
            <v>1024785</v>
          </cell>
          <cell r="AI294">
            <v>1006450</v>
          </cell>
        </row>
        <row r="295">
          <cell r="I295">
            <v>649107</v>
          </cell>
          <cell r="J295">
            <v>599385</v>
          </cell>
          <cell r="K295">
            <v>626397</v>
          </cell>
          <cell r="L295">
            <v>666274</v>
          </cell>
          <cell r="M295">
            <v>719027</v>
          </cell>
          <cell r="N295">
            <v>811844</v>
          </cell>
          <cell r="O295">
            <v>746508</v>
          </cell>
          <cell r="P295">
            <v>489757</v>
          </cell>
          <cell r="Q295">
            <v>495718</v>
          </cell>
          <cell r="R295">
            <v>567937</v>
          </cell>
          <cell r="S295">
            <v>542115</v>
          </cell>
          <cell r="T295">
            <v>651672</v>
          </cell>
          <cell r="U295">
            <v>549168</v>
          </cell>
          <cell r="V295">
            <v>513657</v>
          </cell>
          <cell r="W295">
            <v>550515</v>
          </cell>
          <cell r="X295">
            <v>522006</v>
          </cell>
          <cell r="Y295">
            <v>582864</v>
          </cell>
          <cell r="Z295">
            <v>656935</v>
          </cell>
          <cell r="AA295">
            <v>641833</v>
          </cell>
          <cell r="AB295">
            <v>474147</v>
          </cell>
          <cell r="AC295">
            <v>478701</v>
          </cell>
          <cell r="AD295">
            <v>594280</v>
          </cell>
          <cell r="AE295">
            <v>625788</v>
          </cell>
          <cell r="AF295">
            <v>578599</v>
          </cell>
          <cell r="AG295">
            <v>539505</v>
          </cell>
          <cell r="AI295">
            <v>599385</v>
          </cell>
        </row>
        <row r="296">
          <cell r="I296">
            <v>2139021</v>
          </cell>
          <cell r="J296">
            <v>1907276</v>
          </cell>
          <cell r="K296">
            <v>1866749</v>
          </cell>
          <cell r="L296">
            <v>2377231</v>
          </cell>
          <cell r="M296">
            <v>2244551</v>
          </cell>
          <cell r="N296">
            <v>2337945</v>
          </cell>
          <cell r="O296">
            <v>2605191</v>
          </cell>
          <cell r="P296">
            <v>539658</v>
          </cell>
          <cell r="Q296">
            <v>540228</v>
          </cell>
          <cell r="R296">
            <v>563431</v>
          </cell>
          <cell r="S296">
            <v>570445</v>
          </cell>
          <cell r="T296">
            <v>643036</v>
          </cell>
          <cell r="U296">
            <v>540176</v>
          </cell>
          <cell r="V296">
            <v>518800</v>
          </cell>
          <cell r="W296">
            <v>616297</v>
          </cell>
          <cell r="X296">
            <v>698553</v>
          </cell>
          <cell r="Y296">
            <v>831289</v>
          </cell>
          <cell r="Z296">
            <v>925270</v>
          </cell>
          <cell r="AA296">
            <v>928178</v>
          </cell>
          <cell r="AB296">
            <v>534823</v>
          </cell>
          <cell r="AC296">
            <v>539513</v>
          </cell>
          <cell r="AD296">
            <v>583159</v>
          </cell>
          <cell r="AE296">
            <v>614434</v>
          </cell>
          <cell r="AF296">
            <v>621486</v>
          </cell>
          <cell r="AG296">
            <v>543664</v>
          </cell>
          <cell r="AI296">
            <v>1907276</v>
          </cell>
        </row>
        <row r="297">
          <cell r="I297">
            <v>275832</v>
          </cell>
          <cell r="J297">
            <v>266792</v>
          </cell>
          <cell r="K297">
            <v>269982</v>
          </cell>
          <cell r="L297">
            <v>469382</v>
          </cell>
          <cell r="M297">
            <v>454409</v>
          </cell>
          <cell r="N297">
            <v>433910</v>
          </cell>
          <cell r="O297">
            <v>482056</v>
          </cell>
          <cell r="P297">
            <v>185324</v>
          </cell>
          <cell r="Q297">
            <v>147930</v>
          </cell>
          <cell r="R297">
            <v>167551</v>
          </cell>
          <cell r="S297">
            <v>158192</v>
          </cell>
          <cell r="T297">
            <v>180450</v>
          </cell>
          <cell r="U297">
            <v>137958</v>
          </cell>
          <cell r="V297">
            <v>139193</v>
          </cell>
          <cell r="W297">
            <v>182632</v>
          </cell>
          <cell r="X297">
            <v>193117</v>
          </cell>
          <cell r="Y297">
            <v>270952</v>
          </cell>
          <cell r="Z297">
            <v>283297</v>
          </cell>
          <cell r="AA297">
            <v>256766</v>
          </cell>
          <cell r="AB297">
            <v>166718</v>
          </cell>
          <cell r="AC297">
            <v>140752</v>
          </cell>
          <cell r="AD297">
            <v>135387</v>
          </cell>
          <cell r="AE297">
            <v>146097</v>
          </cell>
          <cell r="AF297">
            <v>154903</v>
          </cell>
          <cell r="AG297">
            <v>128943</v>
          </cell>
          <cell r="AI297">
            <v>266792</v>
          </cell>
        </row>
        <row r="298">
          <cell r="I298">
            <v>453203</v>
          </cell>
          <cell r="J298">
            <v>558954</v>
          </cell>
          <cell r="K298">
            <v>444244</v>
          </cell>
          <cell r="L298">
            <v>642621</v>
          </cell>
          <cell r="M298">
            <v>654040</v>
          </cell>
          <cell r="N298">
            <v>841357</v>
          </cell>
          <cell r="O298">
            <v>521283</v>
          </cell>
          <cell r="P298">
            <v>471536</v>
          </cell>
          <cell r="Q298">
            <v>410411</v>
          </cell>
          <cell r="R298">
            <v>462529</v>
          </cell>
          <cell r="S298">
            <v>488681</v>
          </cell>
          <cell r="T298">
            <v>484256</v>
          </cell>
          <cell r="U298">
            <v>470156</v>
          </cell>
          <cell r="V298">
            <v>454583</v>
          </cell>
          <cell r="W298">
            <v>493270</v>
          </cell>
          <cell r="X298">
            <v>510226</v>
          </cell>
          <cell r="Y298">
            <v>651841</v>
          </cell>
          <cell r="Z298">
            <v>889756</v>
          </cell>
          <cell r="AA298">
            <v>524925</v>
          </cell>
          <cell r="AB298">
            <v>492555</v>
          </cell>
          <cell r="AC298">
            <v>418347</v>
          </cell>
          <cell r="AD298">
            <v>429775</v>
          </cell>
          <cell r="AE298">
            <v>479685</v>
          </cell>
          <cell r="AF298">
            <v>459192</v>
          </cell>
          <cell r="AG298">
            <v>447147</v>
          </cell>
          <cell r="AI298">
            <v>558954</v>
          </cell>
        </row>
        <row r="299">
          <cell r="I299">
            <v>1016639</v>
          </cell>
          <cell r="J299">
            <v>1191647</v>
          </cell>
          <cell r="K299">
            <v>876124</v>
          </cell>
          <cell r="L299">
            <v>1308353</v>
          </cell>
          <cell r="M299">
            <v>1224014</v>
          </cell>
          <cell r="N299">
            <v>1205098</v>
          </cell>
          <cell r="O299">
            <v>1327025</v>
          </cell>
          <cell r="P299">
            <v>689226</v>
          </cell>
          <cell r="Q299">
            <v>659549</v>
          </cell>
          <cell r="R299">
            <v>709121</v>
          </cell>
          <cell r="S299">
            <v>714802</v>
          </cell>
          <cell r="T299">
            <v>658158</v>
          </cell>
          <cell r="U299">
            <v>602316</v>
          </cell>
          <cell r="V299">
            <v>525416</v>
          </cell>
          <cell r="W299">
            <v>589665</v>
          </cell>
          <cell r="X299">
            <v>626681</v>
          </cell>
          <cell r="Y299">
            <v>750778</v>
          </cell>
          <cell r="Z299">
            <v>756563</v>
          </cell>
          <cell r="AA299">
            <v>798198</v>
          </cell>
          <cell r="AB299">
            <v>631030</v>
          </cell>
          <cell r="AC299">
            <v>536873</v>
          </cell>
          <cell r="AD299">
            <v>628636</v>
          </cell>
          <cell r="AE299">
            <v>658301</v>
          </cell>
          <cell r="AF299">
            <v>654950</v>
          </cell>
          <cell r="AG299">
            <v>565459</v>
          </cell>
          <cell r="AI299">
            <v>1191647</v>
          </cell>
        </row>
        <row r="301"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71</v>
          </cell>
          <cell r="AI301">
            <v>0</v>
          </cell>
        </row>
        <row r="302">
          <cell r="I302">
            <v>2386</v>
          </cell>
          <cell r="J302">
            <v>3436</v>
          </cell>
          <cell r="K302">
            <v>6165</v>
          </cell>
          <cell r="L302">
            <v>7744</v>
          </cell>
          <cell r="M302">
            <v>7982</v>
          </cell>
          <cell r="N302">
            <v>8968</v>
          </cell>
          <cell r="O302">
            <v>5332</v>
          </cell>
          <cell r="P302">
            <v>2520</v>
          </cell>
          <cell r="Q302">
            <v>2632</v>
          </cell>
          <cell r="R302">
            <v>2613</v>
          </cell>
          <cell r="S302">
            <v>2804</v>
          </cell>
          <cell r="T302">
            <v>2633</v>
          </cell>
          <cell r="U302">
            <v>2506</v>
          </cell>
          <cell r="V302">
            <v>4116</v>
          </cell>
          <cell r="W302">
            <v>5245</v>
          </cell>
          <cell r="X302">
            <v>7504</v>
          </cell>
          <cell r="Y302">
            <v>8822</v>
          </cell>
          <cell r="Z302">
            <v>9288</v>
          </cell>
          <cell r="AA302">
            <v>5412</v>
          </cell>
          <cell r="AB302">
            <v>3280</v>
          </cell>
          <cell r="AC302">
            <v>2832</v>
          </cell>
          <cell r="AD302">
            <v>2813</v>
          </cell>
          <cell r="AE302">
            <v>3444</v>
          </cell>
          <cell r="AF302">
            <v>993</v>
          </cell>
          <cell r="AG302">
            <v>2506</v>
          </cell>
          <cell r="AI302">
            <v>3436</v>
          </cell>
        </row>
        <row r="303">
          <cell r="I303">
            <v>20520</v>
          </cell>
          <cell r="J303">
            <v>23580</v>
          </cell>
          <cell r="K303">
            <v>25920</v>
          </cell>
          <cell r="L303">
            <v>28500</v>
          </cell>
          <cell r="M303">
            <v>31920</v>
          </cell>
          <cell r="N303">
            <v>23400</v>
          </cell>
          <cell r="O303">
            <v>19380</v>
          </cell>
          <cell r="P303">
            <v>14340</v>
          </cell>
          <cell r="Q303">
            <v>17220</v>
          </cell>
          <cell r="R303">
            <v>25380</v>
          </cell>
          <cell r="S303">
            <v>21180</v>
          </cell>
          <cell r="T303">
            <v>20520</v>
          </cell>
          <cell r="U303">
            <v>25920</v>
          </cell>
          <cell r="V303">
            <v>30000</v>
          </cell>
          <cell r="W303">
            <v>31980</v>
          </cell>
          <cell r="X303">
            <v>31440</v>
          </cell>
          <cell r="Y303">
            <v>30540</v>
          </cell>
          <cell r="Z303">
            <v>27900</v>
          </cell>
          <cell r="AA303">
            <v>29760</v>
          </cell>
          <cell r="AB303">
            <v>22980</v>
          </cell>
          <cell r="AC303">
            <v>20160</v>
          </cell>
          <cell r="AD303">
            <v>26820</v>
          </cell>
          <cell r="AE303">
            <v>29520</v>
          </cell>
          <cell r="AF303">
            <v>27000</v>
          </cell>
          <cell r="AG303">
            <v>27900</v>
          </cell>
          <cell r="AI303">
            <v>23580</v>
          </cell>
        </row>
        <row r="304">
          <cell r="I304">
            <v>566</v>
          </cell>
          <cell r="J304">
            <v>2529</v>
          </cell>
          <cell r="K304">
            <v>4013</v>
          </cell>
          <cell r="L304">
            <v>3910</v>
          </cell>
          <cell r="M304">
            <v>3892</v>
          </cell>
          <cell r="N304">
            <v>4523</v>
          </cell>
          <cell r="O304">
            <v>1435</v>
          </cell>
          <cell r="P304">
            <v>1769</v>
          </cell>
          <cell r="Q304">
            <v>605</v>
          </cell>
          <cell r="R304">
            <v>717</v>
          </cell>
          <cell r="S304">
            <v>569</v>
          </cell>
          <cell r="T304">
            <v>529</v>
          </cell>
          <cell r="U304">
            <v>631</v>
          </cell>
          <cell r="V304">
            <v>2330</v>
          </cell>
          <cell r="W304">
            <v>3203</v>
          </cell>
          <cell r="X304">
            <v>3437</v>
          </cell>
          <cell r="Y304">
            <v>4143</v>
          </cell>
          <cell r="Z304">
            <v>5570</v>
          </cell>
          <cell r="AA304">
            <v>3023</v>
          </cell>
          <cell r="AB304">
            <v>1650</v>
          </cell>
          <cell r="AC304">
            <v>918</v>
          </cell>
          <cell r="AD304">
            <v>950</v>
          </cell>
          <cell r="AE304">
            <v>979</v>
          </cell>
          <cell r="AF304">
            <v>852</v>
          </cell>
          <cell r="AG304">
            <v>841</v>
          </cell>
          <cell r="AI304">
            <v>2529</v>
          </cell>
        </row>
        <row r="305"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I305">
            <v>0</v>
          </cell>
        </row>
        <row r="306">
          <cell r="I306">
            <v>6882</v>
          </cell>
          <cell r="J306">
            <v>10827</v>
          </cell>
          <cell r="K306">
            <v>14754</v>
          </cell>
          <cell r="L306">
            <v>18795</v>
          </cell>
          <cell r="M306">
            <v>17271</v>
          </cell>
          <cell r="N306">
            <v>52289</v>
          </cell>
          <cell r="O306">
            <v>66131</v>
          </cell>
          <cell r="P306">
            <v>42005</v>
          </cell>
          <cell r="Q306">
            <v>47686</v>
          </cell>
          <cell r="R306">
            <v>48446</v>
          </cell>
          <cell r="S306">
            <v>45465</v>
          </cell>
          <cell r="T306">
            <v>45352</v>
          </cell>
          <cell r="U306">
            <v>52002</v>
          </cell>
          <cell r="V306">
            <v>45387</v>
          </cell>
          <cell r="W306">
            <v>62754</v>
          </cell>
          <cell r="X306">
            <v>122475</v>
          </cell>
          <cell r="Y306">
            <v>75422</v>
          </cell>
          <cell r="Z306">
            <v>63217</v>
          </cell>
          <cell r="AA306">
            <v>55571</v>
          </cell>
          <cell r="AB306">
            <v>50645</v>
          </cell>
          <cell r="AC306">
            <v>62086</v>
          </cell>
          <cell r="AD306">
            <v>66686</v>
          </cell>
          <cell r="AE306">
            <v>57945</v>
          </cell>
          <cell r="AF306">
            <v>65512</v>
          </cell>
          <cell r="AG306">
            <v>62562</v>
          </cell>
          <cell r="AI306">
            <v>10827</v>
          </cell>
        </row>
        <row r="307">
          <cell r="I307">
            <v>13861</v>
          </cell>
          <cell r="J307">
            <v>29370</v>
          </cell>
          <cell r="K307">
            <v>5480</v>
          </cell>
          <cell r="L307">
            <v>7237</v>
          </cell>
          <cell r="M307">
            <v>6275</v>
          </cell>
          <cell r="N307">
            <v>10252</v>
          </cell>
          <cell r="O307">
            <v>36392</v>
          </cell>
          <cell r="P307">
            <v>17132</v>
          </cell>
          <cell r="Q307">
            <v>24956</v>
          </cell>
          <cell r="R307">
            <v>40273</v>
          </cell>
          <cell r="S307">
            <v>16029</v>
          </cell>
          <cell r="T307">
            <v>12125</v>
          </cell>
          <cell r="U307">
            <v>15432</v>
          </cell>
          <cell r="V307">
            <v>20374</v>
          </cell>
          <cell r="W307">
            <v>8804</v>
          </cell>
          <cell r="X307">
            <v>5388</v>
          </cell>
          <cell r="Y307">
            <v>7537</v>
          </cell>
          <cell r="Z307">
            <v>8350</v>
          </cell>
          <cell r="AA307">
            <v>22353</v>
          </cell>
          <cell r="AB307">
            <v>23854</v>
          </cell>
          <cell r="AC307">
            <v>22043</v>
          </cell>
          <cell r="AD307">
            <v>24890</v>
          </cell>
          <cell r="AE307">
            <v>44018</v>
          </cell>
          <cell r="AF307">
            <v>35328</v>
          </cell>
          <cell r="AG307">
            <v>24479</v>
          </cell>
          <cell r="AI307">
            <v>29370</v>
          </cell>
        </row>
        <row r="308"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I308">
            <v>0</v>
          </cell>
        </row>
        <row r="309">
          <cell r="I309">
            <v>3440</v>
          </cell>
          <cell r="J309">
            <v>3840</v>
          </cell>
          <cell r="K309">
            <v>6920</v>
          </cell>
          <cell r="L309">
            <v>14160</v>
          </cell>
          <cell r="M309">
            <v>15240</v>
          </cell>
          <cell r="N309">
            <v>10480</v>
          </cell>
          <cell r="O309">
            <v>8360</v>
          </cell>
          <cell r="P309">
            <v>4680</v>
          </cell>
          <cell r="Q309">
            <v>3840</v>
          </cell>
          <cell r="R309">
            <v>3880</v>
          </cell>
          <cell r="S309">
            <v>3440</v>
          </cell>
          <cell r="T309">
            <v>2720</v>
          </cell>
          <cell r="U309">
            <v>2920</v>
          </cell>
          <cell r="V309">
            <v>2800</v>
          </cell>
          <cell r="W309">
            <v>11880</v>
          </cell>
          <cell r="X309">
            <v>12760</v>
          </cell>
          <cell r="Y309">
            <v>21920</v>
          </cell>
          <cell r="Z309">
            <v>12240</v>
          </cell>
          <cell r="AA309">
            <v>7960</v>
          </cell>
          <cell r="AB309">
            <v>3840</v>
          </cell>
          <cell r="AC309">
            <v>3040</v>
          </cell>
          <cell r="AD309">
            <v>3360</v>
          </cell>
          <cell r="AE309">
            <v>4200</v>
          </cell>
          <cell r="AF309">
            <v>3600</v>
          </cell>
          <cell r="AG309">
            <v>4160</v>
          </cell>
          <cell r="AI309">
            <v>3840</v>
          </cell>
        </row>
        <row r="310">
          <cell r="I310">
            <v>10068</v>
          </cell>
          <cell r="J310">
            <v>8008</v>
          </cell>
          <cell r="K310">
            <v>9849</v>
          </cell>
          <cell r="L310">
            <v>10480</v>
          </cell>
          <cell r="M310">
            <v>10812</v>
          </cell>
          <cell r="N310">
            <v>10512</v>
          </cell>
          <cell r="O310">
            <v>7144</v>
          </cell>
          <cell r="P310">
            <v>6880</v>
          </cell>
          <cell r="Q310">
            <v>6144</v>
          </cell>
          <cell r="R310">
            <v>5707</v>
          </cell>
          <cell r="S310">
            <v>6968</v>
          </cell>
          <cell r="T310">
            <v>6467</v>
          </cell>
          <cell r="U310">
            <v>6452</v>
          </cell>
          <cell r="V310">
            <v>6072</v>
          </cell>
          <cell r="W310">
            <v>7769</v>
          </cell>
          <cell r="X310">
            <v>6848</v>
          </cell>
          <cell r="Y310">
            <v>7884</v>
          </cell>
          <cell r="Z310">
            <v>8816</v>
          </cell>
          <cell r="AA310">
            <v>8376</v>
          </cell>
          <cell r="AB310">
            <v>6896</v>
          </cell>
          <cell r="AC310">
            <v>6032</v>
          </cell>
          <cell r="AD310">
            <v>7266</v>
          </cell>
          <cell r="AE310">
            <v>6826</v>
          </cell>
          <cell r="AF310">
            <v>6138</v>
          </cell>
          <cell r="AG310">
            <v>6831</v>
          </cell>
          <cell r="AI310">
            <v>8008</v>
          </cell>
        </row>
        <row r="311"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I311">
            <v>0</v>
          </cell>
        </row>
        <row r="312">
          <cell r="I312">
            <v>148120</v>
          </cell>
          <cell r="J312">
            <v>139640</v>
          </cell>
          <cell r="K312">
            <v>132480</v>
          </cell>
          <cell r="L312">
            <v>122120</v>
          </cell>
          <cell r="M312">
            <v>121920</v>
          </cell>
          <cell r="N312">
            <v>131600</v>
          </cell>
          <cell r="O312">
            <v>149960</v>
          </cell>
          <cell r="P312">
            <v>116440</v>
          </cell>
          <cell r="Q312">
            <v>119960</v>
          </cell>
          <cell r="R312">
            <v>128120</v>
          </cell>
          <cell r="S312">
            <v>130360</v>
          </cell>
          <cell r="T312">
            <v>139440</v>
          </cell>
          <cell r="U312">
            <v>116560</v>
          </cell>
          <cell r="V312">
            <v>109280</v>
          </cell>
          <cell r="W312">
            <v>121240</v>
          </cell>
          <cell r="X312">
            <v>121520</v>
          </cell>
          <cell r="Y312">
            <v>123880</v>
          </cell>
          <cell r="Z312">
            <v>124840</v>
          </cell>
          <cell r="AA312">
            <v>121680</v>
          </cell>
          <cell r="AB312">
            <v>113960</v>
          </cell>
          <cell r="AC312">
            <v>107120</v>
          </cell>
          <cell r="AD312">
            <v>127640</v>
          </cell>
          <cell r="AE312">
            <v>123400</v>
          </cell>
          <cell r="AF312">
            <v>122920</v>
          </cell>
          <cell r="AG312">
            <v>105360</v>
          </cell>
          <cell r="AI312">
            <v>139640</v>
          </cell>
        </row>
        <row r="313"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5400</v>
          </cell>
          <cell r="AE313">
            <v>5160</v>
          </cell>
          <cell r="AF313">
            <v>5800</v>
          </cell>
          <cell r="AG313">
            <v>5000</v>
          </cell>
          <cell r="AI313">
            <v>0</v>
          </cell>
        </row>
        <row r="314">
          <cell r="I314">
            <v>487375</v>
          </cell>
          <cell r="J314">
            <v>527389</v>
          </cell>
          <cell r="K314">
            <v>1607729</v>
          </cell>
          <cell r="L314">
            <v>1651058</v>
          </cell>
          <cell r="M314">
            <v>1738280</v>
          </cell>
          <cell r="N314">
            <v>1721902</v>
          </cell>
          <cell r="O314">
            <v>1875366</v>
          </cell>
          <cell r="P314">
            <v>1639589</v>
          </cell>
          <cell r="Q314">
            <v>1514998</v>
          </cell>
          <cell r="R314">
            <v>1824556</v>
          </cell>
          <cell r="S314">
            <v>1688626</v>
          </cell>
          <cell r="T314">
            <v>1813057</v>
          </cell>
          <cell r="U314">
            <v>1643313</v>
          </cell>
          <cell r="V314">
            <v>1499947</v>
          </cell>
          <cell r="W314">
            <v>1806876</v>
          </cell>
          <cell r="X314">
            <v>1781930</v>
          </cell>
          <cell r="Y314">
            <v>1792371</v>
          </cell>
          <cell r="Z314">
            <v>1958672</v>
          </cell>
          <cell r="AA314">
            <v>1802178</v>
          </cell>
          <cell r="AB314">
            <v>1683966</v>
          </cell>
          <cell r="AC314">
            <v>1634380</v>
          </cell>
          <cell r="AD314">
            <v>1692010</v>
          </cell>
          <cell r="AE314">
            <v>1618190</v>
          </cell>
          <cell r="AF314">
            <v>1571434</v>
          </cell>
          <cell r="AG314">
            <v>1733380</v>
          </cell>
          <cell r="AI314">
            <v>527389</v>
          </cell>
        </row>
        <row r="315"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I315">
            <v>0</v>
          </cell>
        </row>
        <row r="316">
          <cell r="I316">
            <v>20074</v>
          </cell>
          <cell r="J316">
            <v>21157</v>
          </cell>
          <cell r="K316">
            <v>21182</v>
          </cell>
          <cell r="L316">
            <v>22072</v>
          </cell>
          <cell r="M316">
            <v>21831</v>
          </cell>
          <cell r="N316">
            <v>22724</v>
          </cell>
          <cell r="O316">
            <v>18966</v>
          </cell>
          <cell r="P316">
            <v>19360</v>
          </cell>
          <cell r="Q316">
            <v>18225</v>
          </cell>
          <cell r="R316">
            <v>20107</v>
          </cell>
          <cell r="S316">
            <v>21928</v>
          </cell>
          <cell r="T316">
            <v>18867</v>
          </cell>
          <cell r="U316">
            <v>17173</v>
          </cell>
          <cell r="V316">
            <v>16153</v>
          </cell>
          <cell r="W316">
            <v>19529</v>
          </cell>
          <cell r="X316">
            <v>22127</v>
          </cell>
          <cell r="Y316">
            <v>20525</v>
          </cell>
          <cell r="Z316">
            <v>18737</v>
          </cell>
          <cell r="AA316">
            <v>18584</v>
          </cell>
          <cell r="AB316">
            <v>19520</v>
          </cell>
          <cell r="AC316">
            <v>17825</v>
          </cell>
          <cell r="AD316">
            <v>18347</v>
          </cell>
          <cell r="AE316">
            <v>17448</v>
          </cell>
          <cell r="AF316">
            <v>13347</v>
          </cell>
          <cell r="AG316">
            <v>15573</v>
          </cell>
          <cell r="AI316">
            <v>21157</v>
          </cell>
        </row>
        <row r="317">
          <cell r="I317">
            <v>49393</v>
          </cell>
          <cell r="J317">
            <v>38793</v>
          </cell>
          <cell r="K317">
            <v>32489</v>
          </cell>
          <cell r="L317">
            <v>28207</v>
          </cell>
          <cell r="M317">
            <v>30485</v>
          </cell>
          <cell r="N317">
            <v>30837</v>
          </cell>
          <cell r="O317">
            <v>29144</v>
          </cell>
          <cell r="P317">
            <v>32640</v>
          </cell>
          <cell r="Q317">
            <v>41385</v>
          </cell>
          <cell r="R317">
            <v>53987</v>
          </cell>
          <cell r="S317">
            <v>56028</v>
          </cell>
          <cell r="T317">
            <v>64427</v>
          </cell>
          <cell r="U317">
            <v>52553</v>
          </cell>
          <cell r="V317">
            <v>42533</v>
          </cell>
          <cell r="W317">
            <v>32329</v>
          </cell>
          <cell r="X317">
            <v>32667</v>
          </cell>
          <cell r="Y317">
            <v>35885</v>
          </cell>
          <cell r="Z317">
            <v>35357</v>
          </cell>
          <cell r="AA317">
            <v>37844</v>
          </cell>
          <cell r="AB317">
            <v>39540</v>
          </cell>
          <cell r="AC317">
            <v>41425</v>
          </cell>
          <cell r="AD317">
            <v>64667</v>
          </cell>
          <cell r="AE317">
            <v>71528</v>
          </cell>
          <cell r="AF317">
            <v>71227</v>
          </cell>
          <cell r="AG317">
            <v>60613</v>
          </cell>
          <cell r="AI317">
            <v>38793</v>
          </cell>
        </row>
        <row r="318">
          <cell r="I318">
            <v>6019</v>
          </cell>
          <cell r="J318">
            <v>5323</v>
          </cell>
          <cell r="K318">
            <v>5873</v>
          </cell>
          <cell r="L318">
            <v>8973</v>
          </cell>
          <cell r="M318">
            <v>8107</v>
          </cell>
          <cell r="N318">
            <v>7505</v>
          </cell>
          <cell r="O318">
            <v>8706</v>
          </cell>
          <cell r="P318">
            <v>6499</v>
          </cell>
          <cell r="Q318">
            <v>5538</v>
          </cell>
          <cell r="R318">
            <v>6213</v>
          </cell>
          <cell r="S318">
            <v>5947</v>
          </cell>
          <cell r="T318">
            <v>5438</v>
          </cell>
          <cell r="U318">
            <v>6744</v>
          </cell>
          <cell r="V318">
            <v>5480</v>
          </cell>
          <cell r="W318">
            <v>7982</v>
          </cell>
          <cell r="X318">
            <v>7097</v>
          </cell>
          <cell r="Y318">
            <v>9739</v>
          </cell>
          <cell r="Z318">
            <v>8632</v>
          </cell>
          <cell r="AA318">
            <v>9061</v>
          </cell>
          <cell r="AB318">
            <v>6282</v>
          </cell>
          <cell r="AC318">
            <v>4979</v>
          </cell>
          <cell r="AD318">
            <v>5577</v>
          </cell>
          <cell r="AE318">
            <v>5361</v>
          </cell>
          <cell r="AF318">
            <v>5134</v>
          </cell>
          <cell r="AG318">
            <v>6146</v>
          </cell>
          <cell r="AI318">
            <v>5323</v>
          </cell>
        </row>
        <row r="319"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I319">
            <v>0</v>
          </cell>
        </row>
        <row r="320">
          <cell r="I320">
            <v>2830500</v>
          </cell>
          <cell r="J320">
            <v>102300</v>
          </cell>
          <cell r="K320">
            <v>100500</v>
          </cell>
          <cell r="L320">
            <v>90900</v>
          </cell>
          <cell r="M320">
            <v>116100</v>
          </cell>
          <cell r="N320">
            <v>117600</v>
          </cell>
          <cell r="O320">
            <v>145500</v>
          </cell>
          <cell r="P320">
            <v>119700</v>
          </cell>
          <cell r="Q320">
            <v>103801</v>
          </cell>
          <cell r="R320">
            <v>97563</v>
          </cell>
          <cell r="S320">
            <v>103865</v>
          </cell>
          <cell r="T320">
            <v>101518</v>
          </cell>
          <cell r="U320">
            <v>108398</v>
          </cell>
          <cell r="V320">
            <v>113927</v>
          </cell>
          <cell r="W320">
            <v>120306</v>
          </cell>
          <cell r="X320">
            <v>120299</v>
          </cell>
          <cell r="Y320">
            <v>118503</v>
          </cell>
          <cell r="Z320">
            <v>127627</v>
          </cell>
          <cell r="AA320">
            <v>118431</v>
          </cell>
          <cell r="AB320">
            <v>103309</v>
          </cell>
          <cell r="AC320">
            <v>98911</v>
          </cell>
          <cell r="AD320">
            <v>96309</v>
          </cell>
          <cell r="AE320">
            <v>13907</v>
          </cell>
          <cell r="AF320">
            <v>6613</v>
          </cell>
          <cell r="AG320">
            <v>3286</v>
          </cell>
          <cell r="AI320">
            <v>102300</v>
          </cell>
        </row>
        <row r="322">
          <cell r="I322">
            <v>824194</v>
          </cell>
          <cell r="J322">
            <v>844928</v>
          </cell>
          <cell r="K322">
            <v>1069608</v>
          </cell>
          <cell r="L322">
            <v>1190564</v>
          </cell>
          <cell r="M322">
            <v>1050456</v>
          </cell>
          <cell r="N322">
            <v>952116</v>
          </cell>
          <cell r="O322">
            <v>870411</v>
          </cell>
          <cell r="P322">
            <v>804427</v>
          </cell>
          <cell r="Q322">
            <v>808266</v>
          </cell>
          <cell r="R322">
            <v>801437</v>
          </cell>
          <cell r="S322">
            <v>697702</v>
          </cell>
          <cell r="T322">
            <v>730077</v>
          </cell>
          <cell r="U322">
            <v>730400</v>
          </cell>
          <cell r="V322">
            <v>846202</v>
          </cell>
          <cell r="W322">
            <v>921680</v>
          </cell>
          <cell r="X322">
            <v>1045531</v>
          </cell>
          <cell r="Y322">
            <v>775491</v>
          </cell>
          <cell r="Z322">
            <v>872521</v>
          </cell>
          <cell r="AA322">
            <v>866312</v>
          </cell>
          <cell r="AB322">
            <v>803770</v>
          </cell>
          <cell r="AC322">
            <v>739893</v>
          </cell>
          <cell r="AD322">
            <v>704546</v>
          </cell>
          <cell r="AE322">
            <v>617024</v>
          </cell>
          <cell r="AF322">
            <v>648382</v>
          </cell>
          <cell r="AG322">
            <v>695633</v>
          </cell>
          <cell r="AI322">
            <v>844928</v>
          </cell>
        </row>
        <row r="323">
          <cell r="I323">
            <v>3558000</v>
          </cell>
          <cell r="J323">
            <v>3454500</v>
          </cell>
          <cell r="K323">
            <v>4188000</v>
          </cell>
          <cell r="L323">
            <v>3894000</v>
          </cell>
          <cell r="M323">
            <v>3594000</v>
          </cell>
          <cell r="N323">
            <v>3966000</v>
          </cell>
          <cell r="O323">
            <v>3453000</v>
          </cell>
          <cell r="P323">
            <v>3610500</v>
          </cell>
          <cell r="Q323">
            <v>3184500</v>
          </cell>
          <cell r="R323">
            <v>3069000</v>
          </cell>
          <cell r="S323">
            <v>2469000</v>
          </cell>
          <cell r="T323">
            <v>3184500</v>
          </cell>
          <cell r="U323">
            <v>2989500</v>
          </cell>
          <cell r="V323">
            <v>3541500</v>
          </cell>
          <cell r="W323">
            <v>3240000</v>
          </cell>
          <cell r="X323">
            <v>2943000</v>
          </cell>
          <cell r="Y323">
            <v>3460500</v>
          </cell>
          <cell r="Z323">
            <v>3316500</v>
          </cell>
          <cell r="AA323">
            <v>3223500</v>
          </cell>
          <cell r="AB323">
            <v>2586000</v>
          </cell>
          <cell r="AC323">
            <v>2629500</v>
          </cell>
          <cell r="AD323">
            <v>2673000</v>
          </cell>
          <cell r="AE323">
            <v>2550000</v>
          </cell>
          <cell r="AF323">
            <v>2511000</v>
          </cell>
          <cell r="AG323">
            <v>2842500</v>
          </cell>
          <cell r="AI323">
            <v>3454500</v>
          </cell>
        </row>
        <row r="324"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2560</v>
          </cell>
          <cell r="W324">
            <v>4480</v>
          </cell>
          <cell r="X324">
            <v>640</v>
          </cell>
          <cell r="Y324">
            <v>640</v>
          </cell>
          <cell r="Z324">
            <v>1600</v>
          </cell>
          <cell r="AA324">
            <v>3520</v>
          </cell>
          <cell r="AB324">
            <v>2880</v>
          </cell>
          <cell r="AC324">
            <v>2880</v>
          </cell>
          <cell r="AD324">
            <v>2560</v>
          </cell>
          <cell r="AE324">
            <v>2240</v>
          </cell>
          <cell r="AF324">
            <v>2880</v>
          </cell>
          <cell r="AG324">
            <v>1600</v>
          </cell>
          <cell r="AI324">
            <v>0</v>
          </cell>
        </row>
        <row r="325">
          <cell r="I325">
            <v>1011678</v>
          </cell>
          <cell r="J325">
            <v>1042752</v>
          </cell>
          <cell r="K325">
            <v>1213632</v>
          </cell>
          <cell r="L325">
            <v>1237203</v>
          </cell>
          <cell r="M325">
            <v>1120669</v>
          </cell>
          <cell r="N325">
            <v>1216869</v>
          </cell>
          <cell r="O325">
            <v>991823</v>
          </cell>
          <cell r="P325">
            <v>864800</v>
          </cell>
          <cell r="Q325">
            <v>898115</v>
          </cell>
          <cell r="R325">
            <v>900828</v>
          </cell>
          <cell r="S325">
            <v>744809</v>
          </cell>
          <cell r="T325">
            <v>864873</v>
          </cell>
          <cell r="U325">
            <v>897257</v>
          </cell>
          <cell r="V325">
            <v>1007696</v>
          </cell>
          <cell r="W325">
            <v>1274282</v>
          </cell>
          <cell r="X325">
            <v>1300448</v>
          </cell>
          <cell r="Y325">
            <v>1336178</v>
          </cell>
          <cell r="Z325">
            <v>1394591</v>
          </cell>
          <cell r="AA325">
            <v>1105113</v>
          </cell>
          <cell r="AB325">
            <v>967019</v>
          </cell>
          <cell r="AC325">
            <v>997296</v>
          </cell>
          <cell r="AD325">
            <v>948279</v>
          </cell>
          <cell r="AE325">
            <v>841696</v>
          </cell>
          <cell r="AF325">
            <v>819726</v>
          </cell>
          <cell r="AG325">
            <v>852481</v>
          </cell>
          <cell r="AI325">
            <v>1042752</v>
          </cell>
        </row>
        <row r="326"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I326">
            <v>0</v>
          </cell>
        </row>
        <row r="327"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I327">
            <v>0</v>
          </cell>
        </row>
        <row r="328"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I328">
            <v>0</v>
          </cell>
        </row>
        <row r="329">
          <cell r="I329">
            <v>4</v>
          </cell>
          <cell r="J329">
            <v>8</v>
          </cell>
          <cell r="K329">
            <v>2</v>
          </cell>
          <cell r="L329">
            <v>5</v>
          </cell>
          <cell r="M329">
            <v>2</v>
          </cell>
          <cell r="N329">
            <v>30</v>
          </cell>
          <cell r="O329">
            <v>7</v>
          </cell>
          <cell r="P329">
            <v>4</v>
          </cell>
          <cell r="Q329">
            <v>6</v>
          </cell>
          <cell r="R329">
            <v>9</v>
          </cell>
          <cell r="S329">
            <v>10</v>
          </cell>
          <cell r="T329">
            <v>2</v>
          </cell>
          <cell r="U329">
            <v>21</v>
          </cell>
          <cell r="V329">
            <v>4</v>
          </cell>
          <cell r="W329">
            <v>30</v>
          </cell>
          <cell r="X329">
            <v>6</v>
          </cell>
          <cell r="Y329">
            <v>3</v>
          </cell>
          <cell r="Z329">
            <v>2</v>
          </cell>
          <cell r="AA329">
            <v>0</v>
          </cell>
          <cell r="AB329">
            <v>0</v>
          </cell>
          <cell r="AC329">
            <v>0</v>
          </cell>
          <cell r="AD329">
            <v>7</v>
          </cell>
          <cell r="AE329">
            <v>2</v>
          </cell>
          <cell r="AF329">
            <v>10</v>
          </cell>
          <cell r="AG329">
            <v>16</v>
          </cell>
          <cell r="AI329">
            <v>8</v>
          </cell>
        </row>
        <row r="330">
          <cell r="I330">
            <v>474800</v>
          </cell>
          <cell r="J330">
            <v>546800</v>
          </cell>
          <cell r="K330">
            <v>598800</v>
          </cell>
          <cell r="L330">
            <v>540800</v>
          </cell>
          <cell r="M330">
            <v>518800</v>
          </cell>
          <cell r="N330">
            <v>603600</v>
          </cell>
          <cell r="O330">
            <v>514400</v>
          </cell>
          <cell r="P330">
            <v>494800</v>
          </cell>
          <cell r="Q330">
            <v>583200</v>
          </cell>
          <cell r="R330">
            <v>521200</v>
          </cell>
          <cell r="S330">
            <v>546800</v>
          </cell>
          <cell r="T330">
            <v>504800</v>
          </cell>
          <cell r="U330">
            <v>587200</v>
          </cell>
          <cell r="V330">
            <v>531200</v>
          </cell>
          <cell r="W330">
            <v>682800</v>
          </cell>
          <cell r="X330">
            <v>732400</v>
          </cell>
          <cell r="Y330">
            <v>738000</v>
          </cell>
          <cell r="Z330">
            <v>832800</v>
          </cell>
          <cell r="AA330">
            <v>778000</v>
          </cell>
          <cell r="AB330">
            <v>756400</v>
          </cell>
          <cell r="AC330">
            <v>730000</v>
          </cell>
          <cell r="AD330">
            <v>683200</v>
          </cell>
          <cell r="AE330">
            <v>761200</v>
          </cell>
          <cell r="AF330">
            <v>747600</v>
          </cell>
          <cell r="AG330">
            <v>717200</v>
          </cell>
          <cell r="AI330">
            <v>546800</v>
          </cell>
        </row>
        <row r="331">
          <cell r="I331">
            <v>1037</v>
          </cell>
          <cell r="J331">
            <v>1459</v>
          </cell>
          <cell r="K331">
            <v>3462</v>
          </cell>
          <cell r="L331">
            <v>4842</v>
          </cell>
          <cell r="M331">
            <v>5814</v>
          </cell>
          <cell r="N331">
            <v>4440</v>
          </cell>
          <cell r="O331">
            <v>6553</v>
          </cell>
          <cell r="P331">
            <v>3313</v>
          </cell>
          <cell r="Q331">
            <v>2624</v>
          </cell>
          <cell r="R331">
            <v>2055</v>
          </cell>
          <cell r="S331">
            <v>872</v>
          </cell>
          <cell r="T331">
            <v>760</v>
          </cell>
          <cell r="U331">
            <v>854</v>
          </cell>
          <cell r="V331">
            <v>865</v>
          </cell>
          <cell r="W331">
            <v>2523</v>
          </cell>
          <cell r="X331">
            <v>3962</v>
          </cell>
          <cell r="Y331">
            <v>7505</v>
          </cell>
          <cell r="Z331">
            <v>2518</v>
          </cell>
          <cell r="AA331">
            <v>2617</v>
          </cell>
          <cell r="AB331">
            <v>530</v>
          </cell>
          <cell r="AC331">
            <v>482</v>
          </cell>
          <cell r="AD331">
            <v>663</v>
          </cell>
          <cell r="AE331">
            <v>701</v>
          </cell>
          <cell r="AF331">
            <v>770</v>
          </cell>
          <cell r="AG331">
            <v>527</v>
          </cell>
          <cell r="AI331">
            <v>1459</v>
          </cell>
        </row>
        <row r="332">
          <cell r="I332">
            <v>2496633</v>
          </cell>
          <cell r="J332">
            <v>2711856</v>
          </cell>
          <cell r="K332">
            <v>2881245</v>
          </cell>
          <cell r="L332">
            <v>3341153</v>
          </cell>
          <cell r="M332">
            <v>2861865</v>
          </cell>
          <cell r="N332">
            <v>3412291</v>
          </cell>
          <cell r="O332">
            <v>3193162</v>
          </cell>
          <cell r="P332">
            <v>2574515</v>
          </cell>
          <cell r="Q332">
            <v>2472712</v>
          </cell>
          <cell r="R332">
            <v>2498822</v>
          </cell>
          <cell r="S332">
            <v>3226381</v>
          </cell>
          <cell r="T332">
            <v>2895773</v>
          </cell>
          <cell r="U332">
            <v>3120933</v>
          </cell>
          <cell r="V332">
            <v>3008802</v>
          </cell>
          <cell r="W332">
            <v>3076077</v>
          </cell>
          <cell r="X332">
            <v>3331520</v>
          </cell>
          <cell r="Y332">
            <v>3255434</v>
          </cell>
          <cell r="Z332">
            <v>2296460</v>
          </cell>
          <cell r="AA332">
            <v>2540949</v>
          </cell>
          <cell r="AB332">
            <v>2358675</v>
          </cell>
          <cell r="AC332">
            <v>2257769</v>
          </cell>
          <cell r="AD332">
            <v>2220384</v>
          </cell>
          <cell r="AE332">
            <v>2234440</v>
          </cell>
          <cell r="AF332">
            <v>2204306</v>
          </cell>
          <cell r="AG332">
            <v>2080909</v>
          </cell>
          <cell r="AI332">
            <v>2711856</v>
          </cell>
        </row>
        <row r="333">
          <cell r="I333">
            <v>7872</v>
          </cell>
          <cell r="J333">
            <v>8736</v>
          </cell>
          <cell r="K333">
            <v>9312</v>
          </cell>
          <cell r="L333">
            <v>9312</v>
          </cell>
          <cell r="M333">
            <v>9792</v>
          </cell>
          <cell r="N333">
            <v>11616</v>
          </cell>
          <cell r="O333">
            <v>9600</v>
          </cell>
          <cell r="P333">
            <v>10752</v>
          </cell>
          <cell r="Q333">
            <v>7872</v>
          </cell>
          <cell r="R333">
            <v>7776</v>
          </cell>
          <cell r="S333">
            <v>7200</v>
          </cell>
          <cell r="T333">
            <v>8544</v>
          </cell>
          <cell r="U333">
            <v>9024</v>
          </cell>
          <cell r="V333">
            <v>8064</v>
          </cell>
          <cell r="W333">
            <v>12096</v>
          </cell>
          <cell r="X333">
            <v>10656</v>
          </cell>
          <cell r="Y333">
            <v>12672</v>
          </cell>
          <cell r="Z333">
            <v>13056</v>
          </cell>
          <cell r="AA333">
            <v>10656</v>
          </cell>
          <cell r="AB333">
            <v>8352</v>
          </cell>
          <cell r="AC333">
            <v>8352</v>
          </cell>
          <cell r="AD333">
            <v>8160</v>
          </cell>
          <cell r="AE333">
            <v>8064</v>
          </cell>
          <cell r="AF333">
            <v>6816</v>
          </cell>
          <cell r="AG333">
            <v>7680</v>
          </cell>
          <cell r="AI333">
            <v>8736</v>
          </cell>
        </row>
        <row r="334">
          <cell r="I334">
            <v>5252060</v>
          </cell>
          <cell r="J334">
            <v>4761873</v>
          </cell>
          <cell r="K334">
            <v>5604078</v>
          </cell>
          <cell r="L334">
            <v>4887753</v>
          </cell>
          <cell r="M334">
            <v>5169812</v>
          </cell>
          <cell r="N334">
            <v>5519434</v>
          </cell>
          <cell r="O334">
            <v>4995355</v>
          </cell>
          <cell r="P334">
            <v>4456520</v>
          </cell>
          <cell r="Q334">
            <v>4202130</v>
          </cell>
          <cell r="R334">
            <v>4631840</v>
          </cell>
          <cell r="S334">
            <v>4641869</v>
          </cell>
          <cell r="T334">
            <v>4572870</v>
          </cell>
          <cell r="U334">
            <v>4563991</v>
          </cell>
          <cell r="V334">
            <v>4667640</v>
          </cell>
          <cell r="W334">
            <v>5721241</v>
          </cell>
          <cell r="X334">
            <v>5450249</v>
          </cell>
          <cell r="Y334">
            <v>5692202</v>
          </cell>
          <cell r="Z334">
            <v>6133907</v>
          </cell>
          <cell r="AA334">
            <v>5134450</v>
          </cell>
          <cell r="AB334">
            <v>4996031</v>
          </cell>
          <cell r="AC334">
            <v>4921785</v>
          </cell>
          <cell r="AD334">
            <v>4361535</v>
          </cell>
          <cell r="AE334">
            <v>5101331</v>
          </cell>
          <cell r="AF334">
            <v>4848860</v>
          </cell>
          <cell r="AG334">
            <v>4792636</v>
          </cell>
          <cell r="AI334">
            <v>4761873</v>
          </cell>
        </row>
        <row r="335">
          <cell r="I335">
            <v>93088</v>
          </cell>
          <cell r="J335">
            <v>112431</v>
          </cell>
          <cell r="K335">
            <v>65613</v>
          </cell>
          <cell r="L335">
            <v>46307</v>
          </cell>
          <cell r="M335">
            <v>99534</v>
          </cell>
          <cell r="N335">
            <v>70992</v>
          </cell>
          <cell r="O335">
            <v>99095</v>
          </cell>
          <cell r="P335">
            <v>92161</v>
          </cell>
          <cell r="Q335">
            <v>92047</v>
          </cell>
          <cell r="R335">
            <v>85602</v>
          </cell>
          <cell r="S335">
            <v>91443</v>
          </cell>
          <cell r="T335">
            <v>70241</v>
          </cell>
          <cell r="U335">
            <v>14611</v>
          </cell>
          <cell r="V335">
            <v>32403</v>
          </cell>
          <cell r="W335">
            <v>88344</v>
          </cell>
          <cell r="X335">
            <v>53076</v>
          </cell>
          <cell r="Y335">
            <v>67776</v>
          </cell>
          <cell r="Z335">
            <v>82230</v>
          </cell>
          <cell r="AA335">
            <v>91696</v>
          </cell>
          <cell r="AB335">
            <v>99639</v>
          </cell>
          <cell r="AC335">
            <v>101734</v>
          </cell>
          <cell r="AD335">
            <v>78014</v>
          </cell>
          <cell r="AE335">
            <v>40528</v>
          </cell>
          <cell r="AF335">
            <v>38855</v>
          </cell>
          <cell r="AG335">
            <v>85539</v>
          </cell>
          <cell r="AI335">
            <v>112431</v>
          </cell>
        </row>
        <row r="336">
          <cell r="I336">
            <v>614400</v>
          </cell>
          <cell r="J336">
            <v>517200</v>
          </cell>
          <cell r="K336">
            <v>515400</v>
          </cell>
          <cell r="L336">
            <v>484200</v>
          </cell>
          <cell r="M336">
            <v>442200</v>
          </cell>
          <cell r="N336">
            <v>554400</v>
          </cell>
          <cell r="O336">
            <v>538800</v>
          </cell>
          <cell r="P336">
            <v>505200</v>
          </cell>
          <cell r="Q336">
            <v>439200</v>
          </cell>
          <cell r="R336">
            <v>473400</v>
          </cell>
          <cell r="S336">
            <v>514800</v>
          </cell>
          <cell r="T336">
            <v>444600</v>
          </cell>
          <cell r="U336">
            <v>512400</v>
          </cell>
          <cell r="V336">
            <v>396600</v>
          </cell>
          <cell r="W336">
            <v>556200</v>
          </cell>
          <cell r="X336">
            <v>539400</v>
          </cell>
          <cell r="Y336">
            <v>466200</v>
          </cell>
          <cell r="Z336">
            <v>573600</v>
          </cell>
          <cell r="AA336">
            <v>442200</v>
          </cell>
          <cell r="AB336">
            <v>472200</v>
          </cell>
          <cell r="AC336">
            <v>466800</v>
          </cell>
          <cell r="AD336">
            <v>455400</v>
          </cell>
          <cell r="AE336">
            <v>406800</v>
          </cell>
          <cell r="AF336">
            <v>383400</v>
          </cell>
          <cell r="AG336">
            <v>438600</v>
          </cell>
          <cell r="AI336">
            <v>517200</v>
          </cell>
        </row>
        <row r="337">
          <cell r="I337">
            <v>129000</v>
          </cell>
          <cell r="J337">
            <v>158640</v>
          </cell>
          <cell r="K337">
            <v>114920</v>
          </cell>
          <cell r="L337">
            <v>114600</v>
          </cell>
          <cell r="M337">
            <v>110240</v>
          </cell>
          <cell r="N337">
            <v>203280</v>
          </cell>
          <cell r="O337">
            <v>0</v>
          </cell>
          <cell r="P337">
            <v>54000</v>
          </cell>
          <cell r="Q337">
            <v>99080</v>
          </cell>
          <cell r="R337">
            <v>52800</v>
          </cell>
          <cell r="S337">
            <v>19800</v>
          </cell>
          <cell r="T337">
            <v>24840</v>
          </cell>
          <cell r="U337">
            <v>22360</v>
          </cell>
          <cell r="V337">
            <v>20720</v>
          </cell>
          <cell r="W337">
            <v>21320</v>
          </cell>
          <cell r="X337">
            <v>20400</v>
          </cell>
          <cell r="Y337">
            <v>21520</v>
          </cell>
          <cell r="Z337">
            <v>29200</v>
          </cell>
          <cell r="AA337">
            <v>26308</v>
          </cell>
          <cell r="AB337">
            <v>21606</v>
          </cell>
          <cell r="AC337">
            <v>13206</v>
          </cell>
          <cell r="AD337">
            <v>15080</v>
          </cell>
          <cell r="AE337">
            <v>13132</v>
          </cell>
          <cell r="AF337">
            <v>18668</v>
          </cell>
          <cell r="AG337">
            <v>69080</v>
          </cell>
          <cell r="AI337">
            <v>158640</v>
          </cell>
        </row>
        <row r="338">
          <cell r="I338">
            <v>1068</v>
          </cell>
          <cell r="J338">
            <v>1210</v>
          </cell>
          <cell r="K338">
            <v>1647</v>
          </cell>
          <cell r="L338">
            <v>2429</v>
          </cell>
          <cell r="M338">
            <v>1960</v>
          </cell>
          <cell r="N338">
            <v>1752</v>
          </cell>
          <cell r="O338">
            <v>1991</v>
          </cell>
          <cell r="P338">
            <v>1233</v>
          </cell>
          <cell r="Q338">
            <v>924</v>
          </cell>
          <cell r="R338">
            <v>1094</v>
          </cell>
          <cell r="S338">
            <v>1416</v>
          </cell>
          <cell r="T338">
            <v>1405</v>
          </cell>
          <cell r="U338">
            <v>1146</v>
          </cell>
          <cell r="V338">
            <v>985</v>
          </cell>
          <cell r="W338">
            <v>1736</v>
          </cell>
          <cell r="X338">
            <v>1883</v>
          </cell>
          <cell r="Y338">
            <v>2239</v>
          </cell>
          <cell r="Z338">
            <v>2613</v>
          </cell>
          <cell r="AA338">
            <v>2041</v>
          </cell>
          <cell r="AB338">
            <v>1191</v>
          </cell>
          <cell r="AC338">
            <v>1153</v>
          </cell>
          <cell r="AD338">
            <v>1432</v>
          </cell>
          <cell r="AE338">
            <v>1471</v>
          </cell>
          <cell r="AF338">
            <v>1224</v>
          </cell>
          <cell r="AG338">
            <v>929</v>
          </cell>
          <cell r="AI338">
            <v>1210</v>
          </cell>
        </row>
        <row r="339">
          <cell r="I339">
            <v>2495808</v>
          </cell>
          <cell r="J339">
            <v>2755788</v>
          </cell>
          <cell r="K339">
            <v>2698296</v>
          </cell>
          <cell r="L339">
            <v>3093396</v>
          </cell>
          <cell r="M339">
            <v>2973948</v>
          </cell>
          <cell r="N339">
            <v>4089912</v>
          </cell>
          <cell r="O339">
            <v>2108736</v>
          </cell>
          <cell r="P339">
            <v>2759976</v>
          </cell>
          <cell r="Q339">
            <v>2602980</v>
          </cell>
          <cell r="R339">
            <v>2458716</v>
          </cell>
          <cell r="S339">
            <v>2886432</v>
          </cell>
          <cell r="T339">
            <v>2401608</v>
          </cell>
          <cell r="U339">
            <v>2764200</v>
          </cell>
          <cell r="V339">
            <v>2786268</v>
          </cell>
          <cell r="W339">
            <v>3227028</v>
          </cell>
          <cell r="X339">
            <v>3142632</v>
          </cell>
          <cell r="Y339">
            <v>3183384</v>
          </cell>
          <cell r="Z339">
            <v>4504632</v>
          </cell>
          <cell r="AA339">
            <v>2111712</v>
          </cell>
          <cell r="AB339">
            <v>3014208</v>
          </cell>
          <cell r="AC339">
            <v>2863548</v>
          </cell>
          <cell r="AD339">
            <v>2572896</v>
          </cell>
          <cell r="AE339">
            <v>2666256</v>
          </cell>
          <cell r="AF339">
            <v>2698248</v>
          </cell>
          <cell r="AG339">
            <v>2835984</v>
          </cell>
          <cell r="AI339">
            <v>2755788</v>
          </cell>
        </row>
        <row r="340"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I340">
            <v>0</v>
          </cell>
        </row>
        <row r="341">
          <cell r="I341">
            <v>1753200</v>
          </cell>
          <cell r="J341">
            <v>1860600</v>
          </cell>
          <cell r="K341">
            <v>1842600</v>
          </cell>
          <cell r="L341">
            <v>2137800</v>
          </cell>
          <cell r="M341">
            <v>2020200</v>
          </cell>
          <cell r="N341">
            <v>2068800</v>
          </cell>
          <cell r="O341">
            <v>1711200</v>
          </cell>
          <cell r="P341">
            <v>1821600</v>
          </cell>
          <cell r="Q341">
            <v>1698600</v>
          </cell>
          <cell r="R341">
            <v>1374600</v>
          </cell>
          <cell r="S341">
            <v>1416000</v>
          </cell>
          <cell r="T341">
            <v>1186800</v>
          </cell>
          <cell r="U341">
            <v>1378800</v>
          </cell>
          <cell r="V341">
            <v>1255800</v>
          </cell>
          <cell r="W341">
            <v>1455000</v>
          </cell>
          <cell r="X341">
            <v>1678800</v>
          </cell>
          <cell r="Y341">
            <v>1520400</v>
          </cell>
          <cell r="Z341">
            <v>1680000</v>
          </cell>
          <cell r="AA341">
            <v>1524000</v>
          </cell>
          <cell r="AB341">
            <v>1236600</v>
          </cell>
          <cell r="AC341">
            <v>1570800</v>
          </cell>
          <cell r="AD341">
            <v>1262400</v>
          </cell>
          <cell r="AE341">
            <v>1113000</v>
          </cell>
          <cell r="AF341">
            <v>937800</v>
          </cell>
          <cell r="AG341">
            <v>1143000</v>
          </cell>
          <cell r="AI341">
            <v>1860600</v>
          </cell>
        </row>
        <row r="343">
          <cell r="I343">
            <v>471</v>
          </cell>
          <cell r="J343">
            <v>1171</v>
          </cell>
          <cell r="K343">
            <v>995</v>
          </cell>
          <cell r="L343">
            <v>999</v>
          </cell>
          <cell r="M343">
            <v>1085</v>
          </cell>
          <cell r="N343">
            <v>3978</v>
          </cell>
          <cell r="O343">
            <v>1355</v>
          </cell>
          <cell r="P343">
            <v>1051</v>
          </cell>
          <cell r="Q343">
            <v>1298</v>
          </cell>
          <cell r="R343">
            <v>893</v>
          </cell>
          <cell r="S343">
            <v>864</v>
          </cell>
          <cell r="T343">
            <v>773</v>
          </cell>
          <cell r="U343">
            <v>866</v>
          </cell>
          <cell r="V343">
            <v>987</v>
          </cell>
          <cell r="W343">
            <v>900</v>
          </cell>
          <cell r="X343">
            <v>906</v>
          </cell>
          <cell r="Y343">
            <v>734</v>
          </cell>
          <cell r="Z343">
            <v>2458</v>
          </cell>
          <cell r="AA343">
            <v>1349</v>
          </cell>
          <cell r="AB343">
            <v>901</v>
          </cell>
          <cell r="AC343">
            <v>908</v>
          </cell>
          <cell r="AD343">
            <v>931</v>
          </cell>
          <cell r="AE343">
            <v>931</v>
          </cell>
          <cell r="AF343">
            <v>868</v>
          </cell>
          <cell r="AG343">
            <v>1019</v>
          </cell>
          <cell r="AI343">
            <v>1171</v>
          </cell>
        </row>
        <row r="344">
          <cell r="I344">
            <v>11569</v>
          </cell>
          <cell r="J344">
            <v>12651</v>
          </cell>
          <cell r="K344">
            <v>13550</v>
          </cell>
          <cell r="L344">
            <v>15622</v>
          </cell>
          <cell r="M344">
            <v>15485</v>
          </cell>
          <cell r="N344">
            <v>18322</v>
          </cell>
          <cell r="O344">
            <v>18684</v>
          </cell>
          <cell r="P344">
            <v>17377</v>
          </cell>
          <cell r="Q344">
            <v>16529</v>
          </cell>
          <cell r="R344">
            <v>14459</v>
          </cell>
          <cell r="S344">
            <v>13426</v>
          </cell>
          <cell r="T344">
            <v>12259</v>
          </cell>
          <cell r="U344">
            <v>11539</v>
          </cell>
          <cell r="V344">
            <v>12618</v>
          </cell>
          <cell r="W344">
            <v>13515</v>
          </cell>
          <cell r="X344">
            <v>15581</v>
          </cell>
          <cell r="Y344">
            <v>15445</v>
          </cell>
          <cell r="Z344">
            <v>18274</v>
          </cell>
          <cell r="AA344">
            <v>18635</v>
          </cell>
          <cell r="AB344">
            <v>17332</v>
          </cell>
          <cell r="AC344">
            <v>16523</v>
          </cell>
          <cell r="AD344">
            <v>14459</v>
          </cell>
          <cell r="AE344">
            <v>13426</v>
          </cell>
          <cell r="AF344">
            <v>12259</v>
          </cell>
          <cell r="AG344">
            <v>11539</v>
          </cell>
          <cell r="AI344">
            <v>12651</v>
          </cell>
        </row>
        <row r="345">
          <cell r="I345">
            <v>1290</v>
          </cell>
          <cell r="J345">
            <v>1371</v>
          </cell>
          <cell r="K345">
            <v>1423</v>
          </cell>
          <cell r="L345">
            <v>1667</v>
          </cell>
          <cell r="M345">
            <v>1645</v>
          </cell>
          <cell r="N345">
            <v>1961</v>
          </cell>
          <cell r="O345">
            <v>1871</v>
          </cell>
          <cell r="P345">
            <v>1788</v>
          </cell>
          <cell r="Q345">
            <v>1681</v>
          </cell>
          <cell r="R345">
            <v>1457</v>
          </cell>
          <cell r="S345">
            <v>1364</v>
          </cell>
          <cell r="T345">
            <v>1256</v>
          </cell>
          <cell r="U345">
            <v>1219</v>
          </cell>
          <cell r="V345">
            <v>16949</v>
          </cell>
          <cell r="W345">
            <v>608</v>
          </cell>
          <cell r="X345">
            <v>594</v>
          </cell>
          <cell r="Y345">
            <v>660</v>
          </cell>
          <cell r="Z345">
            <v>756</v>
          </cell>
          <cell r="AA345">
            <v>710</v>
          </cell>
          <cell r="AB345">
            <v>625</v>
          </cell>
          <cell r="AC345">
            <v>613</v>
          </cell>
          <cell r="AD345">
            <v>536</v>
          </cell>
          <cell r="AE345">
            <v>497</v>
          </cell>
          <cell r="AF345">
            <v>517</v>
          </cell>
          <cell r="AG345">
            <v>504</v>
          </cell>
          <cell r="AI345">
            <v>1371</v>
          </cell>
        </row>
        <row r="346">
          <cell r="I346">
            <v>296</v>
          </cell>
          <cell r="J346">
            <v>325</v>
          </cell>
          <cell r="K346">
            <v>347</v>
          </cell>
          <cell r="L346">
            <v>400</v>
          </cell>
          <cell r="M346">
            <v>397</v>
          </cell>
          <cell r="N346">
            <v>469</v>
          </cell>
          <cell r="O346">
            <v>479</v>
          </cell>
          <cell r="P346">
            <v>446</v>
          </cell>
          <cell r="Q346">
            <v>425</v>
          </cell>
          <cell r="R346">
            <v>372</v>
          </cell>
          <cell r="S346">
            <v>345</v>
          </cell>
          <cell r="T346">
            <v>316</v>
          </cell>
          <cell r="U346">
            <v>296</v>
          </cell>
          <cell r="V346">
            <v>325</v>
          </cell>
          <cell r="W346">
            <v>347</v>
          </cell>
          <cell r="X346">
            <v>400</v>
          </cell>
          <cell r="Y346">
            <v>397</v>
          </cell>
          <cell r="Z346">
            <v>469</v>
          </cell>
          <cell r="AA346">
            <v>479</v>
          </cell>
          <cell r="AB346">
            <v>621</v>
          </cell>
          <cell r="AC346">
            <v>258</v>
          </cell>
          <cell r="AD346">
            <v>226</v>
          </cell>
          <cell r="AE346">
            <v>210</v>
          </cell>
          <cell r="AF346">
            <v>192</v>
          </cell>
          <cell r="AG346">
            <v>180</v>
          </cell>
          <cell r="AI346">
            <v>325</v>
          </cell>
        </row>
        <row r="347"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I347">
            <v>0</v>
          </cell>
        </row>
        <row r="348"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I348">
            <v>0</v>
          </cell>
        </row>
        <row r="349"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I349">
            <v>0</v>
          </cell>
        </row>
        <row r="350">
          <cell r="I350">
            <v>30</v>
          </cell>
          <cell r="J350">
            <v>33</v>
          </cell>
          <cell r="K350">
            <v>35</v>
          </cell>
          <cell r="L350">
            <v>41</v>
          </cell>
          <cell r="M350">
            <v>40</v>
          </cell>
          <cell r="N350">
            <v>48</v>
          </cell>
          <cell r="O350">
            <v>49</v>
          </cell>
          <cell r="P350">
            <v>45</v>
          </cell>
          <cell r="Q350">
            <v>43</v>
          </cell>
          <cell r="R350">
            <v>38</v>
          </cell>
          <cell r="S350">
            <v>35</v>
          </cell>
          <cell r="T350">
            <v>32</v>
          </cell>
          <cell r="U350">
            <v>30</v>
          </cell>
          <cell r="V350">
            <v>33</v>
          </cell>
          <cell r="W350">
            <v>35</v>
          </cell>
          <cell r="X350">
            <v>41</v>
          </cell>
          <cell r="Y350">
            <v>40</v>
          </cell>
          <cell r="Z350">
            <v>48</v>
          </cell>
          <cell r="AA350">
            <v>49</v>
          </cell>
          <cell r="AB350">
            <v>45</v>
          </cell>
          <cell r="AC350">
            <v>43</v>
          </cell>
          <cell r="AD350">
            <v>38</v>
          </cell>
          <cell r="AE350">
            <v>35</v>
          </cell>
          <cell r="AF350">
            <v>32</v>
          </cell>
          <cell r="AG350">
            <v>30</v>
          </cell>
          <cell r="AI350">
            <v>33</v>
          </cell>
        </row>
        <row r="351"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I351">
            <v>0</v>
          </cell>
        </row>
        <row r="352"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I352">
            <v>0</v>
          </cell>
        </row>
        <row r="353">
          <cell r="I353">
            <v>10426</v>
          </cell>
          <cell r="J353">
            <v>11402</v>
          </cell>
          <cell r="K353">
            <v>12210</v>
          </cell>
          <cell r="L353">
            <v>14081</v>
          </cell>
          <cell r="M353">
            <v>13955</v>
          </cell>
          <cell r="N353">
            <v>16514</v>
          </cell>
          <cell r="O353">
            <v>16839</v>
          </cell>
          <cell r="P353">
            <v>15661</v>
          </cell>
          <cell r="Q353">
            <v>14930</v>
          </cell>
          <cell r="R353">
            <v>13065</v>
          </cell>
          <cell r="S353">
            <v>12132</v>
          </cell>
          <cell r="T353">
            <v>11078</v>
          </cell>
          <cell r="U353">
            <v>10426</v>
          </cell>
          <cell r="V353">
            <v>11402</v>
          </cell>
          <cell r="W353">
            <v>12210</v>
          </cell>
          <cell r="X353">
            <v>13997</v>
          </cell>
          <cell r="Y353">
            <v>13871</v>
          </cell>
          <cell r="Z353">
            <v>16330</v>
          </cell>
          <cell r="AA353">
            <v>16638</v>
          </cell>
          <cell r="AB353">
            <v>15474</v>
          </cell>
          <cell r="AC353">
            <v>14752</v>
          </cell>
          <cell r="AD353">
            <v>12909</v>
          </cell>
          <cell r="AE353">
            <v>11987</v>
          </cell>
          <cell r="AF353">
            <v>10946</v>
          </cell>
          <cell r="AG353">
            <v>10301</v>
          </cell>
          <cell r="AI353">
            <v>11402</v>
          </cell>
        </row>
        <row r="354"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I354">
            <v>0</v>
          </cell>
        </row>
        <row r="355">
          <cell r="I355">
            <v>329</v>
          </cell>
          <cell r="J355">
            <v>310</v>
          </cell>
          <cell r="K355">
            <v>331</v>
          </cell>
          <cell r="L355">
            <v>371</v>
          </cell>
          <cell r="M355">
            <v>368</v>
          </cell>
          <cell r="N355">
            <v>439</v>
          </cell>
          <cell r="O355">
            <v>444</v>
          </cell>
          <cell r="P355">
            <v>428</v>
          </cell>
          <cell r="Q355">
            <v>402</v>
          </cell>
          <cell r="R355">
            <v>371</v>
          </cell>
          <cell r="S355">
            <v>343</v>
          </cell>
          <cell r="T355">
            <v>329</v>
          </cell>
          <cell r="U355">
            <v>302</v>
          </cell>
          <cell r="V355">
            <v>300</v>
          </cell>
          <cell r="W355">
            <v>322</v>
          </cell>
          <cell r="X355">
            <v>371</v>
          </cell>
          <cell r="Y355">
            <v>368</v>
          </cell>
          <cell r="Z355">
            <v>435</v>
          </cell>
          <cell r="AA355">
            <v>444</v>
          </cell>
          <cell r="AB355">
            <v>413</v>
          </cell>
          <cell r="AC355">
            <v>393</v>
          </cell>
          <cell r="AD355">
            <v>344</v>
          </cell>
          <cell r="AE355">
            <v>320</v>
          </cell>
          <cell r="AF355">
            <v>292</v>
          </cell>
          <cell r="AG355">
            <v>275</v>
          </cell>
          <cell r="AI355">
            <v>310</v>
          </cell>
        </row>
        <row r="356">
          <cell r="I356">
            <v>23081</v>
          </cell>
          <cell r="J356">
            <v>25239</v>
          </cell>
          <cell r="K356">
            <v>27036</v>
          </cell>
          <cell r="L356">
            <v>31168</v>
          </cell>
          <cell r="M356">
            <v>30899</v>
          </cell>
          <cell r="N356">
            <v>36556</v>
          </cell>
          <cell r="O356">
            <v>37274</v>
          </cell>
          <cell r="P356">
            <v>34667</v>
          </cell>
          <cell r="Q356">
            <v>33054</v>
          </cell>
          <cell r="R356">
            <v>28922</v>
          </cell>
          <cell r="S356">
            <v>26855</v>
          </cell>
          <cell r="T356">
            <v>24521</v>
          </cell>
          <cell r="U356">
            <v>23081</v>
          </cell>
          <cell r="V356">
            <v>25222</v>
          </cell>
          <cell r="W356">
            <v>27011</v>
          </cell>
          <cell r="X356">
            <v>31139</v>
          </cell>
          <cell r="Y356">
            <v>30870</v>
          </cell>
          <cell r="Z356">
            <v>36522</v>
          </cell>
          <cell r="AA356">
            <v>37236</v>
          </cell>
          <cell r="AB356">
            <v>34603</v>
          </cell>
          <cell r="AC356">
            <v>32993</v>
          </cell>
          <cell r="AD356">
            <v>28867</v>
          </cell>
          <cell r="AE356">
            <v>26727</v>
          </cell>
          <cell r="AF356">
            <v>24381</v>
          </cell>
          <cell r="AG356">
            <v>22949</v>
          </cell>
          <cell r="AI356">
            <v>25239</v>
          </cell>
        </row>
        <row r="357"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I357">
            <v>0</v>
          </cell>
        </row>
        <row r="358">
          <cell r="I358">
            <v>5704</v>
          </cell>
          <cell r="J358">
            <v>6237</v>
          </cell>
          <cell r="K358">
            <v>6680</v>
          </cell>
          <cell r="L358">
            <v>7701</v>
          </cell>
          <cell r="M358">
            <v>7634</v>
          </cell>
          <cell r="N358">
            <v>9033</v>
          </cell>
          <cell r="O358">
            <v>9210</v>
          </cell>
          <cell r="P358">
            <v>8567</v>
          </cell>
          <cell r="Q358">
            <v>8168</v>
          </cell>
          <cell r="R358">
            <v>7147</v>
          </cell>
          <cell r="S358">
            <v>6636</v>
          </cell>
          <cell r="T358">
            <v>6060</v>
          </cell>
          <cell r="U358">
            <v>5704</v>
          </cell>
          <cell r="V358">
            <v>6237</v>
          </cell>
          <cell r="W358">
            <v>6680</v>
          </cell>
          <cell r="X358">
            <v>7701</v>
          </cell>
          <cell r="Y358">
            <v>7634</v>
          </cell>
          <cell r="Z358">
            <v>9033</v>
          </cell>
          <cell r="AA358">
            <v>9210</v>
          </cell>
          <cell r="AB358">
            <v>8567</v>
          </cell>
          <cell r="AC358">
            <v>8168</v>
          </cell>
          <cell r="AD358">
            <v>7147</v>
          </cell>
          <cell r="AE358">
            <v>6636</v>
          </cell>
          <cell r="AF358">
            <v>6060</v>
          </cell>
          <cell r="AG358">
            <v>5704</v>
          </cell>
          <cell r="AI358">
            <v>6237</v>
          </cell>
        </row>
        <row r="359">
          <cell r="I359">
            <v>20456</v>
          </cell>
          <cell r="J359">
            <v>22365</v>
          </cell>
          <cell r="K359">
            <v>23957</v>
          </cell>
          <cell r="L359">
            <v>27619</v>
          </cell>
          <cell r="M359">
            <v>27380</v>
          </cell>
          <cell r="N359">
            <v>32395</v>
          </cell>
          <cell r="O359">
            <v>33031</v>
          </cell>
          <cell r="P359">
            <v>30722</v>
          </cell>
          <cell r="Q359">
            <v>29289</v>
          </cell>
          <cell r="R359">
            <v>25630</v>
          </cell>
          <cell r="S359">
            <v>23798</v>
          </cell>
          <cell r="T359">
            <v>21728</v>
          </cell>
          <cell r="U359">
            <v>20456</v>
          </cell>
          <cell r="V359">
            <v>22365</v>
          </cell>
          <cell r="W359">
            <v>23957</v>
          </cell>
          <cell r="X359">
            <v>27619</v>
          </cell>
          <cell r="Y359">
            <v>27380</v>
          </cell>
          <cell r="Z359">
            <v>32395</v>
          </cell>
          <cell r="AA359">
            <v>33031</v>
          </cell>
          <cell r="AB359">
            <v>30722</v>
          </cell>
          <cell r="AC359">
            <v>29289</v>
          </cell>
          <cell r="AD359">
            <v>25630</v>
          </cell>
          <cell r="AE359">
            <v>23798</v>
          </cell>
          <cell r="AF359">
            <v>21802</v>
          </cell>
          <cell r="AG359">
            <v>20347</v>
          </cell>
          <cell r="AI359">
            <v>22365</v>
          </cell>
        </row>
        <row r="360">
          <cell r="I360">
            <v>226</v>
          </cell>
          <cell r="J360">
            <v>287</v>
          </cell>
          <cell r="K360">
            <v>189</v>
          </cell>
          <cell r="L360">
            <v>14</v>
          </cell>
          <cell r="M360">
            <v>2</v>
          </cell>
          <cell r="N360">
            <v>0</v>
          </cell>
          <cell r="O360">
            <v>-15</v>
          </cell>
          <cell r="P360">
            <v>15</v>
          </cell>
          <cell r="Q360">
            <v>0</v>
          </cell>
          <cell r="R360">
            <v>1</v>
          </cell>
          <cell r="S360">
            <v>0</v>
          </cell>
          <cell r="T360">
            <v>3</v>
          </cell>
          <cell r="U360">
            <v>5</v>
          </cell>
          <cell r="V360">
            <v>15</v>
          </cell>
          <cell r="W360">
            <v>40</v>
          </cell>
          <cell r="X360">
            <v>10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1</v>
          </cell>
          <cell r="AG360">
            <v>0</v>
          </cell>
          <cell r="AI360">
            <v>287</v>
          </cell>
        </row>
        <row r="361">
          <cell r="I361">
            <v>19572</v>
          </cell>
          <cell r="J361">
            <v>21294</v>
          </cell>
          <cell r="K361">
            <v>22651</v>
          </cell>
          <cell r="L361">
            <v>26085</v>
          </cell>
          <cell r="M361">
            <v>25862</v>
          </cell>
          <cell r="N361">
            <v>30339</v>
          </cell>
          <cell r="O361">
            <v>30946</v>
          </cell>
          <cell r="P361">
            <v>28954</v>
          </cell>
          <cell r="Q361">
            <v>27529</v>
          </cell>
          <cell r="R361">
            <v>24213</v>
          </cell>
          <cell r="S361">
            <v>22541</v>
          </cell>
          <cell r="T361">
            <v>20615</v>
          </cell>
          <cell r="U361">
            <v>19491</v>
          </cell>
          <cell r="V361">
            <v>21061</v>
          </cell>
          <cell r="W361">
            <v>22614</v>
          </cell>
          <cell r="X361">
            <v>25844</v>
          </cell>
          <cell r="Y361">
            <v>25680</v>
          </cell>
          <cell r="Z361">
            <v>30142</v>
          </cell>
          <cell r="AA361">
            <v>30842</v>
          </cell>
          <cell r="AB361">
            <v>28646</v>
          </cell>
          <cell r="AC361">
            <v>27338</v>
          </cell>
          <cell r="AD361">
            <v>24109</v>
          </cell>
          <cell r="AE361">
            <v>22391</v>
          </cell>
          <cell r="AF361">
            <v>20493</v>
          </cell>
          <cell r="AG361">
            <v>19344</v>
          </cell>
          <cell r="AI361">
            <v>21294</v>
          </cell>
        </row>
        <row r="362">
          <cell r="I362">
            <v>13405</v>
          </cell>
          <cell r="J362">
            <v>14508</v>
          </cell>
          <cell r="K362">
            <v>15427</v>
          </cell>
          <cell r="L362">
            <v>17544</v>
          </cell>
          <cell r="M362">
            <v>17405</v>
          </cell>
          <cell r="N362">
            <v>20303</v>
          </cell>
          <cell r="O362">
            <v>20673</v>
          </cell>
          <cell r="P362">
            <v>19337</v>
          </cell>
          <cell r="Q362">
            <v>18384</v>
          </cell>
          <cell r="R362">
            <v>16243</v>
          </cell>
          <cell r="S362">
            <v>15197</v>
          </cell>
          <cell r="T362">
            <v>14012</v>
          </cell>
          <cell r="U362">
            <v>13285</v>
          </cell>
          <cell r="V362">
            <v>14377</v>
          </cell>
          <cell r="W362">
            <v>15287</v>
          </cell>
          <cell r="X362">
            <v>17381</v>
          </cell>
          <cell r="Y362">
            <v>17244</v>
          </cell>
          <cell r="Z362">
            <v>20112</v>
          </cell>
          <cell r="AA362">
            <v>20479</v>
          </cell>
          <cell r="AB362">
            <v>19157</v>
          </cell>
          <cell r="AC362">
            <v>18337</v>
          </cell>
          <cell r="AD362">
            <v>16243</v>
          </cell>
          <cell r="AE362">
            <v>15197</v>
          </cell>
          <cell r="AF362">
            <v>14012</v>
          </cell>
          <cell r="AG362">
            <v>13285</v>
          </cell>
          <cell r="AI362">
            <v>14508</v>
          </cell>
        </row>
        <row r="364">
          <cell r="I364">
            <v>487357</v>
          </cell>
          <cell r="J364">
            <v>526900</v>
          </cell>
          <cell r="K364">
            <v>562820</v>
          </cell>
          <cell r="L364">
            <v>587479</v>
          </cell>
          <cell r="M364">
            <v>634679</v>
          </cell>
          <cell r="N364">
            <v>601462</v>
          </cell>
          <cell r="O364">
            <v>470357</v>
          </cell>
          <cell r="P364">
            <v>455834</v>
          </cell>
          <cell r="Q364">
            <v>482966</v>
          </cell>
          <cell r="R364">
            <v>458172</v>
          </cell>
          <cell r="S364">
            <v>389632</v>
          </cell>
          <cell r="T364">
            <v>381443</v>
          </cell>
          <cell r="U364">
            <v>472420</v>
          </cell>
          <cell r="V364">
            <v>531614</v>
          </cell>
          <cell r="W364">
            <v>495417</v>
          </cell>
          <cell r="X364">
            <v>532651</v>
          </cell>
          <cell r="Y364">
            <v>629860</v>
          </cell>
          <cell r="Z364">
            <v>563403</v>
          </cell>
          <cell r="AA364">
            <v>508118</v>
          </cell>
          <cell r="AB364">
            <v>441619</v>
          </cell>
          <cell r="AC364">
            <v>476972</v>
          </cell>
          <cell r="AD364">
            <v>498577</v>
          </cell>
          <cell r="AE364">
            <v>344905</v>
          </cell>
          <cell r="AF364">
            <v>342103</v>
          </cell>
          <cell r="AG364">
            <v>476843</v>
          </cell>
          <cell r="AI364">
            <v>526900</v>
          </cell>
        </row>
        <row r="365">
          <cell r="I365">
            <v>3825</v>
          </cell>
          <cell r="J365">
            <v>12231</v>
          </cell>
          <cell r="K365">
            <v>20606</v>
          </cell>
          <cell r="L365">
            <v>23071</v>
          </cell>
          <cell r="M365">
            <v>24327</v>
          </cell>
          <cell r="N365">
            <v>30957</v>
          </cell>
          <cell r="O365">
            <v>4991</v>
          </cell>
          <cell r="P365">
            <v>3405</v>
          </cell>
          <cell r="Q365">
            <v>4069</v>
          </cell>
          <cell r="R365">
            <v>3375</v>
          </cell>
          <cell r="S365">
            <v>3716</v>
          </cell>
          <cell r="T365">
            <v>4353</v>
          </cell>
          <cell r="U365">
            <v>4215</v>
          </cell>
          <cell r="V365">
            <v>5000</v>
          </cell>
          <cell r="W365">
            <v>6971</v>
          </cell>
          <cell r="X365">
            <v>8836</v>
          </cell>
          <cell r="Y365">
            <v>10826</v>
          </cell>
          <cell r="Z365">
            <v>10312</v>
          </cell>
          <cell r="AA365">
            <v>5628</v>
          </cell>
          <cell r="AB365">
            <v>3274</v>
          </cell>
          <cell r="AC365">
            <v>3255</v>
          </cell>
          <cell r="AD365">
            <v>3550</v>
          </cell>
          <cell r="AE365">
            <v>3495</v>
          </cell>
          <cell r="AF365">
            <v>3485</v>
          </cell>
          <cell r="AG365">
            <v>3161</v>
          </cell>
          <cell r="AI365">
            <v>12231</v>
          </cell>
        </row>
        <row r="366">
          <cell r="I366">
            <v>270655</v>
          </cell>
          <cell r="J366">
            <v>267237</v>
          </cell>
          <cell r="K366">
            <v>286795</v>
          </cell>
          <cell r="L366">
            <v>264622</v>
          </cell>
          <cell r="M366">
            <v>263775</v>
          </cell>
          <cell r="N366">
            <v>317874</v>
          </cell>
          <cell r="O366">
            <v>51786</v>
          </cell>
          <cell r="P366">
            <v>49035</v>
          </cell>
          <cell r="Q366">
            <v>56762</v>
          </cell>
          <cell r="R366">
            <v>61348</v>
          </cell>
          <cell r="S366">
            <v>53079</v>
          </cell>
          <cell r="T366">
            <v>59486</v>
          </cell>
          <cell r="U366">
            <v>66577</v>
          </cell>
          <cell r="V366">
            <v>64319</v>
          </cell>
          <cell r="W366">
            <v>69610</v>
          </cell>
          <cell r="X366">
            <v>72663</v>
          </cell>
          <cell r="Y366">
            <v>90472</v>
          </cell>
          <cell r="Z366">
            <v>95318</v>
          </cell>
          <cell r="AA366">
            <v>78305</v>
          </cell>
          <cell r="AB366">
            <v>63183</v>
          </cell>
          <cell r="AC366">
            <v>67324</v>
          </cell>
          <cell r="AD366">
            <v>71069</v>
          </cell>
          <cell r="AE366">
            <v>55656</v>
          </cell>
          <cell r="AF366">
            <v>49532</v>
          </cell>
          <cell r="AG366">
            <v>48027</v>
          </cell>
          <cell r="AI366">
            <v>267237</v>
          </cell>
        </row>
        <row r="367">
          <cell r="I367">
            <v>236915</v>
          </cell>
          <cell r="J367">
            <v>261708</v>
          </cell>
          <cell r="K367">
            <v>300399</v>
          </cell>
          <cell r="L367">
            <v>377055</v>
          </cell>
          <cell r="M367">
            <v>416843</v>
          </cell>
          <cell r="N367">
            <v>407752</v>
          </cell>
          <cell r="O367">
            <v>313270</v>
          </cell>
          <cell r="P367">
            <v>205139</v>
          </cell>
          <cell r="Q367">
            <v>188726</v>
          </cell>
          <cell r="R367">
            <v>215077</v>
          </cell>
          <cell r="S367">
            <v>195697</v>
          </cell>
          <cell r="T367">
            <v>199207</v>
          </cell>
          <cell r="U367">
            <v>214864</v>
          </cell>
          <cell r="V367">
            <v>223586</v>
          </cell>
          <cell r="W367">
            <v>328521</v>
          </cell>
          <cell r="X367">
            <v>361943</v>
          </cell>
          <cell r="Y367">
            <v>485913</v>
          </cell>
          <cell r="Z367">
            <v>402352</v>
          </cell>
          <cell r="AA367">
            <v>338344</v>
          </cell>
          <cell r="AB367">
            <v>215918</v>
          </cell>
          <cell r="AC367">
            <v>202296</v>
          </cell>
          <cell r="AD367">
            <v>231361</v>
          </cell>
          <cell r="AE367">
            <v>191773</v>
          </cell>
          <cell r="AF367">
            <v>182550</v>
          </cell>
          <cell r="AG367">
            <v>202344</v>
          </cell>
          <cell r="AI367">
            <v>261708</v>
          </cell>
        </row>
        <row r="368">
          <cell r="I368">
            <v>378026</v>
          </cell>
          <cell r="J368">
            <v>413424</v>
          </cell>
          <cell r="K368">
            <v>486771</v>
          </cell>
          <cell r="L368">
            <v>567869</v>
          </cell>
          <cell r="M368">
            <v>601123</v>
          </cell>
          <cell r="N368">
            <v>598494</v>
          </cell>
          <cell r="O368">
            <v>507503</v>
          </cell>
          <cell r="P368">
            <v>356994</v>
          </cell>
          <cell r="Q368">
            <v>347030</v>
          </cell>
          <cell r="R368">
            <v>402189</v>
          </cell>
          <cell r="S368">
            <v>352363</v>
          </cell>
          <cell r="T368">
            <v>373416</v>
          </cell>
          <cell r="U368">
            <v>379926</v>
          </cell>
          <cell r="V368">
            <v>180531</v>
          </cell>
          <cell r="W368">
            <v>295741</v>
          </cell>
          <cell r="X368">
            <v>330235</v>
          </cell>
          <cell r="Y368">
            <v>436558</v>
          </cell>
          <cell r="Z368">
            <v>391395</v>
          </cell>
          <cell r="AA368">
            <v>288368</v>
          </cell>
          <cell r="AB368">
            <v>192297</v>
          </cell>
          <cell r="AC368">
            <v>162692</v>
          </cell>
          <cell r="AD368">
            <v>167379</v>
          </cell>
          <cell r="AE368">
            <v>146158</v>
          </cell>
          <cell r="AF368">
            <v>142013</v>
          </cell>
          <cell r="AG368">
            <v>155541</v>
          </cell>
          <cell r="AI368">
            <v>413424</v>
          </cell>
        </row>
        <row r="369">
          <cell r="I369">
            <v>56210</v>
          </cell>
          <cell r="J369">
            <v>66863</v>
          </cell>
          <cell r="K369">
            <v>76404</v>
          </cell>
          <cell r="L369">
            <v>83114</v>
          </cell>
          <cell r="M369">
            <v>86245</v>
          </cell>
          <cell r="N369">
            <v>96820</v>
          </cell>
          <cell r="O369">
            <v>69775</v>
          </cell>
          <cell r="P369">
            <v>54415</v>
          </cell>
          <cell r="Q369">
            <v>69916</v>
          </cell>
          <cell r="R369">
            <v>54598</v>
          </cell>
          <cell r="S369">
            <v>51534</v>
          </cell>
          <cell r="T369">
            <v>54308</v>
          </cell>
          <cell r="U369">
            <v>56615</v>
          </cell>
          <cell r="V369">
            <v>61693</v>
          </cell>
          <cell r="W369">
            <v>71921</v>
          </cell>
          <cell r="X369">
            <v>82504</v>
          </cell>
          <cell r="Y369">
            <v>88447</v>
          </cell>
          <cell r="Z369">
            <v>89066</v>
          </cell>
          <cell r="AA369">
            <v>72303</v>
          </cell>
          <cell r="AB369">
            <v>56029</v>
          </cell>
          <cell r="AC369">
            <v>54363</v>
          </cell>
          <cell r="AD369">
            <v>77971</v>
          </cell>
          <cell r="AE369">
            <v>48815</v>
          </cell>
          <cell r="AF369">
            <v>49625</v>
          </cell>
          <cell r="AG369">
            <v>51741</v>
          </cell>
          <cell r="AI369">
            <v>66863</v>
          </cell>
        </row>
        <row r="370">
          <cell r="I370">
            <v>195693</v>
          </cell>
          <cell r="J370">
            <v>203855</v>
          </cell>
          <cell r="K370">
            <v>203986</v>
          </cell>
          <cell r="L370">
            <v>205431</v>
          </cell>
          <cell r="M370">
            <v>225736</v>
          </cell>
          <cell r="N370">
            <v>250068</v>
          </cell>
          <cell r="O370">
            <v>229767</v>
          </cell>
          <cell r="P370">
            <v>179781</v>
          </cell>
          <cell r="Q370">
            <v>217326</v>
          </cell>
          <cell r="R370">
            <v>192073</v>
          </cell>
          <cell r="S370">
            <v>150775</v>
          </cell>
          <cell r="T370">
            <v>154912</v>
          </cell>
          <cell r="U370">
            <v>206046</v>
          </cell>
          <cell r="V370">
            <v>176422</v>
          </cell>
          <cell r="W370">
            <v>201447</v>
          </cell>
          <cell r="X370">
            <v>197834</v>
          </cell>
          <cell r="Y370">
            <v>212879</v>
          </cell>
          <cell r="Z370">
            <v>239529</v>
          </cell>
          <cell r="AA370">
            <v>205019</v>
          </cell>
          <cell r="AB370">
            <v>191527</v>
          </cell>
          <cell r="AC370">
            <v>199964</v>
          </cell>
          <cell r="AD370">
            <v>210725</v>
          </cell>
          <cell r="AE370">
            <v>193220</v>
          </cell>
          <cell r="AF370">
            <v>160774</v>
          </cell>
          <cell r="AG370">
            <v>196804</v>
          </cell>
          <cell r="AI370">
            <v>203855</v>
          </cell>
        </row>
        <row r="371">
          <cell r="I371">
            <v>232494</v>
          </cell>
          <cell r="J371">
            <v>316636</v>
          </cell>
          <cell r="K371">
            <v>333000</v>
          </cell>
          <cell r="L371">
            <v>407980</v>
          </cell>
          <cell r="M371">
            <v>435862</v>
          </cell>
          <cell r="N371">
            <v>461167</v>
          </cell>
          <cell r="O371">
            <v>419274</v>
          </cell>
          <cell r="P371">
            <v>315223</v>
          </cell>
          <cell r="Q371">
            <v>254144</v>
          </cell>
          <cell r="R371">
            <v>343600</v>
          </cell>
          <cell r="S371">
            <v>227655</v>
          </cell>
          <cell r="T371">
            <v>219464</v>
          </cell>
          <cell r="U371">
            <v>271414</v>
          </cell>
          <cell r="V371">
            <v>316084</v>
          </cell>
          <cell r="W371">
            <v>384227</v>
          </cell>
          <cell r="X371">
            <v>385545</v>
          </cell>
          <cell r="Y371">
            <v>484722</v>
          </cell>
          <cell r="Z371">
            <v>480558</v>
          </cell>
          <cell r="AA371">
            <v>472902</v>
          </cell>
          <cell r="AB371">
            <v>245388</v>
          </cell>
          <cell r="AC371">
            <v>283075</v>
          </cell>
          <cell r="AD371">
            <v>368707</v>
          </cell>
          <cell r="AE371">
            <v>245529</v>
          </cell>
          <cell r="AF371">
            <v>234670</v>
          </cell>
          <cell r="AG371">
            <v>268434</v>
          </cell>
          <cell r="AI371">
            <v>316636</v>
          </cell>
        </row>
        <row r="372">
          <cell r="I372">
            <v>228272</v>
          </cell>
          <cell r="J372">
            <v>233034</v>
          </cell>
          <cell r="K372">
            <v>252020</v>
          </cell>
          <cell r="L372">
            <v>260052</v>
          </cell>
          <cell r="M372">
            <v>274301</v>
          </cell>
          <cell r="N372">
            <v>309258</v>
          </cell>
          <cell r="O372">
            <v>279163</v>
          </cell>
          <cell r="P372">
            <v>220434</v>
          </cell>
          <cell r="Q372">
            <v>222957</v>
          </cell>
          <cell r="R372">
            <v>244250</v>
          </cell>
          <cell r="S372">
            <v>216179</v>
          </cell>
          <cell r="T372">
            <v>224136</v>
          </cell>
          <cell r="U372">
            <v>255498</v>
          </cell>
          <cell r="V372">
            <v>196704</v>
          </cell>
          <cell r="W372">
            <v>252802</v>
          </cell>
          <cell r="X372">
            <v>244539</v>
          </cell>
          <cell r="Y372">
            <v>312216</v>
          </cell>
          <cell r="Z372">
            <v>307604</v>
          </cell>
          <cell r="AA372">
            <v>259407</v>
          </cell>
          <cell r="AB372">
            <v>201390</v>
          </cell>
          <cell r="AC372">
            <v>193906</v>
          </cell>
          <cell r="AD372">
            <v>247285</v>
          </cell>
          <cell r="AE372">
            <v>233811</v>
          </cell>
          <cell r="AF372">
            <v>237816</v>
          </cell>
          <cell r="AG372">
            <v>212593</v>
          </cell>
          <cell r="AI372">
            <v>233034</v>
          </cell>
        </row>
        <row r="373">
          <cell r="I373">
            <v>88902</v>
          </cell>
          <cell r="J373">
            <v>94581</v>
          </cell>
          <cell r="K373">
            <v>96964</v>
          </cell>
          <cell r="L373">
            <v>113176</v>
          </cell>
          <cell r="M373">
            <v>129091</v>
          </cell>
          <cell r="N373">
            <v>120898</v>
          </cell>
          <cell r="O373">
            <v>99395</v>
          </cell>
          <cell r="P373">
            <v>94269</v>
          </cell>
          <cell r="Q373">
            <v>95972</v>
          </cell>
          <cell r="R373">
            <v>103380</v>
          </cell>
          <cell r="S373">
            <v>67176</v>
          </cell>
          <cell r="T373">
            <v>57709</v>
          </cell>
          <cell r="U373">
            <v>90494</v>
          </cell>
          <cell r="V373">
            <v>88598</v>
          </cell>
          <cell r="W373">
            <v>92148</v>
          </cell>
          <cell r="X373">
            <v>99252</v>
          </cell>
          <cell r="Y373">
            <v>112840</v>
          </cell>
          <cell r="Z373">
            <v>103846</v>
          </cell>
          <cell r="AA373">
            <v>95899</v>
          </cell>
          <cell r="AB373">
            <v>74974</v>
          </cell>
          <cell r="AC373">
            <v>94780</v>
          </cell>
          <cell r="AD373">
            <v>95957</v>
          </cell>
          <cell r="AE373">
            <v>52305</v>
          </cell>
          <cell r="AF373">
            <v>49037</v>
          </cell>
          <cell r="AG373">
            <v>74493</v>
          </cell>
          <cell r="AI373">
            <v>94581</v>
          </cell>
        </row>
        <row r="374">
          <cell r="I374">
            <v>131275</v>
          </cell>
          <cell r="J374">
            <v>170014</v>
          </cell>
          <cell r="K374">
            <v>176926</v>
          </cell>
          <cell r="L374">
            <v>230766</v>
          </cell>
          <cell r="M374">
            <v>268714</v>
          </cell>
          <cell r="N374">
            <v>262719</v>
          </cell>
          <cell r="O374">
            <v>215014</v>
          </cell>
          <cell r="P374">
            <v>202395</v>
          </cell>
          <cell r="Q374">
            <v>125372</v>
          </cell>
          <cell r="R374">
            <v>128019</v>
          </cell>
          <cell r="S374">
            <v>102771</v>
          </cell>
          <cell r="T374">
            <v>102409</v>
          </cell>
          <cell r="U374">
            <v>116614</v>
          </cell>
          <cell r="V374">
            <v>161770</v>
          </cell>
          <cell r="W374">
            <v>203948</v>
          </cell>
          <cell r="X374">
            <v>214187</v>
          </cell>
          <cell r="Y374">
            <v>274904</v>
          </cell>
          <cell r="Z374">
            <v>302725</v>
          </cell>
          <cell r="AA374">
            <v>297493</v>
          </cell>
          <cell r="AB374">
            <v>255912</v>
          </cell>
          <cell r="AC374">
            <v>173158</v>
          </cell>
          <cell r="AD374">
            <v>123558</v>
          </cell>
          <cell r="AE374">
            <v>121878</v>
          </cell>
          <cell r="AF374">
            <v>127558</v>
          </cell>
          <cell r="AG374">
            <v>173337</v>
          </cell>
          <cell r="AI374">
            <v>170014</v>
          </cell>
        </row>
        <row r="375">
          <cell r="I375">
            <v>181901</v>
          </cell>
          <cell r="J375">
            <v>187087</v>
          </cell>
          <cell r="K375">
            <v>212228</v>
          </cell>
          <cell r="L375">
            <v>260393</v>
          </cell>
          <cell r="M375">
            <v>267823</v>
          </cell>
          <cell r="N375">
            <v>261707</v>
          </cell>
          <cell r="O375">
            <v>252170</v>
          </cell>
          <cell r="P375">
            <v>193705</v>
          </cell>
          <cell r="Q375">
            <v>172894</v>
          </cell>
          <cell r="R375">
            <v>207269</v>
          </cell>
          <cell r="S375">
            <v>161809</v>
          </cell>
          <cell r="T375">
            <v>180725</v>
          </cell>
          <cell r="U375">
            <v>178575</v>
          </cell>
          <cell r="V375">
            <v>165180</v>
          </cell>
          <cell r="W375">
            <v>218873</v>
          </cell>
          <cell r="X375">
            <v>218178</v>
          </cell>
          <cell r="Y375">
            <v>254305</v>
          </cell>
          <cell r="Z375">
            <v>270101</v>
          </cell>
          <cell r="AA375">
            <v>220210</v>
          </cell>
          <cell r="AB375">
            <v>182022</v>
          </cell>
          <cell r="AC375">
            <v>162668</v>
          </cell>
          <cell r="AD375">
            <v>178308</v>
          </cell>
          <cell r="AE375">
            <v>153642</v>
          </cell>
          <cell r="AF375">
            <v>156896</v>
          </cell>
          <cell r="AG375">
            <v>141452</v>
          </cell>
          <cell r="AI375">
            <v>187087</v>
          </cell>
        </row>
        <row r="376">
          <cell r="I376">
            <v>1193001</v>
          </cell>
          <cell r="J376">
            <v>1162696</v>
          </cell>
          <cell r="K376">
            <v>1422482</v>
          </cell>
          <cell r="L376">
            <v>1475655</v>
          </cell>
          <cell r="M376">
            <v>1624925</v>
          </cell>
          <cell r="N376">
            <v>1731419</v>
          </cell>
          <cell r="O376">
            <v>1299136</v>
          </cell>
          <cell r="P376">
            <v>884906</v>
          </cell>
          <cell r="Q376">
            <v>883635</v>
          </cell>
          <cell r="R376">
            <v>920478</v>
          </cell>
          <cell r="S376">
            <v>850493</v>
          </cell>
          <cell r="T376">
            <v>1070580</v>
          </cell>
          <cell r="U376">
            <v>932552</v>
          </cell>
          <cell r="V376">
            <v>881838</v>
          </cell>
          <cell r="W376">
            <v>1110757</v>
          </cell>
          <cell r="X376">
            <v>1239500</v>
          </cell>
          <cell r="Y376">
            <v>1415285</v>
          </cell>
          <cell r="Z376">
            <v>1585267</v>
          </cell>
          <cell r="AA376">
            <v>1287145</v>
          </cell>
          <cell r="AB376">
            <v>916034</v>
          </cell>
          <cell r="AC376">
            <v>872973</v>
          </cell>
          <cell r="AD376">
            <v>1077125</v>
          </cell>
          <cell r="AE376">
            <v>968580</v>
          </cell>
          <cell r="AF376">
            <v>972928</v>
          </cell>
          <cell r="AG376">
            <v>977736</v>
          </cell>
          <cell r="AI376">
            <v>1162696</v>
          </cell>
        </row>
        <row r="377">
          <cell r="I377">
            <v>229382</v>
          </cell>
          <cell r="J377">
            <v>285211</v>
          </cell>
          <cell r="K377">
            <v>299413</v>
          </cell>
          <cell r="L377">
            <v>415368</v>
          </cell>
          <cell r="M377">
            <v>437753</v>
          </cell>
          <cell r="N377">
            <v>413858</v>
          </cell>
          <cell r="O377">
            <v>398729</v>
          </cell>
          <cell r="P377">
            <v>262664</v>
          </cell>
          <cell r="Q377">
            <v>237193</v>
          </cell>
          <cell r="R377">
            <v>283993</v>
          </cell>
          <cell r="S377">
            <v>288968</v>
          </cell>
          <cell r="T377">
            <v>211497</v>
          </cell>
          <cell r="U377">
            <v>281535</v>
          </cell>
          <cell r="V377">
            <v>280954</v>
          </cell>
          <cell r="W377">
            <v>378188</v>
          </cell>
          <cell r="X377">
            <v>381251</v>
          </cell>
          <cell r="Y377">
            <v>431827</v>
          </cell>
          <cell r="Z377">
            <v>459995</v>
          </cell>
          <cell r="AA377">
            <v>364406</v>
          </cell>
          <cell r="AB377">
            <v>304729</v>
          </cell>
          <cell r="AC377">
            <v>292559</v>
          </cell>
          <cell r="AD377">
            <v>316895</v>
          </cell>
          <cell r="AE377">
            <v>275957</v>
          </cell>
          <cell r="AF377">
            <v>270089</v>
          </cell>
          <cell r="AG377">
            <v>280166</v>
          </cell>
          <cell r="AI377">
            <v>285211</v>
          </cell>
        </row>
        <row r="378">
          <cell r="I378">
            <v>46667</v>
          </cell>
          <cell r="J378">
            <v>40123</v>
          </cell>
          <cell r="K378">
            <v>45494</v>
          </cell>
          <cell r="L378">
            <v>61580</v>
          </cell>
          <cell r="M378">
            <v>61398</v>
          </cell>
          <cell r="N378">
            <v>73990</v>
          </cell>
          <cell r="O378">
            <v>58428</v>
          </cell>
          <cell r="P378">
            <v>36738</v>
          </cell>
          <cell r="Q378">
            <v>35335</v>
          </cell>
          <cell r="R378">
            <v>43772</v>
          </cell>
          <cell r="S378">
            <v>44976</v>
          </cell>
          <cell r="T378">
            <v>46068</v>
          </cell>
          <cell r="U378">
            <v>48821</v>
          </cell>
          <cell r="V378">
            <v>35205</v>
          </cell>
          <cell r="W378">
            <v>46817</v>
          </cell>
          <cell r="X378">
            <v>47440</v>
          </cell>
          <cell r="Y378">
            <v>59077</v>
          </cell>
          <cell r="Z378">
            <v>75718</v>
          </cell>
          <cell r="AA378">
            <v>44384</v>
          </cell>
          <cell r="AB378">
            <v>37922</v>
          </cell>
          <cell r="AC378">
            <v>39411</v>
          </cell>
          <cell r="AD378">
            <v>44316</v>
          </cell>
          <cell r="AE378">
            <v>35103</v>
          </cell>
          <cell r="AF378">
            <v>56886</v>
          </cell>
          <cell r="AG378">
            <v>38316</v>
          </cell>
          <cell r="AI378">
            <v>40123</v>
          </cell>
        </row>
        <row r="379">
          <cell r="I379">
            <v>160185</v>
          </cell>
          <cell r="J379">
            <v>166278</v>
          </cell>
          <cell r="K379">
            <v>151284</v>
          </cell>
          <cell r="L379">
            <v>162416</v>
          </cell>
          <cell r="M379">
            <v>180255</v>
          </cell>
          <cell r="N379">
            <v>192123</v>
          </cell>
          <cell r="O379">
            <v>177035</v>
          </cell>
          <cell r="P379">
            <v>144048</v>
          </cell>
          <cell r="Q379">
            <v>154591</v>
          </cell>
          <cell r="R379">
            <v>194150</v>
          </cell>
          <cell r="S379">
            <v>166945</v>
          </cell>
          <cell r="T379">
            <v>153504</v>
          </cell>
          <cell r="U379">
            <v>155696</v>
          </cell>
          <cell r="V379">
            <v>185231</v>
          </cell>
          <cell r="W379">
            <v>160314</v>
          </cell>
          <cell r="X379">
            <v>170800</v>
          </cell>
          <cell r="Y379">
            <v>191731</v>
          </cell>
          <cell r="Z379">
            <v>191620</v>
          </cell>
          <cell r="AA379">
            <v>191114</v>
          </cell>
          <cell r="AB379">
            <v>149734</v>
          </cell>
          <cell r="AC379">
            <v>163210</v>
          </cell>
          <cell r="AD379">
            <v>207181</v>
          </cell>
          <cell r="AE379">
            <v>194836</v>
          </cell>
          <cell r="AF379">
            <v>135142</v>
          </cell>
          <cell r="AG379">
            <v>147303</v>
          </cell>
          <cell r="AI379">
            <v>166278</v>
          </cell>
        </row>
        <row r="380">
          <cell r="I380">
            <v>62101</v>
          </cell>
          <cell r="J380">
            <v>68279</v>
          </cell>
          <cell r="K380">
            <v>77095</v>
          </cell>
          <cell r="L380">
            <v>93896</v>
          </cell>
          <cell r="M380">
            <v>110426</v>
          </cell>
          <cell r="N380">
            <v>127748</v>
          </cell>
          <cell r="O380">
            <v>109313</v>
          </cell>
          <cell r="P380">
            <v>73987</v>
          </cell>
          <cell r="Q380">
            <v>73623</v>
          </cell>
          <cell r="R380">
            <v>65821</v>
          </cell>
          <cell r="S380">
            <v>67779</v>
          </cell>
          <cell r="T380">
            <v>60338</v>
          </cell>
          <cell r="U380">
            <v>62381</v>
          </cell>
          <cell r="V380">
            <v>67709</v>
          </cell>
          <cell r="W380">
            <v>75643</v>
          </cell>
          <cell r="X380">
            <v>93663</v>
          </cell>
          <cell r="Y380">
            <v>114987</v>
          </cell>
          <cell r="Z380">
            <v>147280</v>
          </cell>
          <cell r="AA380">
            <v>174927</v>
          </cell>
          <cell r="AB380">
            <v>17001</v>
          </cell>
          <cell r="AC380">
            <v>67149</v>
          </cell>
          <cell r="AD380">
            <v>58388</v>
          </cell>
          <cell r="AE380">
            <v>63506</v>
          </cell>
          <cell r="AF380">
            <v>58667</v>
          </cell>
          <cell r="AG380">
            <v>51480</v>
          </cell>
          <cell r="AI380">
            <v>68279</v>
          </cell>
        </row>
        <row r="381">
          <cell r="I381">
            <v>41644</v>
          </cell>
          <cell r="J381">
            <v>42097</v>
          </cell>
          <cell r="K381">
            <v>41926</v>
          </cell>
          <cell r="L381">
            <v>69415</v>
          </cell>
          <cell r="M381">
            <v>79279</v>
          </cell>
          <cell r="N381">
            <v>67487</v>
          </cell>
          <cell r="O381">
            <v>85593</v>
          </cell>
          <cell r="P381">
            <v>50564</v>
          </cell>
          <cell r="Q381">
            <v>48054</v>
          </cell>
          <cell r="R381">
            <v>54493</v>
          </cell>
          <cell r="S381">
            <v>40578</v>
          </cell>
          <cell r="T381">
            <v>33261</v>
          </cell>
          <cell r="U381">
            <v>37039</v>
          </cell>
          <cell r="V381">
            <v>47753</v>
          </cell>
          <cell r="W381">
            <v>50243</v>
          </cell>
          <cell r="X381">
            <v>59539</v>
          </cell>
          <cell r="Y381">
            <v>74999</v>
          </cell>
          <cell r="Z381">
            <v>83967</v>
          </cell>
          <cell r="AA381">
            <v>87156</v>
          </cell>
          <cell r="AB381">
            <v>56736</v>
          </cell>
          <cell r="AC381">
            <v>51211</v>
          </cell>
          <cell r="AD381">
            <v>52296</v>
          </cell>
          <cell r="AE381">
            <v>40994</v>
          </cell>
          <cell r="AF381">
            <v>30012</v>
          </cell>
          <cell r="AG381">
            <v>29482</v>
          </cell>
          <cell r="AI381">
            <v>42097</v>
          </cell>
        </row>
        <row r="382">
          <cell r="I382">
            <v>405341</v>
          </cell>
          <cell r="J382">
            <v>397304</v>
          </cell>
          <cell r="K382">
            <v>348262</v>
          </cell>
          <cell r="L382">
            <v>550233</v>
          </cell>
          <cell r="M382">
            <v>542833</v>
          </cell>
          <cell r="N382">
            <v>788951</v>
          </cell>
          <cell r="O382">
            <v>403171</v>
          </cell>
          <cell r="P382">
            <v>425308</v>
          </cell>
          <cell r="Q382">
            <v>276417</v>
          </cell>
          <cell r="R382">
            <v>389202</v>
          </cell>
          <cell r="S382">
            <v>419779</v>
          </cell>
          <cell r="T382">
            <v>392018</v>
          </cell>
          <cell r="U382">
            <v>421099</v>
          </cell>
          <cell r="V382">
            <v>418887</v>
          </cell>
          <cell r="W382">
            <v>434232</v>
          </cell>
          <cell r="X382">
            <v>443076</v>
          </cell>
          <cell r="Y382">
            <v>552294</v>
          </cell>
          <cell r="Z382">
            <v>796913</v>
          </cell>
          <cell r="AA382">
            <v>385444</v>
          </cell>
          <cell r="AB382">
            <v>398832</v>
          </cell>
          <cell r="AC382">
            <v>341666</v>
          </cell>
          <cell r="AD382">
            <v>389442</v>
          </cell>
          <cell r="AE382">
            <v>420455</v>
          </cell>
          <cell r="AF382">
            <v>416043</v>
          </cell>
          <cell r="AG382">
            <v>386878</v>
          </cell>
          <cell r="AI382">
            <v>397304</v>
          </cell>
        </row>
        <row r="383">
          <cell r="I383">
            <v>1029641</v>
          </cell>
          <cell r="J383">
            <v>1663367</v>
          </cell>
          <cell r="K383">
            <v>371792</v>
          </cell>
          <cell r="L383">
            <v>1161799</v>
          </cell>
          <cell r="M383">
            <v>1207386</v>
          </cell>
          <cell r="N383">
            <v>1156964</v>
          </cell>
          <cell r="O383">
            <v>1270418</v>
          </cell>
          <cell r="P383">
            <v>1153374</v>
          </cell>
          <cell r="Q383">
            <v>1043678</v>
          </cell>
          <cell r="R383">
            <v>1204609</v>
          </cell>
          <cell r="S383">
            <v>1148956</v>
          </cell>
          <cell r="T383">
            <v>1149357</v>
          </cell>
          <cell r="U383">
            <v>1024509</v>
          </cell>
          <cell r="V383">
            <v>1115739</v>
          </cell>
          <cell r="W383">
            <v>1155335</v>
          </cell>
          <cell r="X383">
            <v>1168826</v>
          </cell>
          <cell r="Y383">
            <v>1338379</v>
          </cell>
          <cell r="Z383">
            <v>1336147</v>
          </cell>
          <cell r="AA383">
            <v>1260041</v>
          </cell>
          <cell r="AB383">
            <v>1184175</v>
          </cell>
          <cell r="AC383">
            <v>1054176</v>
          </cell>
          <cell r="AD383">
            <v>1202066</v>
          </cell>
          <cell r="AE383">
            <v>441258</v>
          </cell>
          <cell r="AF383">
            <v>377139</v>
          </cell>
          <cell r="AG383">
            <v>303055</v>
          </cell>
          <cell r="AI383">
            <v>1663367</v>
          </cell>
        </row>
        <row r="385">
          <cell r="I385">
            <v>12530</v>
          </cell>
          <cell r="J385">
            <v>11030</v>
          </cell>
          <cell r="K385">
            <v>14180</v>
          </cell>
          <cell r="L385">
            <v>14870</v>
          </cell>
          <cell r="M385">
            <v>14960</v>
          </cell>
          <cell r="N385">
            <v>19690</v>
          </cell>
          <cell r="O385">
            <v>12890</v>
          </cell>
          <cell r="P385">
            <v>10540</v>
          </cell>
          <cell r="Q385">
            <v>11180</v>
          </cell>
          <cell r="R385">
            <v>12730</v>
          </cell>
          <cell r="S385">
            <v>10790</v>
          </cell>
          <cell r="T385">
            <v>12010</v>
          </cell>
          <cell r="U385">
            <v>14420</v>
          </cell>
          <cell r="V385">
            <v>11480</v>
          </cell>
          <cell r="W385">
            <v>12800</v>
          </cell>
          <cell r="X385">
            <v>15900</v>
          </cell>
          <cell r="Y385">
            <v>12520</v>
          </cell>
          <cell r="Z385">
            <v>14080</v>
          </cell>
          <cell r="AA385">
            <v>12850</v>
          </cell>
          <cell r="AB385">
            <v>10360</v>
          </cell>
          <cell r="AC385">
            <v>13510</v>
          </cell>
          <cell r="AD385">
            <v>13350</v>
          </cell>
          <cell r="AE385">
            <v>12870</v>
          </cell>
          <cell r="AF385">
            <v>13640</v>
          </cell>
          <cell r="AG385">
            <v>15920</v>
          </cell>
          <cell r="AI385">
            <v>11030</v>
          </cell>
        </row>
        <row r="386"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I386">
            <v>0</v>
          </cell>
        </row>
        <row r="387"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I387">
            <v>0</v>
          </cell>
        </row>
        <row r="388">
          <cell r="I388">
            <v>12281</v>
          </cell>
          <cell r="J388">
            <v>10250</v>
          </cell>
          <cell r="K388">
            <v>10361</v>
          </cell>
          <cell r="L388">
            <v>11493</v>
          </cell>
          <cell r="M388">
            <v>11466</v>
          </cell>
          <cell r="N388">
            <v>12299</v>
          </cell>
          <cell r="O388">
            <v>10356</v>
          </cell>
          <cell r="P388">
            <v>8315</v>
          </cell>
          <cell r="Q388">
            <v>7931</v>
          </cell>
          <cell r="R388">
            <v>10512</v>
          </cell>
          <cell r="S388">
            <v>8829</v>
          </cell>
          <cell r="T388">
            <v>9090</v>
          </cell>
          <cell r="U388">
            <v>9912</v>
          </cell>
          <cell r="V388">
            <v>10136</v>
          </cell>
          <cell r="W388">
            <v>9580</v>
          </cell>
          <cell r="X388">
            <v>11070</v>
          </cell>
          <cell r="Y388">
            <v>10988</v>
          </cell>
          <cell r="Z388">
            <v>11113</v>
          </cell>
          <cell r="AA388">
            <v>9588</v>
          </cell>
          <cell r="AB388">
            <v>10161</v>
          </cell>
          <cell r="AC388">
            <v>9133</v>
          </cell>
          <cell r="AD388">
            <v>10028</v>
          </cell>
          <cell r="AE388">
            <v>9551</v>
          </cell>
          <cell r="AF388">
            <v>9767</v>
          </cell>
          <cell r="AG388">
            <v>10987</v>
          </cell>
          <cell r="AI388">
            <v>10250</v>
          </cell>
        </row>
        <row r="389">
          <cell r="I389">
            <v>5</v>
          </cell>
          <cell r="J389">
            <v>6</v>
          </cell>
          <cell r="K389">
            <v>5</v>
          </cell>
          <cell r="L389">
            <v>6</v>
          </cell>
          <cell r="M389">
            <v>5</v>
          </cell>
          <cell r="N389">
            <v>5</v>
          </cell>
          <cell r="O389">
            <v>5</v>
          </cell>
          <cell r="P389">
            <v>5</v>
          </cell>
          <cell r="Q389">
            <v>4</v>
          </cell>
          <cell r="R389">
            <v>4</v>
          </cell>
          <cell r="S389">
            <v>5</v>
          </cell>
          <cell r="T389">
            <v>3</v>
          </cell>
          <cell r="U389">
            <v>3</v>
          </cell>
          <cell r="V389">
            <v>4</v>
          </cell>
          <cell r="W389">
            <v>3</v>
          </cell>
          <cell r="X389">
            <v>7</v>
          </cell>
          <cell r="Y389">
            <v>6</v>
          </cell>
          <cell r="Z389">
            <v>4</v>
          </cell>
          <cell r="AA389">
            <v>5</v>
          </cell>
          <cell r="AB389">
            <v>4</v>
          </cell>
          <cell r="AC389">
            <v>3</v>
          </cell>
          <cell r="AD389">
            <v>4</v>
          </cell>
          <cell r="AE389">
            <v>4</v>
          </cell>
          <cell r="AF389">
            <v>7</v>
          </cell>
          <cell r="AG389">
            <v>6</v>
          </cell>
          <cell r="AI389">
            <v>6</v>
          </cell>
        </row>
        <row r="390">
          <cell r="I390">
            <v>12238</v>
          </cell>
          <cell r="J390">
            <v>12655</v>
          </cell>
          <cell r="K390">
            <v>12283</v>
          </cell>
          <cell r="L390">
            <v>12321</v>
          </cell>
          <cell r="M390">
            <v>15756</v>
          </cell>
          <cell r="N390">
            <v>20138</v>
          </cell>
          <cell r="O390">
            <v>15160</v>
          </cell>
          <cell r="P390">
            <v>13720</v>
          </cell>
          <cell r="Q390">
            <v>15600</v>
          </cell>
          <cell r="R390">
            <v>16240</v>
          </cell>
          <cell r="S390">
            <v>14000</v>
          </cell>
          <cell r="T390">
            <v>14200</v>
          </cell>
          <cell r="U390">
            <v>15240</v>
          </cell>
          <cell r="V390">
            <v>13480</v>
          </cell>
          <cell r="W390">
            <v>17880</v>
          </cell>
          <cell r="X390">
            <v>18120</v>
          </cell>
          <cell r="Y390">
            <v>18760</v>
          </cell>
          <cell r="Z390">
            <v>21600</v>
          </cell>
          <cell r="AA390">
            <v>18160</v>
          </cell>
          <cell r="AB390">
            <v>14880</v>
          </cell>
          <cell r="AC390">
            <v>11560</v>
          </cell>
          <cell r="AD390">
            <v>14920</v>
          </cell>
          <cell r="AE390">
            <v>16760</v>
          </cell>
          <cell r="AF390">
            <v>16960</v>
          </cell>
          <cell r="AG390">
            <v>15880</v>
          </cell>
          <cell r="AI390">
            <v>12655</v>
          </cell>
        </row>
        <row r="391">
          <cell r="I391">
            <v>88738</v>
          </cell>
          <cell r="J391">
            <v>84910</v>
          </cell>
          <cell r="K391">
            <v>97315</v>
          </cell>
          <cell r="L391">
            <v>98111</v>
          </cell>
          <cell r="M391">
            <v>101627</v>
          </cell>
          <cell r="N391">
            <v>119163</v>
          </cell>
          <cell r="O391">
            <v>89514</v>
          </cell>
          <cell r="P391">
            <v>86377</v>
          </cell>
          <cell r="Q391">
            <v>93996</v>
          </cell>
          <cell r="R391">
            <v>91830</v>
          </cell>
          <cell r="S391">
            <v>89530</v>
          </cell>
          <cell r="T391">
            <v>98880</v>
          </cell>
          <cell r="U391">
            <v>89471</v>
          </cell>
          <cell r="V391">
            <v>80549</v>
          </cell>
          <cell r="W391">
            <v>97585</v>
          </cell>
          <cell r="X391">
            <v>91860</v>
          </cell>
          <cell r="Y391">
            <v>110831</v>
          </cell>
          <cell r="Z391">
            <v>124452</v>
          </cell>
          <cell r="AA391">
            <v>106029</v>
          </cell>
          <cell r="AB391">
            <v>83880</v>
          </cell>
          <cell r="AC391">
            <v>89410</v>
          </cell>
          <cell r="AD391">
            <v>92655</v>
          </cell>
          <cell r="AE391">
            <v>96238</v>
          </cell>
          <cell r="AF391">
            <v>94935</v>
          </cell>
          <cell r="AG391">
            <v>84474</v>
          </cell>
          <cell r="AI391">
            <v>84910</v>
          </cell>
        </row>
        <row r="392"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I392">
            <v>0</v>
          </cell>
        </row>
        <row r="393"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I393">
            <v>0</v>
          </cell>
        </row>
        <row r="394"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I394">
            <v>0</v>
          </cell>
        </row>
        <row r="395"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I395">
            <v>0</v>
          </cell>
        </row>
        <row r="396"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I396">
            <v>0</v>
          </cell>
        </row>
        <row r="397">
          <cell r="I397">
            <v>17936</v>
          </cell>
          <cell r="J397">
            <v>24056</v>
          </cell>
          <cell r="K397">
            <v>29644</v>
          </cell>
          <cell r="L397">
            <v>33140</v>
          </cell>
          <cell r="M397">
            <v>35248</v>
          </cell>
          <cell r="N397">
            <v>43080</v>
          </cell>
          <cell r="O397">
            <v>29228</v>
          </cell>
          <cell r="P397">
            <v>24356</v>
          </cell>
          <cell r="Q397">
            <v>18968</v>
          </cell>
          <cell r="R397">
            <v>26152</v>
          </cell>
          <cell r="S397">
            <v>16324</v>
          </cell>
          <cell r="T397">
            <v>18512</v>
          </cell>
          <cell r="U397">
            <v>16192</v>
          </cell>
          <cell r="V397">
            <v>18756</v>
          </cell>
          <cell r="W397">
            <v>28192</v>
          </cell>
          <cell r="X397">
            <v>31556</v>
          </cell>
          <cell r="Y397">
            <v>37350</v>
          </cell>
          <cell r="Z397">
            <v>41518</v>
          </cell>
          <cell r="AA397">
            <v>35362</v>
          </cell>
          <cell r="AB397">
            <v>30228</v>
          </cell>
          <cell r="AC397">
            <v>28091</v>
          </cell>
          <cell r="AD397">
            <v>19064</v>
          </cell>
          <cell r="AE397">
            <v>20499</v>
          </cell>
          <cell r="AF397">
            <v>25718</v>
          </cell>
          <cell r="AG397">
            <v>26275</v>
          </cell>
          <cell r="AI397">
            <v>24056</v>
          </cell>
        </row>
        <row r="398"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I398">
            <v>0</v>
          </cell>
        </row>
        <row r="399">
          <cell r="I399">
            <v>10560</v>
          </cell>
          <cell r="J399">
            <v>11616</v>
          </cell>
          <cell r="K399">
            <v>12192</v>
          </cell>
          <cell r="L399">
            <v>12576</v>
          </cell>
          <cell r="M399">
            <v>13056</v>
          </cell>
          <cell r="N399">
            <v>15168</v>
          </cell>
          <cell r="O399">
            <v>12480</v>
          </cell>
          <cell r="P399">
            <v>10272</v>
          </cell>
          <cell r="Q399">
            <v>11424</v>
          </cell>
          <cell r="R399">
            <v>10368</v>
          </cell>
          <cell r="S399">
            <v>11232</v>
          </cell>
          <cell r="T399">
            <v>11136</v>
          </cell>
          <cell r="U399">
            <v>11904</v>
          </cell>
          <cell r="V399">
            <v>9696</v>
          </cell>
          <cell r="W399">
            <v>13536</v>
          </cell>
          <cell r="X399">
            <v>12384</v>
          </cell>
          <cell r="Y399">
            <v>13728</v>
          </cell>
          <cell r="Z399">
            <v>12672</v>
          </cell>
          <cell r="AA399">
            <v>12480</v>
          </cell>
          <cell r="AB399">
            <v>9984</v>
          </cell>
          <cell r="AC399">
            <v>10848</v>
          </cell>
          <cell r="AD399">
            <v>11136</v>
          </cell>
          <cell r="AE399">
            <v>11520</v>
          </cell>
          <cell r="AF399">
            <v>10368</v>
          </cell>
          <cell r="AG399">
            <v>10080</v>
          </cell>
          <cell r="AI399">
            <v>11616</v>
          </cell>
        </row>
        <row r="400"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I400">
            <v>0</v>
          </cell>
        </row>
        <row r="401"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I401">
            <v>0</v>
          </cell>
        </row>
        <row r="402">
          <cell r="I402">
            <v>946</v>
          </cell>
          <cell r="J402">
            <v>1146</v>
          </cell>
          <cell r="K402">
            <v>945</v>
          </cell>
          <cell r="L402">
            <v>1404</v>
          </cell>
          <cell r="M402">
            <v>1362</v>
          </cell>
          <cell r="N402">
            <v>1796</v>
          </cell>
          <cell r="O402">
            <v>1025</v>
          </cell>
          <cell r="P402">
            <v>864</v>
          </cell>
          <cell r="Q402">
            <v>909</v>
          </cell>
          <cell r="R402">
            <v>704</v>
          </cell>
          <cell r="S402">
            <v>787</v>
          </cell>
          <cell r="T402">
            <v>480</v>
          </cell>
          <cell r="U402">
            <v>943</v>
          </cell>
          <cell r="V402">
            <v>931</v>
          </cell>
          <cell r="W402">
            <v>1203</v>
          </cell>
          <cell r="X402">
            <v>1411</v>
          </cell>
          <cell r="Y402">
            <v>1616</v>
          </cell>
          <cell r="Z402">
            <v>1448</v>
          </cell>
          <cell r="AA402">
            <v>224</v>
          </cell>
          <cell r="AB402">
            <v>256</v>
          </cell>
          <cell r="AC402">
            <v>227</v>
          </cell>
          <cell r="AD402">
            <v>189</v>
          </cell>
          <cell r="AE402">
            <v>42</v>
          </cell>
          <cell r="AF402">
            <v>-482</v>
          </cell>
          <cell r="AG402">
            <v>591</v>
          </cell>
          <cell r="AI402">
            <v>1146</v>
          </cell>
        </row>
        <row r="403">
          <cell r="I403">
            <v>0</v>
          </cell>
          <cell r="J403">
            <v>3330</v>
          </cell>
          <cell r="K403">
            <v>5270</v>
          </cell>
          <cell r="L403">
            <v>6680</v>
          </cell>
          <cell r="M403">
            <v>6970</v>
          </cell>
          <cell r="N403">
            <v>7350</v>
          </cell>
          <cell r="O403">
            <v>6480</v>
          </cell>
          <cell r="P403">
            <v>5440</v>
          </cell>
          <cell r="Q403">
            <v>4470</v>
          </cell>
          <cell r="R403">
            <v>5010</v>
          </cell>
          <cell r="S403">
            <v>6120</v>
          </cell>
          <cell r="T403">
            <v>6670</v>
          </cell>
          <cell r="U403">
            <v>6530</v>
          </cell>
          <cell r="V403">
            <v>5390</v>
          </cell>
          <cell r="W403">
            <v>6310</v>
          </cell>
          <cell r="X403">
            <v>6600</v>
          </cell>
          <cell r="Y403">
            <v>7320</v>
          </cell>
          <cell r="Z403">
            <v>6640</v>
          </cell>
          <cell r="AA403">
            <v>6150</v>
          </cell>
          <cell r="AB403">
            <v>6150</v>
          </cell>
          <cell r="AC403">
            <v>5540</v>
          </cell>
          <cell r="AD403">
            <v>5120</v>
          </cell>
          <cell r="AE403">
            <v>4710</v>
          </cell>
          <cell r="AF403">
            <v>4340</v>
          </cell>
          <cell r="AG403">
            <v>4710</v>
          </cell>
          <cell r="AI403">
            <v>3330</v>
          </cell>
        </row>
        <row r="404">
          <cell r="I404">
            <v>3093</v>
          </cell>
          <cell r="J404">
            <v>3826</v>
          </cell>
          <cell r="K404">
            <v>3571</v>
          </cell>
          <cell r="L404">
            <v>4702</v>
          </cell>
          <cell r="M404">
            <v>4256</v>
          </cell>
          <cell r="N404">
            <v>3634</v>
          </cell>
          <cell r="O404">
            <v>5590</v>
          </cell>
          <cell r="P404">
            <v>3396</v>
          </cell>
          <cell r="Q404">
            <v>2725</v>
          </cell>
          <cell r="R404">
            <v>4043</v>
          </cell>
          <cell r="S404">
            <v>4203</v>
          </cell>
          <cell r="T404">
            <v>3755</v>
          </cell>
          <cell r="U404">
            <v>4741</v>
          </cell>
          <cell r="V404">
            <v>3880</v>
          </cell>
          <cell r="W404">
            <v>4211</v>
          </cell>
          <cell r="X404">
            <v>4974</v>
          </cell>
          <cell r="Y404">
            <v>4559</v>
          </cell>
          <cell r="Z404">
            <v>4227</v>
          </cell>
          <cell r="AA404">
            <v>5315</v>
          </cell>
          <cell r="AB404">
            <v>2182</v>
          </cell>
          <cell r="AC404">
            <v>2361</v>
          </cell>
          <cell r="AD404">
            <v>2223</v>
          </cell>
          <cell r="AE404">
            <v>2741</v>
          </cell>
          <cell r="AF404">
            <v>2822</v>
          </cell>
          <cell r="AG404">
            <v>2651</v>
          </cell>
          <cell r="AI404">
            <v>3826</v>
          </cell>
        </row>
        <row r="406">
          <cell r="I406">
            <v>2813890</v>
          </cell>
          <cell r="J406">
            <v>3229623</v>
          </cell>
          <cell r="K406">
            <v>4256346</v>
          </cell>
          <cell r="L406">
            <v>4509978</v>
          </cell>
          <cell r="M406">
            <v>4623069</v>
          </cell>
          <cell r="N406">
            <v>4876609</v>
          </cell>
          <cell r="O406">
            <v>3531606</v>
          </cell>
          <cell r="P406">
            <v>2870824</v>
          </cell>
          <cell r="Q406">
            <v>2813592</v>
          </cell>
          <cell r="R406">
            <v>2861370</v>
          </cell>
          <cell r="S406">
            <v>2951150</v>
          </cell>
          <cell r="T406">
            <v>2674993</v>
          </cell>
          <cell r="U406">
            <v>2807308</v>
          </cell>
          <cell r="V406">
            <v>3271605</v>
          </cell>
          <cell r="W406">
            <v>3567155</v>
          </cell>
          <cell r="X406">
            <v>4347638</v>
          </cell>
          <cell r="Y406">
            <v>4794199</v>
          </cell>
          <cell r="Z406">
            <v>4689605</v>
          </cell>
          <cell r="AA406">
            <v>3654041</v>
          </cell>
          <cell r="AB406">
            <v>2886253</v>
          </cell>
          <cell r="AC406">
            <v>2728068</v>
          </cell>
          <cell r="AD406">
            <v>3037262</v>
          </cell>
          <cell r="AE406">
            <v>2667590</v>
          </cell>
          <cell r="AF406">
            <v>2492789</v>
          </cell>
          <cell r="AG406">
            <v>2681795</v>
          </cell>
          <cell r="AI406">
            <v>3229623</v>
          </cell>
        </row>
        <row r="407">
          <cell r="I407">
            <v>4861108</v>
          </cell>
          <cell r="J407">
            <v>5085582</v>
          </cell>
          <cell r="K407">
            <v>6632222</v>
          </cell>
          <cell r="L407">
            <v>6655675</v>
          </cell>
          <cell r="M407">
            <v>6591617</v>
          </cell>
          <cell r="N407">
            <v>7363557</v>
          </cell>
          <cell r="O407">
            <v>5496246</v>
          </cell>
          <cell r="P407">
            <v>4923486</v>
          </cell>
          <cell r="Q407">
            <v>4482022</v>
          </cell>
          <cell r="R407">
            <v>4416630</v>
          </cell>
          <cell r="S407">
            <v>4042442</v>
          </cell>
          <cell r="T407">
            <v>4606024</v>
          </cell>
          <cell r="U407">
            <v>4302407</v>
          </cell>
          <cell r="V407">
            <v>5133744</v>
          </cell>
          <cell r="W407">
            <v>5371522</v>
          </cell>
          <cell r="X407">
            <v>5589826</v>
          </cell>
          <cell r="Y407">
            <v>6959648</v>
          </cell>
          <cell r="Z407">
            <v>6663394</v>
          </cell>
          <cell r="AA407">
            <v>5431465</v>
          </cell>
          <cell r="AB407">
            <v>4105136</v>
          </cell>
          <cell r="AC407">
            <v>3899890</v>
          </cell>
          <cell r="AD407">
            <v>4282857</v>
          </cell>
          <cell r="AE407">
            <v>4083212</v>
          </cell>
          <cell r="AF407">
            <v>3820244</v>
          </cell>
          <cell r="AG407">
            <v>4055935</v>
          </cell>
          <cell r="AI407">
            <v>5085582</v>
          </cell>
        </row>
        <row r="408">
          <cell r="I408">
            <v>1544641</v>
          </cell>
          <cell r="J408">
            <v>1789187</v>
          </cell>
          <cell r="K408">
            <v>2330982</v>
          </cell>
          <cell r="L408">
            <v>2733661</v>
          </cell>
          <cell r="M408">
            <v>2923821</v>
          </cell>
          <cell r="N408">
            <v>3224117</v>
          </cell>
          <cell r="O408">
            <v>2209872</v>
          </cell>
          <cell r="P408">
            <v>1511938</v>
          </cell>
          <cell r="Q408">
            <v>1560987</v>
          </cell>
          <cell r="R408">
            <v>1723832</v>
          </cell>
          <cell r="S408">
            <v>1774725</v>
          </cell>
          <cell r="T408">
            <v>1724043</v>
          </cell>
          <cell r="U408">
            <v>1599040</v>
          </cell>
          <cell r="V408">
            <v>1808174</v>
          </cell>
          <cell r="W408">
            <v>2276965</v>
          </cell>
          <cell r="X408">
            <v>2597226</v>
          </cell>
          <cell r="Y408">
            <v>3303179</v>
          </cell>
          <cell r="Z408">
            <v>3278325</v>
          </cell>
          <cell r="AA408">
            <v>2263047</v>
          </cell>
          <cell r="AB408">
            <v>1649722</v>
          </cell>
          <cell r="AC408">
            <v>1541852</v>
          </cell>
          <cell r="AD408">
            <v>1837147</v>
          </cell>
          <cell r="AE408">
            <v>1691259</v>
          </cell>
          <cell r="AF408">
            <v>1656491</v>
          </cell>
          <cell r="AG408">
            <v>1426701</v>
          </cell>
          <cell r="AI408">
            <v>1789187</v>
          </cell>
        </row>
        <row r="409">
          <cell r="I409">
            <v>2877407</v>
          </cell>
          <cell r="J409">
            <v>3182357</v>
          </cell>
          <cell r="K409">
            <v>4195690</v>
          </cell>
          <cell r="L409">
            <v>4704446</v>
          </cell>
          <cell r="M409">
            <v>4943444</v>
          </cell>
          <cell r="N409">
            <v>5201884</v>
          </cell>
          <cell r="O409">
            <v>3859509</v>
          </cell>
          <cell r="P409">
            <v>2628211</v>
          </cell>
          <cell r="Q409">
            <v>2660348</v>
          </cell>
          <cell r="R409">
            <v>2872080</v>
          </cell>
          <cell r="S409">
            <v>2812545</v>
          </cell>
          <cell r="T409">
            <v>2964662</v>
          </cell>
          <cell r="U409">
            <v>2729102</v>
          </cell>
          <cell r="V409">
            <v>3083634</v>
          </cell>
          <cell r="W409">
            <v>4126833</v>
          </cell>
          <cell r="X409">
            <v>4590834</v>
          </cell>
          <cell r="Y409">
            <v>5786684</v>
          </cell>
          <cell r="Z409">
            <v>5470984</v>
          </cell>
          <cell r="AA409">
            <v>4020444</v>
          </cell>
          <cell r="AB409">
            <v>2932621</v>
          </cell>
          <cell r="AC409">
            <v>2787654</v>
          </cell>
          <cell r="AD409">
            <v>3106029</v>
          </cell>
          <cell r="AE409">
            <v>2767588</v>
          </cell>
          <cell r="AF409">
            <v>2693631</v>
          </cell>
          <cell r="AG409">
            <v>2629308</v>
          </cell>
          <cell r="AI409">
            <v>3182357</v>
          </cell>
        </row>
        <row r="410">
          <cell r="I410">
            <v>2036816</v>
          </cell>
          <cell r="J410">
            <v>2432162</v>
          </cell>
          <cell r="K410">
            <v>3131686</v>
          </cell>
          <cell r="L410">
            <v>3730740</v>
          </cell>
          <cell r="M410">
            <v>4262916</v>
          </cell>
          <cell r="N410">
            <v>4177166</v>
          </cell>
          <cell r="O410">
            <v>3171848</v>
          </cell>
          <cell r="P410">
            <v>1968181</v>
          </cell>
          <cell r="Q410">
            <v>1956990</v>
          </cell>
          <cell r="R410">
            <v>2313572</v>
          </cell>
          <cell r="S410">
            <v>2265007</v>
          </cell>
          <cell r="T410">
            <v>2224977</v>
          </cell>
          <cell r="U410">
            <v>2100417</v>
          </cell>
          <cell r="V410">
            <v>2211558</v>
          </cell>
          <cell r="W410">
            <v>3075273</v>
          </cell>
          <cell r="X410">
            <v>3412629</v>
          </cell>
          <cell r="Y410">
            <v>4564557</v>
          </cell>
          <cell r="Z410">
            <v>4443481</v>
          </cell>
          <cell r="AA410">
            <v>3242229</v>
          </cell>
          <cell r="AB410">
            <v>2104537</v>
          </cell>
          <cell r="AC410">
            <v>2053439</v>
          </cell>
          <cell r="AD410">
            <v>2442627</v>
          </cell>
          <cell r="AE410">
            <v>2162976</v>
          </cell>
          <cell r="AF410">
            <v>2164068</v>
          </cell>
          <cell r="AG410">
            <v>1981798</v>
          </cell>
          <cell r="AI410">
            <v>2432162</v>
          </cell>
        </row>
        <row r="411">
          <cell r="I411">
            <v>2652551</v>
          </cell>
          <cell r="J411">
            <v>3002645</v>
          </cell>
          <cell r="K411">
            <v>3625149</v>
          </cell>
          <cell r="L411">
            <v>4354403</v>
          </cell>
          <cell r="M411">
            <v>4681916</v>
          </cell>
          <cell r="N411">
            <v>5145366</v>
          </cell>
          <cell r="O411">
            <v>3841373</v>
          </cell>
          <cell r="P411">
            <v>2707215</v>
          </cell>
          <cell r="Q411">
            <v>2700502</v>
          </cell>
          <cell r="R411">
            <v>2953879</v>
          </cell>
          <cell r="S411">
            <v>3050157</v>
          </cell>
          <cell r="T411">
            <v>3077450</v>
          </cell>
          <cell r="U411">
            <v>2896901</v>
          </cell>
          <cell r="V411">
            <v>2883528</v>
          </cell>
          <cell r="W411">
            <v>3710579</v>
          </cell>
          <cell r="X411">
            <v>4264069</v>
          </cell>
          <cell r="Y411">
            <v>5182997</v>
          </cell>
          <cell r="Z411">
            <v>5351389</v>
          </cell>
          <cell r="AA411">
            <v>4017186</v>
          </cell>
          <cell r="AB411">
            <v>2803164</v>
          </cell>
          <cell r="AC411">
            <v>2748761</v>
          </cell>
          <cell r="AD411">
            <v>3271249</v>
          </cell>
          <cell r="AE411">
            <v>3041159</v>
          </cell>
          <cell r="AF411">
            <v>2936649</v>
          </cell>
          <cell r="AG411">
            <v>2688172</v>
          </cell>
          <cell r="AI411">
            <v>3002645</v>
          </cell>
        </row>
        <row r="412">
          <cell r="I412">
            <v>2378373</v>
          </cell>
          <cell r="J412">
            <v>2634715</v>
          </cell>
          <cell r="K412">
            <v>3069092</v>
          </cell>
          <cell r="L412">
            <v>3810981</v>
          </cell>
          <cell r="M412">
            <v>4063534</v>
          </cell>
          <cell r="N412">
            <v>4415545</v>
          </cell>
          <cell r="O412">
            <v>3313592</v>
          </cell>
          <cell r="P412">
            <v>2386228</v>
          </cell>
          <cell r="Q412">
            <v>2242470</v>
          </cell>
          <cell r="R412">
            <v>2500566</v>
          </cell>
          <cell r="S412">
            <v>2400939</v>
          </cell>
          <cell r="T412">
            <v>2557383</v>
          </cell>
          <cell r="U412">
            <v>2287582</v>
          </cell>
          <cell r="V412">
            <v>2306719</v>
          </cell>
          <cell r="W412">
            <v>3327047</v>
          </cell>
          <cell r="X412">
            <v>3245012</v>
          </cell>
          <cell r="Y412">
            <v>3623444</v>
          </cell>
          <cell r="Z412">
            <v>4235883</v>
          </cell>
          <cell r="AA412">
            <v>3160600</v>
          </cell>
          <cell r="AB412">
            <v>2209770</v>
          </cell>
          <cell r="AC412">
            <v>2404553</v>
          </cell>
          <cell r="AD412">
            <v>2576315</v>
          </cell>
          <cell r="AE412">
            <v>1949423</v>
          </cell>
          <cell r="AF412">
            <v>2066117</v>
          </cell>
          <cell r="AG412">
            <v>1737022</v>
          </cell>
          <cell r="AI412">
            <v>2634715</v>
          </cell>
        </row>
        <row r="413">
          <cell r="I413">
            <v>2119726</v>
          </cell>
          <cell r="J413">
            <v>2531752</v>
          </cell>
          <cell r="K413">
            <v>3117398</v>
          </cell>
          <cell r="L413">
            <v>3971526</v>
          </cell>
          <cell r="M413">
            <v>4386871</v>
          </cell>
          <cell r="N413">
            <v>4444384</v>
          </cell>
          <cell r="O413">
            <v>3298414</v>
          </cell>
          <cell r="P413">
            <v>2204975</v>
          </cell>
          <cell r="Q413">
            <v>2068278</v>
          </cell>
          <cell r="R413">
            <v>2429838</v>
          </cell>
          <cell r="S413">
            <v>2332475</v>
          </cell>
          <cell r="T413">
            <v>2457277</v>
          </cell>
          <cell r="U413">
            <v>2162082</v>
          </cell>
          <cell r="V413">
            <v>2191506</v>
          </cell>
          <cell r="W413">
            <v>3299628</v>
          </cell>
          <cell r="X413">
            <v>3573807</v>
          </cell>
          <cell r="Y413">
            <v>4829232</v>
          </cell>
          <cell r="Z413">
            <v>4945385</v>
          </cell>
          <cell r="AA413">
            <v>3692153</v>
          </cell>
          <cell r="AB413">
            <v>2423778</v>
          </cell>
          <cell r="AC413">
            <v>2215919</v>
          </cell>
          <cell r="AD413">
            <v>2620416</v>
          </cell>
          <cell r="AE413">
            <v>2342069</v>
          </cell>
          <cell r="AF413">
            <v>2346034</v>
          </cell>
          <cell r="AG413">
            <v>2084821</v>
          </cell>
          <cell r="AI413">
            <v>2531752</v>
          </cell>
        </row>
        <row r="414">
          <cell r="I414">
            <v>2311646</v>
          </cell>
          <cell r="J414">
            <v>2606484</v>
          </cell>
          <cell r="K414">
            <v>3116724</v>
          </cell>
          <cell r="L414">
            <v>3785148</v>
          </cell>
          <cell r="M414">
            <v>4165942</v>
          </cell>
          <cell r="N414">
            <v>4315154</v>
          </cell>
          <cell r="O414">
            <v>3323994</v>
          </cell>
          <cell r="P414">
            <v>2429689</v>
          </cell>
          <cell r="Q414">
            <v>2383807</v>
          </cell>
          <cell r="R414">
            <v>2476906</v>
          </cell>
          <cell r="S414">
            <v>2549343</v>
          </cell>
          <cell r="T414">
            <v>2582656</v>
          </cell>
          <cell r="U414">
            <v>2578488</v>
          </cell>
          <cell r="V414">
            <v>2316450</v>
          </cell>
          <cell r="W414">
            <v>3340712</v>
          </cell>
          <cell r="X414">
            <v>3664434</v>
          </cell>
          <cell r="Y414">
            <v>4646737</v>
          </cell>
          <cell r="Z414">
            <v>5000687</v>
          </cell>
          <cell r="AA414">
            <v>3840783</v>
          </cell>
          <cell r="AB414">
            <v>2754022</v>
          </cell>
          <cell r="AC414">
            <v>2646935</v>
          </cell>
          <cell r="AD414">
            <v>2761826</v>
          </cell>
          <cell r="AE414">
            <v>2773576</v>
          </cell>
          <cell r="AF414">
            <v>2846821</v>
          </cell>
          <cell r="AG414">
            <v>2497911</v>
          </cell>
          <cell r="AI414">
            <v>2606484</v>
          </cell>
        </row>
        <row r="415">
          <cell r="I415">
            <v>1949044</v>
          </cell>
          <cell r="J415">
            <v>2137785</v>
          </cell>
          <cell r="K415">
            <v>2433925</v>
          </cell>
          <cell r="L415">
            <v>3404151</v>
          </cell>
          <cell r="M415">
            <v>3786600</v>
          </cell>
          <cell r="N415">
            <v>3707575</v>
          </cell>
          <cell r="O415">
            <v>2877045</v>
          </cell>
          <cell r="P415">
            <v>2114262</v>
          </cell>
          <cell r="Q415">
            <v>1755789</v>
          </cell>
          <cell r="R415">
            <v>1998276</v>
          </cell>
          <cell r="S415">
            <v>2027517</v>
          </cell>
          <cell r="T415">
            <v>2008761</v>
          </cell>
          <cell r="U415">
            <v>1965488</v>
          </cell>
          <cell r="V415">
            <v>1758292</v>
          </cell>
          <cell r="W415">
            <v>2672808</v>
          </cell>
          <cell r="X415">
            <v>2965429</v>
          </cell>
          <cell r="Y415">
            <v>3852989</v>
          </cell>
          <cell r="Z415">
            <v>4149237</v>
          </cell>
          <cell r="AA415">
            <v>3159836</v>
          </cell>
          <cell r="AB415">
            <v>2035451</v>
          </cell>
          <cell r="AC415">
            <v>1815243</v>
          </cell>
          <cell r="AD415">
            <v>2106018</v>
          </cell>
          <cell r="AE415">
            <v>1918691</v>
          </cell>
          <cell r="AF415">
            <v>1950479</v>
          </cell>
          <cell r="AG415">
            <v>1761656</v>
          </cell>
          <cell r="AI415">
            <v>2137785</v>
          </cell>
        </row>
        <row r="416">
          <cell r="I416">
            <v>4199923</v>
          </cell>
          <cell r="J416">
            <v>4870921</v>
          </cell>
          <cell r="K416">
            <v>5247048</v>
          </cell>
          <cell r="L416">
            <v>6900876</v>
          </cell>
          <cell r="M416">
            <v>6813692</v>
          </cell>
          <cell r="N416">
            <v>7629160</v>
          </cell>
          <cell r="O416">
            <v>6178716</v>
          </cell>
          <cell r="P416">
            <v>4667862</v>
          </cell>
          <cell r="Q416">
            <v>4119605</v>
          </cell>
          <cell r="R416">
            <v>4262784</v>
          </cell>
          <cell r="S416">
            <v>4898629</v>
          </cell>
          <cell r="T416">
            <v>4862936</v>
          </cell>
          <cell r="U416">
            <v>4806855</v>
          </cell>
          <cell r="V416">
            <v>4711081</v>
          </cell>
          <cell r="W416">
            <v>5734176</v>
          </cell>
          <cell r="X416">
            <v>6326943</v>
          </cell>
          <cell r="Y416">
            <v>7505156</v>
          </cell>
          <cell r="Z416">
            <v>6858817</v>
          </cell>
          <cell r="AA416">
            <v>6041777</v>
          </cell>
          <cell r="AB416">
            <v>4535222</v>
          </cell>
          <cell r="AC416">
            <v>4012992</v>
          </cell>
          <cell r="AD416">
            <v>4043266</v>
          </cell>
          <cell r="AE416">
            <v>4124695</v>
          </cell>
          <cell r="AF416">
            <v>3924357</v>
          </cell>
          <cell r="AG416">
            <v>3737194</v>
          </cell>
          <cell r="AI416">
            <v>4870921</v>
          </cell>
        </row>
        <row r="417">
          <cell r="I417">
            <v>1744895</v>
          </cell>
          <cell r="J417">
            <v>1887304</v>
          </cell>
          <cell r="K417">
            <v>2229430</v>
          </cell>
          <cell r="L417">
            <v>3081545</v>
          </cell>
          <cell r="M417">
            <v>3346284</v>
          </cell>
          <cell r="N417">
            <v>3612972</v>
          </cell>
          <cell r="O417">
            <v>2714441</v>
          </cell>
          <cell r="P417">
            <v>1917337</v>
          </cell>
          <cell r="Q417">
            <v>1631916</v>
          </cell>
          <cell r="R417">
            <v>1768168</v>
          </cell>
          <cell r="S417">
            <v>1727295</v>
          </cell>
          <cell r="T417">
            <v>1906620</v>
          </cell>
          <cell r="U417">
            <v>1687904</v>
          </cell>
          <cell r="V417">
            <v>1636924</v>
          </cell>
          <cell r="W417">
            <v>2431240</v>
          </cell>
          <cell r="X417">
            <v>2702667</v>
          </cell>
          <cell r="Y417">
            <v>3548832</v>
          </cell>
          <cell r="Z417">
            <v>3958917</v>
          </cell>
          <cell r="AA417">
            <v>2957266</v>
          </cell>
          <cell r="AB417">
            <v>1977617</v>
          </cell>
          <cell r="AC417">
            <v>1716402</v>
          </cell>
          <cell r="AD417">
            <v>1785641</v>
          </cell>
          <cell r="AE417">
            <v>1809426</v>
          </cell>
          <cell r="AF417">
            <v>1784461</v>
          </cell>
          <cell r="AG417">
            <v>1528983</v>
          </cell>
          <cell r="AI417">
            <v>1887304</v>
          </cell>
        </row>
        <row r="418">
          <cell r="I418">
            <v>8857451</v>
          </cell>
          <cell r="J418">
            <v>8318579</v>
          </cell>
          <cell r="K418">
            <v>9762838</v>
          </cell>
          <cell r="L418">
            <v>10032482</v>
          </cell>
          <cell r="M418">
            <v>10558397</v>
          </cell>
          <cell r="N418">
            <v>11530356</v>
          </cell>
          <cell r="O418">
            <v>9419787</v>
          </cell>
          <cell r="P418">
            <v>8063549</v>
          </cell>
          <cell r="Q418">
            <v>7589689</v>
          </cell>
          <cell r="R418">
            <v>8418752</v>
          </cell>
          <cell r="S418">
            <v>8089792</v>
          </cell>
          <cell r="T418">
            <v>8634438</v>
          </cell>
          <cell r="U418">
            <v>8144594</v>
          </cell>
          <cell r="V418">
            <v>7964265</v>
          </cell>
          <cell r="W418">
            <v>10057652</v>
          </cell>
          <cell r="X418">
            <v>10066736</v>
          </cell>
          <cell r="Y418">
            <v>11173307</v>
          </cell>
          <cell r="Z418">
            <v>12572420</v>
          </cell>
          <cell r="AA418">
            <v>10085476</v>
          </cell>
          <cell r="AB418">
            <v>8739582</v>
          </cell>
          <cell r="AC418">
            <v>8108216</v>
          </cell>
          <cell r="AD418">
            <v>8276491</v>
          </cell>
          <cell r="AE418">
            <v>8757840</v>
          </cell>
          <cell r="AF418">
            <v>8680330</v>
          </cell>
          <cell r="AG418">
            <v>8210361</v>
          </cell>
          <cell r="AI418">
            <v>8318579</v>
          </cell>
        </row>
        <row r="419">
          <cell r="I419">
            <v>2914015</v>
          </cell>
          <cell r="J419">
            <v>3132914</v>
          </cell>
          <cell r="K419">
            <v>4403061</v>
          </cell>
          <cell r="L419">
            <v>5703196</v>
          </cell>
          <cell r="M419">
            <v>6193527</v>
          </cell>
          <cell r="N419">
            <v>6325348</v>
          </cell>
          <cell r="O419">
            <v>5814233</v>
          </cell>
          <cell r="P419">
            <v>4208528</v>
          </cell>
          <cell r="Q419">
            <v>3785373</v>
          </cell>
          <cell r="R419">
            <v>4408701</v>
          </cell>
          <cell r="S419">
            <v>4132426</v>
          </cell>
          <cell r="T419">
            <v>4385856</v>
          </cell>
          <cell r="U419">
            <v>4011337</v>
          </cell>
          <cell r="V419">
            <v>3726035</v>
          </cell>
          <cell r="W419">
            <v>5048474</v>
          </cell>
          <cell r="X419">
            <v>5330156</v>
          </cell>
          <cell r="Y419">
            <v>6419970</v>
          </cell>
          <cell r="Z419">
            <v>7259277</v>
          </cell>
          <cell r="AA419">
            <v>6048539</v>
          </cell>
          <cell r="AB419">
            <v>4440577</v>
          </cell>
          <cell r="AC419">
            <v>4169056</v>
          </cell>
          <cell r="AD419">
            <v>4256482</v>
          </cell>
          <cell r="AE419">
            <v>4140035</v>
          </cell>
          <cell r="AF419">
            <v>4173946</v>
          </cell>
          <cell r="AG419">
            <v>4110462</v>
          </cell>
          <cell r="AI419">
            <v>3132914</v>
          </cell>
        </row>
        <row r="420">
          <cell r="I420">
            <v>1714415</v>
          </cell>
          <cell r="J420">
            <v>2318233</v>
          </cell>
          <cell r="K420">
            <v>2413004</v>
          </cell>
          <cell r="L420">
            <v>3087081</v>
          </cell>
          <cell r="M420">
            <v>3088402</v>
          </cell>
          <cell r="N420">
            <v>3537201</v>
          </cell>
          <cell r="O420">
            <v>3263895</v>
          </cell>
          <cell r="P420">
            <v>2294014</v>
          </cell>
          <cell r="Q420">
            <v>2115345</v>
          </cell>
          <cell r="R420">
            <v>2301411</v>
          </cell>
          <cell r="S420">
            <v>2435926</v>
          </cell>
          <cell r="T420">
            <v>2346109</v>
          </cell>
          <cell r="U420">
            <v>2484760</v>
          </cell>
          <cell r="V420">
            <v>1984911</v>
          </cell>
          <cell r="W420">
            <v>2700230</v>
          </cell>
          <cell r="X420">
            <v>2906213</v>
          </cell>
          <cell r="Y420">
            <v>3260487</v>
          </cell>
          <cell r="Z420">
            <v>4127441</v>
          </cell>
          <cell r="AA420">
            <v>2925641</v>
          </cell>
          <cell r="AB420">
            <v>2412314</v>
          </cell>
          <cell r="AC420">
            <v>2254699</v>
          </cell>
          <cell r="AD420">
            <v>2331174</v>
          </cell>
          <cell r="AE420">
            <v>2439938</v>
          </cell>
          <cell r="AF420">
            <v>2310178</v>
          </cell>
          <cell r="AG420">
            <v>2169526</v>
          </cell>
          <cell r="AI420">
            <v>2318233</v>
          </cell>
        </row>
        <row r="421">
          <cell r="I421">
            <v>2082567</v>
          </cell>
          <cell r="J421">
            <v>2193873</v>
          </cell>
          <cell r="K421">
            <v>2291184</v>
          </cell>
          <cell r="L421">
            <v>3161767</v>
          </cell>
          <cell r="M421">
            <v>3346584</v>
          </cell>
          <cell r="N421">
            <v>3867607</v>
          </cell>
          <cell r="O421">
            <v>3403203</v>
          </cell>
          <cell r="P421">
            <v>2150425</v>
          </cell>
          <cell r="Q421">
            <v>1950496</v>
          </cell>
          <cell r="R421">
            <v>2112918</v>
          </cell>
          <cell r="S421">
            <v>2023682</v>
          </cell>
          <cell r="T421">
            <v>2248553</v>
          </cell>
          <cell r="U421">
            <v>1936948</v>
          </cell>
          <cell r="V421">
            <v>2010147</v>
          </cell>
          <cell r="W421">
            <v>2341282</v>
          </cell>
          <cell r="X421">
            <v>2766867</v>
          </cell>
          <cell r="Y421">
            <v>3560489</v>
          </cell>
          <cell r="Z421">
            <v>3890061</v>
          </cell>
          <cell r="AA421">
            <v>3615703</v>
          </cell>
          <cell r="AB421">
            <v>2153983</v>
          </cell>
          <cell r="AC421">
            <v>1935485</v>
          </cell>
          <cell r="AD421">
            <v>2126639</v>
          </cell>
          <cell r="AE421">
            <v>2225839</v>
          </cell>
          <cell r="AF421">
            <v>2074486</v>
          </cell>
          <cell r="AG421">
            <v>1933879</v>
          </cell>
          <cell r="AI421">
            <v>2193873</v>
          </cell>
        </row>
        <row r="422">
          <cell r="I422">
            <v>3006392</v>
          </cell>
          <cell r="J422">
            <v>2780787</v>
          </cell>
          <cell r="K422">
            <v>2857036</v>
          </cell>
          <cell r="L422">
            <v>3860835</v>
          </cell>
          <cell r="M422">
            <v>3787227</v>
          </cell>
          <cell r="N422">
            <v>4102827</v>
          </cell>
          <cell r="O422">
            <v>4310199</v>
          </cell>
          <cell r="P422">
            <v>2772926</v>
          </cell>
          <cell r="Q422">
            <v>2577462</v>
          </cell>
          <cell r="R422">
            <v>2824531</v>
          </cell>
          <cell r="S422">
            <v>2748144</v>
          </cell>
          <cell r="T422">
            <v>3239392</v>
          </cell>
          <cell r="U422">
            <v>2639752</v>
          </cell>
          <cell r="V422">
            <v>2584957</v>
          </cell>
          <cell r="W422">
            <v>3048499</v>
          </cell>
          <cell r="X422">
            <v>3315854</v>
          </cell>
          <cell r="Y422">
            <v>4029525</v>
          </cell>
          <cell r="Z422">
            <v>4471270</v>
          </cell>
          <cell r="AA422">
            <v>4748679</v>
          </cell>
          <cell r="AB422">
            <v>2447893</v>
          </cell>
          <cell r="AC422">
            <v>2712834</v>
          </cell>
          <cell r="AD422">
            <v>2737698</v>
          </cell>
          <cell r="AE422">
            <v>2864279</v>
          </cell>
          <cell r="AF422">
            <v>2960923</v>
          </cell>
          <cell r="AG422">
            <v>2504584</v>
          </cell>
          <cell r="AI422">
            <v>2780787</v>
          </cell>
        </row>
        <row r="423">
          <cell r="I423">
            <v>4077814</v>
          </cell>
          <cell r="J423">
            <v>4273127</v>
          </cell>
          <cell r="K423">
            <v>4294405</v>
          </cell>
          <cell r="L423">
            <v>5988288</v>
          </cell>
          <cell r="M423">
            <v>5889480</v>
          </cell>
          <cell r="N423">
            <v>6942866</v>
          </cell>
          <cell r="O423">
            <v>5490341</v>
          </cell>
          <cell r="P423">
            <v>4640046</v>
          </cell>
          <cell r="Q423">
            <v>4018496</v>
          </cell>
          <cell r="R423">
            <v>4028075</v>
          </cell>
          <cell r="S423">
            <v>4379894</v>
          </cell>
          <cell r="T423">
            <v>4042086</v>
          </cell>
          <cell r="U423">
            <v>4294915</v>
          </cell>
          <cell r="V423">
            <v>4185100</v>
          </cell>
          <cell r="W423">
            <v>5046104</v>
          </cell>
          <cell r="X423">
            <v>5392303</v>
          </cell>
          <cell r="Y423">
            <v>6206147</v>
          </cell>
          <cell r="Z423">
            <v>7903046</v>
          </cell>
          <cell r="AA423">
            <v>5446361</v>
          </cell>
          <cell r="AB423">
            <v>4872727</v>
          </cell>
          <cell r="AC423">
            <v>4380498</v>
          </cell>
          <cell r="AD423">
            <v>3975962</v>
          </cell>
          <cell r="AE423">
            <v>4230718</v>
          </cell>
          <cell r="AF423">
            <v>4286122</v>
          </cell>
          <cell r="AG423">
            <v>4148444</v>
          </cell>
          <cell r="AI423">
            <v>4273127</v>
          </cell>
        </row>
        <row r="424">
          <cell r="I424">
            <v>2025275</v>
          </cell>
          <cell r="J424">
            <v>2066549</v>
          </cell>
          <cell r="K424">
            <v>2141385</v>
          </cell>
          <cell r="L424">
            <v>3677489</v>
          </cell>
          <cell r="M424">
            <v>3678706</v>
          </cell>
          <cell r="N424">
            <v>4313497</v>
          </cell>
          <cell r="O424">
            <v>3901037</v>
          </cell>
          <cell r="P424">
            <v>2588763</v>
          </cell>
          <cell r="Q424">
            <v>1844991</v>
          </cell>
          <cell r="R424">
            <v>1999375</v>
          </cell>
          <cell r="S424">
            <v>2229782</v>
          </cell>
          <cell r="T424">
            <v>2152630</v>
          </cell>
          <cell r="U424">
            <v>2128335</v>
          </cell>
          <cell r="V424">
            <v>2068198</v>
          </cell>
          <cell r="W424">
            <v>2474405</v>
          </cell>
          <cell r="X424">
            <v>2906299</v>
          </cell>
          <cell r="Y424">
            <v>4056282</v>
          </cell>
          <cell r="Z424">
            <v>4864901</v>
          </cell>
          <cell r="AA424">
            <v>4149241</v>
          </cell>
          <cell r="AB424">
            <v>2562925</v>
          </cell>
          <cell r="AC424">
            <v>2094385</v>
          </cell>
          <cell r="AD424">
            <v>1985142</v>
          </cell>
          <cell r="AE424">
            <v>2240077</v>
          </cell>
          <cell r="AF424">
            <v>2169987</v>
          </cell>
          <cell r="AG424">
            <v>1954367</v>
          </cell>
          <cell r="AI424">
            <v>2066549</v>
          </cell>
        </row>
        <row r="425">
          <cell r="I425">
            <v>8605053</v>
          </cell>
          <cell r="J425">
            <v>6881615</v>
          </cell>
          <cell r="K425">
            <v>5533696</v>
          </cell>
          <cell r="L425">
            <v>8600756</v>
          </cell>
          <cell r="M425">
            <v>8605429</v>
          </cell>
          <cell r="N425">
            <v>8729896</v>
          </cell>
          <cell r="O425">
            <v>9312413</v>
          </cell>
          <cell r="P425">
            <v>7055686</v>
          </cell>
          <cell r="Q425">
            <v>5724378</v>
          </cell>
          <cell r="R425">
            <v>5515764</v>
          </cell>
          <cell r="S425">
            <v>5811699</v>
          </cell>
          <cell r="T425">
            <v>5691965</v>
          </cell>
          <cell r="U425">
            <v>5390564</v>
          </cell>
          <cell r="V425">
            <v>5388725</v>
          </cell>
          <cell r="W425">
            <v>6031653</v>
          </cell>
          <cell r="X425">
            <v>7049902</v>
          </cell>
          <cell r="Y425">
            <v>8444669</v>
          </cell>
          <cell r="Z425">
            <v>9164621</v>
          </cell>
          <cell r="AA425">
            <v>9249999</v>
          </cell>
          <cell r="AB425">
            <v>6254323</v>
          </cell>
          <cell r="AC425">
            <v>5710659</v>
          </cell>
          <cell r="AD425">
            <v>5390150</v>
          </cell>
          <cell r="AE425">
            <v>5685470</v>
          </cell>
          <cell r="AF425">
            <v>5662314</v>
          </cell>
          <cell r="AG425">
            <v>4142890</v>
          </cell>
          <cell r="AI425">
            <v>6881615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"/>
      <sheetName val="Oth"/>
      <sheetName val="Tot"/>
      <sheetName val="Pd"/>
      <sheetName val="408"/>
      <sheetName val="Intco"/>
      <sheetName val="Rp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Sheet1"/>
      <sheetName val="Sheet2"/>
      <sheetName val="Sheet3"/>
      <sheetName val="Rp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 1"/>
      <sheetName val="Exhibit 2"/>
      <sheetName val="BellarExhibits"/>
      <sheetName val="#REF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comes"/>
      <sheetName val="LGE Electric"/>
      <sheetName val="LGE Gas"/>
      <sheetName val="Cap"/>
      <sheetName val="Ex 1"/>
      <sheetName val="Ex 2"/>
      <sheetName val="Ex 3"/>
      <sheetName val="Ex 4"/>
      <sheetName val="A"/>
      <sheetName val="B"/>
      <sheetName val="C"/>
      <sheetName val="D"/>
      <sheetName val="E"/>
      <sheetName val="G"/>
      <sheetName val="F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Z"/>
      <sheetName val="AA"/>
      <sheetName val="AB"/>
      <sheetName val="AC"/>
      <sheetName val="AD"/>
      <sheetName val="AE"/>
      <sheetName val="AF"/>
      <sheetName val="AG"/>
      <sheetName val="AH"/>
      <sheetName val="AI"/>
      <sheetName val="AW"/>
      <sheetName val="Gross up Factor"/>
      <sheetName val="not used Ex 4"/>
      <sheetName val="not used Ex 5"/>
    </sheetNames>
    <sheetDataSet>
      <sheetData sheetId="0" refreshError="1"/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BillingDetail"/>
      <sheetName val="KW_Report"/>
      <sheetName val="KWH_Report"/>
      <sheetName val="Rev_Report"/>
      <sheetName val="MW_Report"/>
      <sheetName val="MWH_Report"/>
      <sheetName val="ThousRev_Report"/>
    </sheetNames>
    <sheetDataSet>
      <sheetData sheetId="0" refreshError="1">
        <row r="11">
          <cell r="K11">
            <v>13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abSelected="1" view="pageLayout" zoomScaleNormal="100" workbookViewId="0">
      <selection activeCell="G9" sqref="G9"/>
    </sheetView>
  </sheetViews>
  <sheetFormatPr defaultRowHeight="12.75"/>
  <cols>
    <col min="1" max="1" width="10" customWidth="1"/>
    <col min="2" max="2" width="11" customWidth="1"/>
    <col min="3" max="3" width="12" customWidth="1"/>
    <col min="4" max="6" width="11.7109375" customWidth="1"/>
    <col min="7" max="7" width="5.5703125" customWidth="1"/>
    <col min="8" max="8" width="12.42578125" customWidth="1"/>
    <col min="9" max="9" width="3.140625" customWidth="1"/>
    <col min="10" max="10" width="11.7109375" customWidth="1"/>
  </cols>
  <sheetData>
    <row r="1" spans="1:11">
      <c r="A1" s="374" t="s">
        <v>33</v>
      </c>
      <c r="B1" s="374"/>
      <c r="C1" s="374"/>
      <c r="D1" s="374"/>
      <c r="E1" s="374"/>
      <c r="F1" s="374"/>
      <c r="G1" s="374"/>
      <c r="H1" s="374"/>
      <c r="I1" s="374"/>
      <c r="J1" s="374"/>
    </row>
    <row r="2" spans="1:11">
      <c r="A2" s="375" t="s">
        <v>375</v>
      </c>
      <c r="B2" s="374"/>
      <c r="C2" s="374"/>
      <c r="D2" s="374"/>
      <c r="E2" s="374"/>
      <c r="F2" s="374"/>
      <c r="G2" s="374"/>
      <c r="H2" s="374"/>
      <c r="I2" s="374"/>
      <c r="J2" s="374"/>
    </row>
    <row r="3" spans="1:11">
      <c r="A3" s="376" t="s">
        <v>65</v>
      </c>
      <c r="B3" s="376"/>
      <c r="C3" s="376"/>
      <c r="D3" s="376"/>
      <c r="E3" s="376"/>
      <c r="F3" s="376"/>
      <c r="G3" s="376"/>
      <c r="H3" s="376"/>
      <c r="I3" s="376"/>
      <c r="J3" s="376"/>
    </row>
    <row r="4" spans="1:11">
      <c r="A4" s="375" t="s">
        <v>373</v>
      </c>
      <c r="B4" s="374"/>
      <c r="C4" s="374"/>
      <c r="D4" s="374"/>
      <c r="E4" s="374"/>
      <c r="F4" s="374"/>
      <c r="G4" s="374"/>
      <c r="H4" s="374"/>
      <c r="I4" s="374"/>
      <c r="J4" s="374"/>
    </row>
    <row r="5" spans="1:11">
      <c r="A5" s="374" t="s">
        <v>19</v>
      </c>
      <c r="B5" s="374"/>
      <c r="C5" s="374"/>
      <c r="D5" s="374"/>
      <c r="E5" s="374"/>
      <c r="F5" s="374"/>
      <c r="G5" s="374"/>
      <c r="H5" s="374"/>
      <c r="I5" s="374"/>
      <c r="J5" s="374"/>
    </row>
    <row r="6" spans="1:11">
      <c r="A6" s="37"/>
      <c r="B6" s="37"/>
      <c r="C6" s="104"/>
      <c r="D6" s="104"/>
      <c r="E6" s="104"/>
      <c r="F6" s="104"/>
      <c r="G6" s="104"/>
      <c r="H6" s="37"/>
      <c r="I6" s="104"/>
      <c r="J6" s="37"/>
    </row>
    <row r="7" spans="1:11">
      <c r="A7" s="166" t="s">
        <v>372</v>
      </c>
      <c r="B7" s="39"/>
      <c r="C7" s="39"/>
      <c r="D7" s="39"/>
      <c r="E7" s="39"/>
      <c r="F7" s="39"/>
      <c r="G7" s="39"/>
      <c r="H7" s="60">
        <v>2017</v>
      </c>
      <c r="I7" s="39"/>
      <c r="J7" s="60">
        <v>2018</v>
      </c>
    </row>
    <row r="8" spans="1:11">
      <c r="A8" s="38"/>
      <c r="B8" s="39"/>
      <c r="C8" s="39"/>
      <c r="D8" s="39"/>
      <c r="E8" s="39"/>
      <c r="F8" s="39"/>
      <c r="G8" s="39"/>
      <c r="H8" s="39"/>
      <c r="I8" s="39"/>
      <c r="J8" s="39"/>
    </row>
    <row r="9" spans="1:11">
      <c r="A9" s="166" t="s">
        <v>381</v>
      </c>
      <c r="B9" s="39"/>
      <c r="C9" s="39"/>
      <c r="D9" s="39"/>
      <c r="E9" s="39"/>
      <c r="F9" s="39"/>
      <c r="G9" s="39"/>
      <c r="H9" s="227">
        <v>19.5</v>
      </c>
      <c r="I9" s="39"/>
      <c r="J9" s="227">
        <v>19.5</v>
      </c>
    </row>
    <row r="10" spans="1:11">
      <c r="A10" s="166"/>
      <c r="B10" s="39"/>
      <c r="C10" s="39"/>
      <c r="D10" s="39"/>
      <c r="E10" s="39"/>
      <c r="F10" s="39"/>
      <c r="G10" s="39"/>
      <c r="H10" s="39"/>
      <c r="I10" s="39"/>
      <c r="J10" s="39"/>
    </row>
    <row r="11" spans="1:11">
      <c r="A11" s="166" t="s">
        <v>374</v>
      </c>
      <c r="B11" s="166"/>
      <c r="C11" s="166"/>
      <c r="D11" s="166"/>
      <c r="E11" s="166"/>
      <c r="F11" s="166"/>
      <c r="G11" s="166"/>
      <c r="H11" s="228">
        <v>4</v>
      </c>
      <c r="I11" s="39"/>
      <c r="J11" s="228">
        <v>4</v>
      </c>
    </row>
    <row r="12" spans="1:11">
      <c r="A12" s="166"/>
      <c r="B12" s="39"/>
      <c r="C12" s="39"/>
      <c r="D12" s="39"/>
      <c r="E12" s="39"/>
      <c r="F12" s="39"/>
      <c r="G12" s="39"/>
      <c r="H12" s="39"/>
      <c r="I12" s="39"/>
      <c r="J12" s="39"/>
    </row>
    <row r="13" spans="1:11" ht="13.5" thickBot="1">
      <c r="A13" s="166" t="s">
        <v>376</v>
      </c>
      <c r="B13" s="176"/>
      <c r="C13" s="176"/>
      <c r="D13" s="176"/>
      <c r="E13" s="176"/>
      <c r="F13" s="176"/>
      <c r="G13" s="176"/>
      <c r="H13" s="230">
        <f>-H9/H11</f>
        <v>-4.875</v>
      </c>
      <c r="I13" s="39"/>
      <c r="J13" s="230">
        <f>-J9/J11</f>
        <v>-4.875</v>
      </c>
    </row>
    <row r="14" spans="1:11" ht="13.5" thickTop="1">
      <c r="A14" s="166"/>
      <c r="B14" s="166"/>
      <c r="C14" s="166"/>
      <c r="D14" s="166"/>
      <c r="E14" s="166"/>
      <c r="F14" s="166"/>
      <c r="G14" s="166"/>
      <c r="H14" s="39"/>
      <c r="I14" s="39"/>
      <c r="J14" s="39"/>
    </row>
    <row r="15" spans="1:11">
      <c r="A15" s="166" t="s">
        <v>380</v>
      </c>
      <c r="B15" s="39"/>
      <c r="C15" s="39"/>
      <c r="D15" s="39"/>
      <c r="E15" s="39"/>
      <c r="F15" s="39"/>
      <c r="G15" s="39"/>
      <c r="H15" s="233">
        <v>0.96745400000000004</v>
      </c>
      <c r="I15" s="232"/>
      <c r="J15" s="233">
        <v>0.96820399999999995</v>
      </c>
      <c r="K15" s="191"/>
    </row>
    <row r="16" spans="1:11">
      <c r="A16" s="166"/>
      <c r="B16" s="39"/>
      <c r="C16" s="39"/>
      <c r="D16" s="39"/>
      <c r="E16" s="39"/>
      <c r="F16" s="39"/>
      <c r="G16" s="39"/>
      <c r="H16" s="232"/>
      <c r="I16" s="232"/>
      <c r="J16" s="232"/>
      <c r="K16" s="191"/>
    </row>
    <row r="17" spans="1:11" ht="13.5" thickBot="1">
      <c r="A17" s="166" t="s">
        <v>378</v>
      </c>
      <c r="B17" s="39"/>
      <c r="C17" s="39"/>
      <c r="D17" s="39"/>
      <c r="E17" s="39"/>
      <c r="F17" s="39"/>
      <c r="G17" s="39"/>
      <c r="H17" s="230">
        <f>H13*H15</f>
        <v>-4.7163382499999997</v>
      </c>
      <c r="I17" s="232"/>
      <c r="J17" s="230">
        <f>J13*J15</f>
        <v>-4.7199944999999994</v>
      </c>
      <c r="K17" s="191"/>
    </row>
    <row r="18" spans="1:11" ht="13.5" thickTop="1">
      <c r="A18" s="166"/>
      <c r="B18" s="39"/>
      <c r="C18" s="39"/>
      <c r="D18" s="39"/>
      <c r="E18" s="39"/>
      <c r="F18" s="39"/>
      <c r="G18" s="39"/>
      <c r="H18" s="229"/>
      <c r="I18" s="232"/>
      <c r="J18" s="229"/>
      <c r="K18" s="191"/>
    </row>
    <row r="19" spans="1:11">
      <c r="A19" s="166"/>
      <c r="B19" s="39"/>
      <c r="C19" s="39"/>
      <c r="D19" s="39"/>
      <c r="E19" s="39"/>
      <c r="F19" s="39"/>
      <c r="G19" s="39"/>
      <c r="H19" s="229"/>
      <c r="I19" s="232"/>
      <c r="J19" s="229"/>
      <c r="K19" s="191"/>
    </row>
    <row r="20" spans="1:11">
      <c r="A20" s="166"/>
      <c r="B20" s="39"/>
      <c r="C20" s="39"/>
      <c r="D20" s="39"/>
      <c r="E20" s="39"/>
      <c r="F20" s="39"/>
      <c r="G20" s="39"/>
      <c r="H20" s="39"/>
      <c r="I20" s="39"/>
      <c r="J20" s="39"/>
    </row>
    <row r="21" spans="1:11">
      <c r="A21" s="166" t="s">
        <v>379</v>
      </c>
      <c r="B21" s="39"/>
      <c r="C21" s="39"/>
      <c r="D21" s="39"/>
      <c r="E21" s="39"/>
      <c r="F21" s="39"/>
      <c r="G21" s="39"/>
      <c r="H21" s="231">
        <f>(B49-B44)*H15</f>
        <v>2.4549145250000013</v>
      </c>
      <c r="I21" s="39"/>
      <c r="J21" s="231">
        <f>(E49-E44)*J15</f>
        <v>7.0799917499999996</v>
      </c>
    </row>
    <row r="22" spans="1:11">
      <c r="A22" s="29"/>
      <c r="B22" s="42"/>
      <c r="C22" s="42"/>
      <c r="D22" s="42"/>
      <c r="E22" s="42"/>
      <c r="F22" s="42"/>
      <c r="G22" s="42"/>
      <c r="H22" s="42"/>
      <c r="I22" s="42"/>
      <c r="J22" s="42"/>
    </row>
    <row r="23" spans="1:11">
      <c r="A23" s="41" t="s">
        <v>55</v>
      </c>
      <c r="B23" s="41"/>
      <c r="C23" s="41"/>
      <c r="D23" s="41"/>
      <c r="E23" s="41"/>
      <c r="F23" s="41"/>
      <c r="G23" s="41"/>
      <c r="H23" s="51">
        <f>'Exh. LK-28'!J19</f>
        <v>9.8804316192411479E-2</v>
      </c>
      <c r="I23" s="41"/>
      <c r="J23" s="51">
        <f>'Exh. LK-29'!J19</f>
        <v>9.9784915778226832E-2</v>
      </c>
    </row>
    <row r="24" spans="1:11">
      <c r="A24" s="41"/>
      <c r="B24" s="41"/>
      <c r="C24" s="41"/>
      <c r="D24" s="41"/>
      <c r="E24" s="41"/>
      <c r="F24" s="41"/>
      <c r="G24" s="41"/>
      <c r="H24" s="41"/>
      <c r="I24" s="41"/>
      <c r="J24" s="41"/>
    </row>
    <row r="25" spans="1:11" ht="13.5" thickBot="1">
      <c r="A25" s="167" t="s">
        <v>377</v>
      </c>
      <c r="B25" s="167"/>
      <c r="C25" s="167"/>
      <c r="D25" s="167"/>
      <c r="E25" s="167"/>
      <c r="F25" s="167"/>
      <c r="G25" s="167"/>
      <c r="H25" s="58">
        <f>H21*H23</f>
        <v>0.24255615095344377</v>
      </c>
      <c r="I25" s="41"/>
      <c r="J25" s="58">
        <f>J21*J23</f>
        <v>0.70647638048429073</v>
      </c>
    </row>
    <row r="26" spans="1:11" ht="13.5" thickTop="1">
      <c r="A26" s="167"/>
      <c r="B26" s="167"/>
      <c r="C26" s="167"/>
      <c r="D26" s="167"/>
      <c r="E26" s="167"/>
      <c r="F26" s="167"/>
      <c r="G26" s="167"/>
      <c r="H26" s="44"/>
      <c r="I26" s="41"/>
      <c r="J26" s="44"/>
    </row>
    <row r="27" spans="1:11">
      <c r="A27" s="167"/>
      <c r="B27" s="167"/>
      <c r="C27" s="167"/>
      <c r="D27" s="167"/>
      <c r="E27" s="167"/>
      <c r="F27" s="167"/>
      <c r="G27" s="167"/>
      <c r="H27" s="44"/>
      <c r="I27" s="41"/>
      <c r="J27" s="44"/>
    </row>
    <row r="28" spans="1:11">
      <c r="A28" s="29"/>
      <c r="B28" s="167" t="s">
        <v>382</v>
      </c>
      <c r="C28" s="42"/>
      <c r="D28" s="42"/>
      <c r="E28" s="42"/>
      <c r="F28" s="42"/>
      <c r="G28" s="42"/>
      <c r="H28" s="42"/>
      <c r="I28" s="42"/>
      <c r="J28" s="42"/>
    </row>
    <row r="29" spans="1:11">
      <c r="A29" s="29"/>
      <c r="B29" s="155" t="s">
        <v>57</v>
      </c>
      <c r="C29" s="42"/>
      <c r="D29" s="42"/>
      <c r="E29" s="42"/>
      <c r="F29" s="42"/>
      <c r="G29" s="42"/>
      <c r="H29" s="42"/>
      <c r="I29" s="42"/>
      <c r="J29" s="42"/>
    </row>
    <row r="30" spans="1:11">
      <c r="A30" s="234">
        <v>42705</v>
      </c>
      <c r="B30" s="236">
        <v>19.5</v>
      </c>
      <c r="C30" s="167"/>
      <c r="D30" s="234">
        <v>43070</v>
      </c>
      <c r="E30" s="237">
        <f>B42</f>
        <v>14.625</v>
      </c>
      <c r="F30" s="167"/>
      <c r="G30" s="167"/>
      <c r="H30" s="42"/>
      <c r="I30" s="42"/>
      <c r="J30" s="42"/>
    </row>
    <row r="31" spans="1:11">
      <c r="A31" s="235">
        <v>42736</v>
      </c>
      <c r="B31" s="45">
        <f>B30+($H$13/12)</f>
        <v>19.09375</v>
      </c>
      <c r="C31" s="42"/>
      <c r="D31" s="235">
        <v>43101</v>
      </c>
      <c r="E31" s="45">
        <f>E30+($J$13/12)</f>
        <v>14.21875</v>
      </c>
      <c r="F31" s="42"/>
      <c r="G31" s="42"/>
      <c r="H31" s="42"/>
      <c r="I31" s="42"/>
      <c r="J31" s="42"/>
    </row>
    <row r="32" spans="1:11">
      <c r="A32" s="234">
        <v>42767</v>
      </c>
      <c r="B32" s="45">
        <f t="shared" ref="B32:B42" si="0">B31+($H$13/12)</f>
        <v>18.6875</v>
      </c>
      <c r="C32" s="42"/>
      <c r="D32" s="234">
        <v>43132</v>
      </c>
      <c r="E32" s="45">
        <f t="shared" ref="E32:E42" si="1">E31+($J$13/12)</f>
        <v>13.8125</v>
      </c>
      <c r="F32" s="42"/>
      <c r="G32" s="42"/>
      <c r="H32" s="42"/>
      <c r="I32" s="42"/>
      <c r="J32" s="42"/>
    </row>
    <row r="33" spans="1:10">
      <c r="A33" s="235">
        <v>42795</v>
      </c>
      <c r="B33" s="45">
        <f t="shared" si="0"/>
        <v>18.28125</v>
      </c>
      <c r="C33" s="42"/>
      <c r="D33" s="235">
        <v>43160</v>
      </c>
      <c r="E33" s="45">
        <f t="shared" si="1"/>
        <v>13.40625</v>
      </c>
      <c r="F33" s="42"/>
      <c r="G33" s="42"/>
      <c r="H33" s="42"/>
      <c r="I33" s="42"/>
      <c r="J33" s="42"/>
    </row>
    <row r="34" spans="1:10">
      <c r="A34" s="234">
        <v>42826</v>
      </c>
      <c r="B34" s="45">
        <f t="shared" si="0"/>
        <v>17.875</v>
      </c>
      <c r="C34" s="42"/>
      <c r="D34" s="234">
        <v>43191</v>
      </c>
      <c r="E34" s="45">
        <f t="shared" si="1"/>
        <v>13</v>
      </c>
      <c r="F34" s="42"/>
      <c r="G34" s="42"/>
      <c r="H34" s="42"/>
      <c r="I34" s="42"/>
      <c r="J34" s="42"/>
    </row>
    <row r="35" spans="1:10">
      <c r="A35" s="235">
        <v>42856</v>
      </c>
      <c r="B35" s="45">
        <f t="shared" si="0"/>
        <v>17.46875</v>
      </c>
      <c r="C35" s="42"/>
      <c r="D35" s="235">
        <v>43221</v>
      </c>
      <c r="E35" s="45">
        <f t="shared" si="1"/>
        <v>12.59375</v>
      </c>
      <c r="F35" s="42"/>
      <c r="G35" s="42"/>
      <c r="H35" s="42"/>
      <c r="I35" s="42"/>
      <c r="J35" s="42"/>
    </row>
    <row r="36" spans="1:10">
      <c r="A36" s="234">
        <v>42887</v>
      </c>
      <c r="B36" s="45">
        <f t="shared" si="0"/>
        <v>17.0625</v>
      </c>
      <c r="C36" s="42"/>
      <c r="D36" s="234">
        <v>43252</v>
      </c>
      <c r="E36" s="45">
        <f t="shared" si="1"/>
        <v>12.1875</v>
      </c>
      <c r="F36" s="42"/>
      <c r="G36" s="42"/>
      <c r="H36" s="42"/>
      <c r="I36" s="42"/>
      <c r="J36" s="42"/>
    </row>
    <row r="37" spans="1:10">
      <c r="A37" s="235">
        <v>42917</v>
      </c>
      <c r="B37" s="45">
        <f t="shared" si="0"/>
        <v>16.65625</v>
      </c>
      <c r="C37" s="42"/>
      <c r="D37" s="235">
        <v>43282</v>
      </c>
      <c r="E37" s="45">
        <f t="shared" si="1"/>
        <v>11.78125</v>
      </c>
      <c r="F37" s="42"/>
      <c r="G37" s="42"/>
      <c r="H37" s="42"/>
      <c r="I37" s="42"/>
      <c r="J37" s="42"/>
    </row>
    <row r="38" spans="1:10">
      <c r="A38" s="234">
        <v>42948</v>
      </c>
      <c r="B38" s="45">
        <f t="shared" si="0"/>
        <v>16.25</v>
      </c>
      <c r="C38" s="42"/>
      <c r="D38" s="234">
        <v>43313</v>
      </c>
      <c r="E38" s="45">
        <f t="shared" si="1"/>
        <v>11.375</v>
      </c>
      <c r="F38" s="42"/>
      <c r="G38" s="42"/>
      <c r="H38" s="42"/>
      <c r="I38" s="42"/>
      <c r="J38" s="45"/>
    </row>
    <row r="39" spans="1:10">
      <c r="A39" s="235">
        <v>42979</v>
      </c>
      <c r="B39" s="45">
        <f t="shared" si="0"/>
        <v>15.84375</v>
      </c>
      <c r="C39" s="42"/>
      <c r="D39" s="235">
        <v>43344</v>
      </c>
      <c r="E39" s="45">
        <f t="shared" si="1"/>
        <v>10.96875</v>
      </c>
      <c r="F39" s="42"/>
      <c r="G39" s="42"/>
      <c r="H39" s="42"/>
      <c r="I39" s="42"/>
      <c r="J39" s="42"/>
    </row>
    <row r="40" spans="1:10">
      <c r="A40" s="234">
        <v>43009</v>
      </c>
      <c r="B40" s="45">
        <f t="shared" si="0"/>
        <v>15.4375</v>
      </c>
      <c r="C40" s="42"/>
      <c r="D40" s="234">
        <v>43374</v>
      </c>
      <c r="E40" s="45">
        <f t="shared" si="1"/>
        <v>10.5625</v>
      </c>
      <c r="F40" s="42"/>
      <c r="G40" s="42"/>
      <c r="H40" s="42"/>
      <c r="I40" s="42"/>
      <c r="J40" s="42"/>
    </row>
    <row r="41" spans="1:10">
      <c r="A41" s="235">
        <v>43040</v>
      </c>
      <c r="B41" s="45">
        <f t="shared" si="0"/>
        <v>15.03125</v>
      </c>
      <c r="C41" s="42"/>
      <c r="D41" s="235">
        <v>43405</v>
      </c>
      <c r="E41" s="45">
        <f t="shared" si="1"/>
        <v>10.15625</v>
      </c>
      <c r="F41" s="42"/>
      <c r="G41" s="42"/>
      <c r="H41" s="42"/>
      <c r="I41" s="42"/>
      <c r="J41" s="42"/>
    </row>
    <row r="42" spans="1:10">
      <c r="A42" s="234">
        <v>43070</v>
      </c>
      <c r="B42" s="198">
        <f t="shared" si="0"/>
        <v>14.625</v>
      </c>
      <c r="C42" s="42"/>
      <c r="D42" s="234">
        <v>43435</v>
      </c>
      <c r="E42" s="198">
        <f t="shared" si="1"/>
        <v>9.75</v>
      </c>
      <c r="F42" s="42"/>
      <c r="G42" s="42"/>
      <c r="H42" s="42"/>
      <c r="I42" s="42"/>
      <c r="J42" s="42"/>
    </row>
    <row r="43" spans="1:10">
      <c r="B43" s="26"/>
      <c r="C43" s="26"/>
      <c r="D43" s="26"/>
      <c r="E43" s="26"/>
      <c r="F43" s="26"/>
      <c r="G43" s="26"/>
      <c r="H43" s="26"/>
      <c r="I43" s="26"/>
      <c r="J43" s="26"/>
    </row>
    <row r="44" spans="1:10" ht="13.5" thickBot="1">
      <c r="A44" s="158" t="s">
        <v>383</v>
      </c>
      <c r="B44" s="209">
        <f>SUM(B30:B43)/13</f>
        <v>17.0625</v>
      </c>
      <c r="C44" s="26"/>
      <c r="D44" s="26"/>
      <c r="E44" s="209">
        <f>SUM(E30:E43)/13</f>
        <v>12.1875</v>
      </c>
      <c r="F44" s="26"/>
      <c r="G44" s="26"/>
      <c r="H44" s="26"/>
      <c r="I44" s="26"/>
      <c r="J44" s="26"/>
    </row>
    <row r="45" spans="1:10" ht="13.5" thickTop="1">
      <c r="A45" s="158" t="s">
        <v>384</v>
      </c>
      <c r="B45" s="26"/>
      <c r="C45" s="26"/>
      <c r="D45" s="26"/>
      <c r="E45" s="26"/>
      <c r="F45" s="26"/>
      <c r="G45" s="26"/>
      <c r="H45" s="26"/>
      <c r="I45" s="26"/>
      <c r="J45" s="26"/>
    </row>
    <row r="46" spans="1:10">
      <c r="B46" s="26"/>
      <c r="C46" s="26"/>
      <c r="D46" s="26"/>
      <c r="E46" s="26"/>
      <c r="F46" s="26"/>
      <c r="G46" s="26"/>
      <c r="H46" s="26"/>
      <c r="I46" s="26"/>
      <c r="J46" s="26"/>
    </row>
    <row r="47" spans="1:10">
      <c r="B47" s="26"/>
      <c r="C47" s="26"/>
      <c r="D47" s="26"/>
      <c r="E47" s="26"/>
      <c r="F47" s="26"/>
      <c r="G47" s="26"/>
      <c r="H47" s="26"/>
      <c r="I47" s="26"/>
      <c r="J47" s="26"/>
    </row>
    <row r="48" spans="1:10">
      <c r="A48" s="167" t="s">
        <v>385</v>
      </c>
      <c r="B48" s="167"/>
      <c r="C48" s="167"/>
      <c r="D48" s="167"/>
      <c r="E48" s="167"/>
      <c r="F48" s="26"/>
      <c r="G48" s="26"/>
      <c r="H48" s="26"/>
      <c r="I48" s="26"/>
      <c r="J48" s="26"/>
    </row>
    <row r="49" spans="1:10">
      <c r="A49" s="167">
        <v>2017</v>
      </c>
      <c r="B49" s="236">
        <v>19.600000000000001</v>
      </c>
      <c r="C49" s="167"/>
      <c r="D49" s="167">
        <v>2018</v>
      </c>
      <c r="E49" s="236">
        <v>19.5</v>
      </c>
      <c r="F49" s="26"/>
      <c r="G49" s="26"/>
      <c r="H49" s="26"/>
      <c r="I49" s="26"/>
      <c r="J49" s="26"/>
    </row>
    <row r="50" spans="1:10">
      <c r="B50" s="26"/>
      <c r="C50" s="26"/>
      <c r="D50" s="26"/>
      <c r="E50" s="26"/>
      <c r="F50" s="26"/>
      <c r="G50" s="26"/>
      <c r="H50" s="26"/>
      <c r="I50" s="26"/>
      <c r="J50" s="26"/>
    </row>
    <row r="51" spans="1:10">
      <c r="B51" s="26"/>
      <c r="C51" s="26"/>
      <c r="D51" s="26"/>
      <c r="E51" s="26"/>
      <c r="F51" s="26"/>
      <c r="G51" s="26"/>
      <c r="H51" s="26"/>
      <c r="I51" s="26"/>
      <c r="J51" s="26"/>
    </row>
    <row r="52" spans="1:10">
      <c r="B52" s="26"/>
      <c r="C52" s="26"/>
      <c r="D52" s="26"/>
      <c r="E52" s="26"/>
      <c r="F52" s="26"/>
      <c r="G52" s="26"/>
      <c r="H52" s="26"/>
      <c r="I52" s="26"/>
      <c r="J52" s="26"/>
    </row>
    <row r="53" spans="1:10">
      <c r="B53" s="26"/>
      <c r="C53" s="26"/>
      <c r="D53" s="26"/>
      <c r="E53" s="26"/>
      <c r="F53" s="26"/>
      <c r="G53" s="26"/>
      <c r="H53" s="26"/>
      <c r="I53" s="26"/>
      <c r="J53" s="26"/>
    </row>
    <row r="54" spans="1:10">
      <c r="B54" s="26"/>
      <c r="C54" s="26"/>
      <c r="D54" s="26"/>
      <c r="E54" s="26"/>
      <c r="F54" s="26"/>
      <c r="G54" s="26"/>
      <c r="H54" s="26"/>
      <c r="I54" s="26"/>
      <c r="J54" s="26"/>
    </row>
    <row r="55" spans="1:10">
      <c r="B55" s="26"/>
      <c r="C55" s="26"/>
      <c r="D55" s="26"/>
      <c r="E55" s="26"/>
      <c r="F55" s="26"/>
      <c r="G55" s="26"/>
      <c r="H55" s="26"/>
      <c r="I55" s="26"/>
      <c r="J55" s="26"/>
    </row>
    <row r="56" spans="1:10">
      <c r="B56" s="26"/>
      <c r="C56" s="26"/>
      <c r="D56" s="26"/>
      <c r="E56" s="26"/>
      <c r="F56" s="26"/>
      <c r="G56" s="26"/>
      <c r="H56" s="26"/>
      <c r="I56" s="26"/>
      <c r="J56" s="26"/>
    </row>
    <row r="57" spans="1:10">
      <c r="B57" s="26"/>
      <c r="C57" s="26"/>
      <c r="D57" s="26"/>
      <c r="E57" s="26"/>
      <c r="F57" s="26"/>
      <c r="G57" s="26"/>
      <c r="H57" s="26"/>
      <c r="I57" s="26"/>
      <c r="J57" s="26"/>
    </row>
    <row r="58" spans="1:10">
      <c r="B58" s="26"/>
      <c r="C58" s="26"/>
      <c r="D58" s="26"/>
      <c r="E58" s="26"/>
      <c r="F58" s="26"/>
      <c r="G58" s="26"/>
      <c r="H58" s="26"/>
      <c r="I58" s="26"/>
      <c r="J58" s="26"/>
    </row>
    <row r="59" spans="1:10">
      <c r="B59" s="26"/>
      <c r="C59" s="26"/>
      <c r="D59" s="26"/>
      <c r="E59" s="26"/>
      <c r="F59" s="26"/>
      <c r="G59" s="26"/>
      <c r="H59" s="26"/>
      <c r="I59" s="26"/>
      <c r="J59" s="26"/>
    </row>
    <row r="60" spans="1:10">
      <c r="B60" s="26"/>
      <c r="C60" s="26"/>
      <c r="D60" s="26"/>
      <c r="E60" s="26"/>
      <c r="F60" s="26"/>
      <c r="G60" s="26"/>
      <c r="H60" s="26"/>
      <c r="I60" s="26"/>
      <c r="J60" s="26"/>
    </row>
    <row r="61" spans="1:10">
      <c r="B61" s="26"/>
      <c r="C61" s="26"/>
      <c r="D61" s="26"/>
      <c r="E61" s="26"/>
      <c r="F61" s="26"/>
      <c r="G61" s="26"/>
      <c r="H61" s="26"/>
      <c r="I61" s="26"/>
      <c r="J61" s="26"/>
    </row>
    <row r="62" spans="1:10">
      <c r="B62" s="26"/>
      <c r="C62" s="26"/>
      <c r="D62" s="26"/>
      <c r="E62" s="26"/>
      <c r="F62" s="26"/>
      <c r="G62" s="26"/>
      <c r="H62" s="26"/>
      <c r="I62" s="26"/>
      <c r="J62" s="26"/>
    </row>
    <row r="63" spans="1:10">
      <c r="B63" s="26"/>
      <c r="C63" s="26"/>
      <c r="D63" s="26"/>
      <c r="E63" s="26"/>
      <c r="F63" s="26"/>
      <c r="G63" s="26"/>
      <c r="H63" s="26"/>
      <c r="I63" s="26"/>
      <c r="J63" s="26"/>
    </row>
    <row r="64" spans="1:10">
      <c r="B64" s="26"/>
      <c r="C64" s="26"/>
      <c r="D64" s="26"/>
      <c r="E64" s="26"/>
      <c r="F64" s="26"/>
      <c r="G64" s="26"/>
      <c r="H64" s="26"/>
      <c r="I64" s="26"/>
      <c r="J64" s="26"/>
    </row>
    <row r="65" spans="2:10">
      <c r="B65" s="26"/>
      <c r="C65" s="26"/>
      <c r="D65" s="26"/>
      <c r="E65" s="26"/>
      <c r="F65" s="26"/>
      <c r="G65" s="26"/>
      <c r="H65" s="26"/>
      <c r="I65" s="26"/>
      <c r="J65" s="26"/>
    </row>
    <row r="66" spans="2:10">
      <c r="B66" s="26"/>
      <c r="C66" s="26"/>
      <c r="D66" s="26"/>
      <c r="E66" s="26"/>
      <c r="F66" s="26"/>
      <c r="G66" s="26"/>
      <c r="H66" s="26"/>
      <c r="I66" s="26"/>
      <c r="J66" s="26"/>
    </row>
    <row r="67" spans="2:10">
      <c r="B67" s="26"/>
      <c r="C67" s="26"/>
      <c r="D67" s="26"/>
      <c r="E67" s="26"/>
      <c r="F67" s="26"/>
      <c r="G67" s="26"/>
      <c r="H67" s="26"/>
      <c r="I67" s="26"/>
      <c r="J67" s="26"/>
    </row>
    <row r="68" spans="2:10">
      <c r="B68" s="26"/>
      <c r="C68" s="26"/>
      <c r="D68" s="26"/>
      <c r="E68" s="26"/>
      <c r="F68" s="26"/>
      <c r="G68" s="26"/>
      <c r="H68" s="26"/>
      <c r="I68" s="26"/>
      <c r="J68" s="26"/>
    </row>
    <row r="69" spans="2:10">
      <c r="B69" s="26"/>
      <c r="C69" s="26"/>
      <c r="D69" s="26"/>
      <c r="E69" s="26"/>
      <c r="F69" s="26"/>
      <c r="G69" s="26"/>
      <c r="H69" s="26"/>
      <c r="I69" s="26"/>
      <c r="J69" s="26"/>
    </row>
  </sheetData>
  <mergeCells count="5">
    <mergeCell ref="A1:J1"/>
    <mergeCell ref="A2:J2"/>
    <mergeCell ref="A3:J3"/>
    <mergeCell ref="A4:J4"/>
    <mergeCell ref="A5:J5"/>
  </mergeCells>
  <pageMargins left="0.39" right="0.25" top="1" bottom="1" header="0.5" footer="0.5"/>
  <pageSetup orientation="portrait" r:id="rId1"/>
  <headerFooter alignWithMargins="0">
    <oddHeader>&amp;R&amp;8Docket No. 160021-EI, &amp;"Arial,Italic"et al&amp;"Arial,Regular".
FPL POD No. 5
Attachment A
Page &amp;P of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view="pageLayout" zoomScaleNormal="100" workbookViewId="0">
      <selection activeCell="G9" sqref="G9"/>
    </sheetView>
  </sheetViews>
  <sheetFormatPr defaultRowHeight="12.75"/>
  <cols>
    <col min="1" max="1" width="8.85546875" customWidth="1"/>
    <col min="2" max="5" width="11.7109375" customWidth="1"/>
    <col min="6" max="6" width="3.140625" customWidth="1"/>
    <col min="7" max="7" width="12.28515625" customWidth="1"/>
    <col min="8" max="8" width="3.140625" customWidth="1"/>
    <col min="9" max="9" width="12.28515625" customWidth="1"/>
  </cols>
  <sheetData>
    <row r="1" spans="1:9">
      <c r="A1" s="374" t="s">
        <v>33</v>
      </c>
      <c r="B1" s="374"/>
      <c r="C1" s="374"/>
      <c r="D1" s="374"/>
      <c r="E1" s="374"/>
      <c r="F1" s="374"/>
      <c r="G1" s="374"/>
      <c r="H1" s="374"/>
      <c r="I1" s="374"/>
    </row>
    <row r="2" spans="1:9">
      <c r="A2" s="375" t="s">
        <v>601</v>
      </c>
      <c r="B2" s="374"/>
      <c r="C2" s="374"/>
      <c r="D2" s="374"/>
      <c r="E2" s="374"/>
      <c r="F2" s="374"/>
      <c r="G2" s="374"/>
      <c r="H2" s="374"/>
      <c r="I2" s="374"/>
    </row>
    <row r="3" spans="1:9">
      <c r="A3" s="375" t="s">
        <v>65</v>
      </c>
      <c r="B3" s="375"/>
      <c r="C3" s="375"/>
      <c r="D3" s="375"/>
      <c r="E3" s="375"/>
      <c r="F3" s="375"/>
      <c r="G3" s="375"/>
      <c r="H3" s="375"/>
      <c r="I3" s="375"/>
    </row>
    <row r="4" spans="1:9">
      <c r="A4" s="375" t="s">
        <v>66</v>
      </c>
      <c r="B4" s="374"/>
      <c r="C4" s="374"/>
      <c r="D4" s="374"/>
      <c r="E4" s="374"/>
      <c r="F4" s="374"/>
      <c r="G4" s="374"/>
      <c r="H4" s="374"/>
      <c r="I4" s="374"/>
    </row>
    <row r="5" spans="1:9">
      <c r="A5" s="374" t="s">
        <v>19</v>
      </c>
      <c r="B5" s="374"/>
      <c r="C5" s="374"/>
      <c r="D5" s="374"/>
      <c r="E5" s="374"/>
      <c r="F5" s="374"/>
      <c r="G5" s="374"/>
      <c r="H5" s="374"/>
      <c r="I5" s="374"/>
    </row>
    <row r="6" spans="1:9">
      <c r="A6" s="163"/>
      <c r="B6" s="163"/>
      <c r="C6" s="163"/>
      <c r="D6" s="163"/>
      <c r="E6" s="163"/>
      <c r="F6" s="163"/>
      <c r="G6" s="163"/>
      <c r="H6" s="163"/>
      <c r="I6" s="163"/>
    </row>
    <row r="7" spans="1:9">
      <c r="A7" s="166" t="s">
        <v>449</v>
      </c>
      <c r="B7" s="39"/>
      <c r="C7" s="39"/>
      <c r="D7" s="39"/>
      <c r="E7" s="39"/>
      <c r="F7" s="39"/>
      <c r="G7" s="39"/>
      <c r="H7" s="39"/>
      <c r="I7" s="39"/>
    </row>
    <row r="8" spans="1:9">
      <c r="A8" s="38"/>
      <c r="B8" s="39"/>
      <c r="C8" s="39"/>
      <c r="D8" s="39"/>
      <c r="E8" s="39"/>
      <c r="F8" s="39"/>
      <c r="G8" s="60">
        <v>2017</v>
      </c>
      <c r="H8" s="39"/>
      <c r="I8" s="60">
        <v>2018</v>
      </c>
    </row>
    <row r="9" spans="1:9">
      <c r="A9" s="272" t="s">
        <v>602</v>
      </c>
      <c r="B9" s="39"/>
      <c r="C9" s="39"/>
      <c r="D9" s="39"/>
      <c r="E9" s="39"/>
      <c r="F9" s="39"/>
      <c r="G9" s="39"/>
      <c r="H9" s="39"/>
      <c r="I9" s="39"/>
    </row>
    <row r="10" spans="1:9">
      <c r="A10" s="166" t="s">
        <v>454</v>
      </c>
      <c r="B10" s="57"/>
      <c r="C10" s="57"/>
      <c r="D10" s="57"/>
      <c r="E10" s="57"/>
      <c r="F10" s="40"/>
      <c r="G10" s="266">
        <v>2.2800240000000001</v>
      </c>
      <c r="H10" s="40"/>
      <c r="I10" s="266">
        <v>2.2800240000000001</v>
      </c>
    </row>
    <row r="11" spans="1:9">
      <c r="A11" s="166"/>
      <c r="B11" s="57"/>
      <c r="C11" s="57"/>
      <c r="D11" s="57"/>
      <c r="E11" s="57"/>
      <c r="F11" s="40"/>
      <c r="G11" s="266"/>
      <c r="H11" s="40"/>
      <c r="I11" s="266"/>
    </row>
    <row r="12" spans="1:9" ht="13.5" thickBot="1">
      <c r="A12" s="166" t="s">
        <v>459</v>
      </c>
      <c r="B12" s="57"/>
      <c r="C12" s="57"/>
      <c r="D12" s="57"/>
      <c r="E12" s="57"/>
      <c r="F12" s="40"/>
      <c r="G12" s="80">
        <f>G10/(1+0.2)</f>
        <v>1.90002</v>
      </c>
      <c r="H12" s="40"/>
      <c r="I12" s="80">
        <f>I10/(1+0.2)</f>
        <v>1.90002</v>
      </c>
    </row>
    <row r="13" spans="1:9" ht="13.5" thickTop="1">
      <c r="A13" s="166"/>
      <c r="B13" s="57"/>
      <c r="C13" s="57"/>
      <c r="D13" s="57"/>
      <c r="E13" s="57"/>
      <c r="F13" s="40"/>
      <c r="G13" s="266"/>
      <c r="H13" s="40"/>
      <c r="I13" s="266"/>
    </row>
    <row r="14" spans="1:9">
      <c r="A14" s="166" t="s">
        <v>456</v>
      </c>
      <c r="B14" s="57"/>
      <c r="C14" s="57"/>
      <c r="D14" s="57"/>
      <c r="E14" s="57"/>
      <c r="F14" s="40"/>
      <c r="G14" s="267">
        <v>22</v>
      </c>
      <c r="H14" s="270"/>
      <c r="I14" s="267">
        <v>22</v>
      </c>
    </row>
    <row r="15" spans="1:9">
      <c r="A15" s="166"/>
      <c r="B15" s="57"/>
      <c r="C15" s="57"/>
      <c r="D15" s="57"/>
      <c r="E15" s="57"/>
      <c r="F15" s="40"/>
      <c r="G15" s="266"/>
      <c r="H15" s="40"/>
      <c r="I15" s="266"/>
    </row>
    <row r="16" spans="1:9">
      <c r="A16" s="166" t="s">
        <v>457</v>
      </c>
      <c r="B16" s="57"/>
      <c r="C16" s="57"/>
      <c r="D16" s="57"/>
      <c r="E16" s="57"/>
      <c r="F16" s="40"/>
      <c r="G16" s="266">
        <f>G12*G14</f>
        <v>41.800440000000002</v>
      </c>
      <c r="H16" s="40"/>
      <c r="I16" s="266">
        <f>I12*I14</f>
        <v>41.800440000000002</v>
      </c>
    </row>
    <row r="17" spans="1:9">
      <c r="A17" s="166"/>
      <c r="B17" s="57"/>
      <c r="C17" s="57"/>
      <c r="D17" s="57"/>
      <c r="E17" s="57"/>
      <c r="F17" s="40"/>
      <c r="G17" s="266"/>
      <c r="H17" s="40"/>
      <c r="I17" s="266"/>
    </row>
    <row r="18" spans="1:9">
      <c r="A18" s="166" t="s">
        <v>525</v>
      </c>
      <c r="B18" s="57"/>
      <c r="C18" s="57"/>
      <c r="D18" s="57"/>
      <c r="E18" s="57"/>
      <c r="F18" s="40"/>
      <c r="G18" s="267">
        <v>35</v>
      </c>
      <c r="H18" s="271"/>
      <c r="I18" s="267">
        <v>35</v>
      </c>
    </row>
    <row r="19" spans="1:9">
      <c r="A19" s="166"/>
      <c r="B19" s="57"/>
      <c r="C19" s="57"/>
      <c r="D19" s="57"/>
      <c r="E19" s="57"/>
      <c r="F19" s="40"/>
      <c r="G19" s="266"/>
      <c r="H19" s="40"/>
      <c r="I19" s="266"/>
    </row>
    <row r="20" spans="1:9" ht="13.5" thickBot="1">
      <c r="A20" s="166" t="s">
        <v>458</v>
      </c>
      <c r="B20" s="57"/>
      <c r="C20" s="57"/>
      <c r="D20" s="57"/>
      <c r="E20" s="57"/>
      <c r="F20" s="40"/>
      <c r="G20" s="230">
        <f>G16/G18</f>
        <v>1.1942982857142859</v>
      </c>
      <c r="H20" s="40"/>
      <c r="I20" s="230">
        <f>I16/I18</f>
        <v>1.1942982857142859</v>
      </c>
    </row>
    <row r="21" spans="1:9" ht="13.5" thickTop="1">
      <c r="A21" s="166"/>
      <c r="B21" s="57"/>
      <c r="C21" s="57"/>
      <c r="D21" s="57"/>
      <c r="E21" s="57"/>
      <c r="F21" s="40"/>
      <c r="G21" s="266"/>
      <c r="H21" s="40"/>
      <c r="I21" s="266"/>
    </row>
    <row r="22" spans="1:9">
      <c r="A22" s="152" t="s">
        <v>460</v>
      </c>
      <c r="B22" s="41"/>
      <c r="C22" s="41"/>
      <c r="D22" s="41"/>
      <c r="E22" s="41"/>
      <c r="F22" s="41"/>
      <c r="G22" s="50">
        <f>G20-G12</f>
        <v>-0.70572171428571417</v>
      </c>
      <c r="H22" s="41"/>
      <c r="I22" s="50">
        <f>I20-I12</f>
        <v>-0.70572171428571417</v>
      </c>
    </row>
    <row r="23" spans="1:9">
      <c r="A23" s="29"/>
      <c r="B23" s="42"/>
      <c r="C23" s="42"/>
      <c r="D23" s="42"/>
      <c r="E23" s="42"/>
      <c r="F23" s="42"/>
      <c r="G23" s="42"/>
      <c r="H23" s="42"/>
      <c r="I23" s="42"/>
    </row>
    <row r="24" spans="1:9">
      <c r="A24" s="152" t="s">
        <v>438</v>
      </c>
      <c r="B24" s="41"/>
      <c r="C24" s="41"/>
      <c r="D24" s="41"/>
      <c r="E24" s="41"/>
      <c r="F24" s="41"/>
      <c r="G24" s="268">
        <v>0.95059499999999997</v>
      </c>
      <c r="H24" s="41"/>
      <c r="I24" s="268">
        <v>0.95128400000000002</v>
      </c>
    </row>
    <row r="25" spans="1:9">
      <c r="A25" s="29"/>
      <c r="B25" s="42"/>
      <c r="C25" s="42"/>
      <c r="D25" s="42"/>
      <c r="E25" s="42"/>
      <c r="F25" s="42"/>
      <c r="G25" s="42"/>
      <c r="H25" s="42"/>
      <c r="I25" s="42"/>
    </row>
    <row r="26" spans="1:9" ht="13.5" thickBot="1">
      <c r="A26" s="152" t="s">
        <v>461</v>
      </c>
      <c r="B26" s="42"/>
      <c r="C26" s="42"/>
      <c r="D26" s="42"/>
      <c r="E26" s="42"/>
      <c r="F26" s="42"/>
      <c r="G26" s="263">
        <f>G22*G24</f>
        <v>-0.67085553299142842</v>
      </c>
      <c r="H26" s="42"/>
      <c r="I26" s="263">
        <f>I22*I24</f>
        <v>-0.67134177525257133</v>
      </c>
    </row>
    <row r="27" spans="1:9" ht="13.5" thickTop="1">
      <c r="A27" s="152"/>
      <c r="B27" s="42"/>
      <c r="C27" s="42"/>
      <c r="D27" s="42"/>
      <c r="E27" s="42"/>
      <c r="F27" s="42"/>
      <c r="G27" s="46"/>
      <c r="H27" s="42"/>
      <c r="I27" s="46"/>
    </row>
    <row r="28" spans="1:9">
      <c r="A28" s="152"/>
      <c r="B28" s="42"/>
      <c r="C28" s="42"/>
      <c r="D28" s="42"/>
      <c r="E28" s="42"/>
      <c r="F28" s="42"/>
      <c r="G28" s="46"/>
      <c r="H28" s="42"/>
      <c r="I28" s="46"/>
    </row>
    <row r="29" spans="1:9">
      <c r="A29" s="272" t="s">
        <v>462</v>
      </c>
      <c r="B29" s="39"/>
      <c r="C29" s="39"/>
      <c r="D29" s="39"/>
      <c r="E29" s="39"/>
      <c r="F29" s="39"/>
      <c r="G29" s="39"/>
      <c r="H29" s="39"/>
      <c r="I29" s="39"/>
    </row>
    <row r="30" spans="1:9">
      <c r="A30" s="166" t="s">
        <v>454</v>
      </c>
      <c r="B30" s="57"/>
      <c r="C30" s="57"/>
      <c r="D30" s="57"/>
      <c r="E30" s="57"/>
      <c r="F30" s="40"/>
      <c r="G30" s="266">
        <v>0.93951600000000002</v>
      </c>
      <c r="H30" s="40"/>
      <c r="I30" s="266">
        <v>0.93951600000000002</v>
      </c>
    </row>
    <row r="31" spans="1:9">
      <c r="A31" s="166"/>
      <c r="B31" s="57"/>
      <c r="C31" s="57"/>
      <c r="D31" s="57"/>
      <c r="E31" s="57"/>
      <c r="F31" s="40"/>
      <c r="G31" s="266"/>
      <c r="H31" s="40"/>
      <c r="I31" s="266"/>
    </row>
    <row r="32" spans="1:9" ht="13.5" thickBot="1">
      <c r="A32" s="166" t="s">
        <v>459</v>
      </c>
      <c r="B32" s="57"/>
      <c r="C32" s="57"/>
      <c r="D32" s="57"/>
      <c r="E32" s="57"/>
      <c r="F32" s="40"/>
      <c r="G32" s="80">
        <f>G30/(1+0.2)</f>
        <v>0.78293000000000001</v>
      </c>
      <c r="H32" s="40"/>
      <c r="I32" s="80">
        <f>I30/(1+0.2)</f>
        <v>0.78293000000000001</v>
      </c>
    </row>
    <row r="33" spans="1:9" ht="13.5" thickTop="1">
      <c r="A33" s="166"/>
      <c r="B33" s="57"/>
      <c r="C33" s="57"/>
      <c r="D33" s="57"/>
      <c r="E33" s="57"/>
      <c r="F33" s="40"/>
      <c r="G33" s="266"/>
      <c r="H33" s="40"/>
      <c r="I33" s="266"/>
    </row>
    <row r="34" spans="1:9">
      <c r="A34" s="166" t="s">
        <v>456</v>
      </c>
      <c r="B34" s="57"/>
      <c r="C34" s="57"/>
      <c r="D34" s="57"/>
      <c r="E34" s="57"/>
      <c r="F34" s="40"/>
      <c r="G34" s="267">
        <v>22</v>
      </c>
      <c r="H34" s="270"/>
      <c r="I34" s="267">
        <v>22</v>
      </c>
    </row>
    <row r="35" spans="1:9">
      <c r="A35" s="166"/>
      <c r="B35" s="57"/>
      <c r="C35" s="57"/>
      <c r="D35" s="57"/>
      <c r="E35" s="57"/>
      <c r="F35" s="40"/>
      <c r="G35" s="266"/>
      <c r="H35" s="40"/>
      <c r="I35" s="266"/>
    </row>
    <row r="36" spans="1:9">
      <c r="A36" s="166" t="s">
        <v>457</v>
      </c>
      <c r="B36" s="57"/>
      <c r="C36" s="57"/>
      <c r="D36" s="57"/>
      <c r="E36" s="57"/>
      <c r="F36" s="40"/>
      <c r="G36" s="266">
        <f>G32*G34</f>
        <v>17.224460000000001</v>
      </c>
      <c r="H36" s="40"/>
      <c r="I36" s="266">
        <f>I32*I34</f>
        <v>17.224460000000001</v>
      </c>
    </row>
    <row r="37" spans="1:9">
      <c r="A37" s="166"/>
      <c r="B37" s="57"/>
      <c r="C37" s="57"/>
      <c r="D37" s="57"/>
      <c r="E37" s="57"/>
      <c r="F37" s="40"/>
      <c r="G37" s="266"/>
      <c r="H37" s="40"/>
      <c r="I37" s="266"/>
    </row>
    <row r="38" spans="1:9">
      <c r="A38" s="166" t="s">
        <v>526</v>
      </c>
      <c r="B38" s="57"/>
      <c r="C38" s="57"/>
      <c r="D38" s="57"/>
      <c r="E38" s="57"/>
      <c r="F38" s="40"/>
      <c r="G38" s="267">
        <v>36</v>
      </c>
      <c r="H38" s="271"/>
      <c r="I38" s="267">
        <v>36</v>
      </c>
    </row>
    <row r="39" spans="1:9">
      <c r="A39" s="166"/>
      <c r="B39" s="57"/>
      <c r="C39" s="57"/>
      <c r="D39" s="57"/>
      <c r="E39" s="57"/>
      <c r="F39" s="40"/>
      <c r="G39" s="266"/>
      <c r="H39" s="40"/>
      <c r="I39" s="266"/>
    </row>
    <row r="40" spans="1:9" ht="13.5" thickBot="1">
      <c r="A40" s="166" t="s">
        <v>458</v>
      </c>
      <c r="B40" s="57"/>
      <c r="C40" s="57"/>
      <c r="D40" s="57"/>
      <c r="E40" s="57"/>
      <c r="F40" s="40"/>
      <c r="G40" s="230">
        <f>G36/G38</f>
        <v>0.47845722222222226</v>
      </c>
      <c r="H40" s="40"/>
      <c r="I40" s="230">
        <f>I36/I38</f>
        <v>0.47845722222222226</v>
      </c>
    </row>
    <row r="41" spans="1:9" ht="13.5" thickTop="1">
      <c r="A41" s="166"/>
      <c r="B41" s="57"/>
      <c r="C41" s="57"/>
      <c r="D41" s="57"/>
      <c r="E41" s="57"/>
      <c r="F41" s="40"/>
      <c r="G41" s="266"/>
      <c r="H41" s="40"/>
      <c r="I41" s="266"/>
    </row>
    <row r="42" spans="1:9">
      <c r="A42" s="152" t="s">
        <v>460</v>
      </c>
      <c r="B42" s="41"/>
      <c r="C42" s="41"/>
      <c r="D42" s="41"/>
      <c r="E42" s="41"/>
      <c r="F42" s="41"/>
      <c r="G42" s="50">
        <f>G40-G32</f>
        <v>-0.30447277777777776</v>
      </c>
      <c r="H42" s="41"/>
      <c r="I42" s="50">
        <f>I40-I32</f>
        <v>-0.30447277777777776</v>
      </c>
    </row>
    <row r="43" spans="1:9">
      <c r="A43" s="29"/>
      <c r="B43" s="42"/>
      <c r="C43" s="42"/>
      <c r="D43" s="42"/>
      <c r="E43" s="42"/>
      <c r="F43" s="42"/>
      <c r="G43" s="42"/>
      <c r="H43" s="42"/>
      <c r="I43" s="42"/>
    </row>
    <row r="44" spans="1:9">
      <c r="A44" s="152" t="s">
        <v>438</v>
      </c>
      <c r="B44" s="41"/>
      <c r="C44" s="41"/>
      <c r="D44" s="41"/>
      <c r="E44" s="41"/>
      <c r="F44" s="41"/>
      <c r="G44" s="268">
        <v>0.95059499999999997</v>
      </c>
      <c r="H44" s="41"/>
      <c r="I44" s="268">
        <v>0.95128400000000002</v>
      </c>
    </row>
    <row r="45" spans="1:9">
      <c r="A45" s="29"/>
      <c r="B45" s="42"/>
      <c r="C45" s="42"/>
      <c r="D45" s="42"/>
      <c r="E45" s="42"/>
      <c r="F45" s="42"/>
      <c r="G45" s="42"/>
      <c r="H45" s="42"/>
      <c r="I45" s="42"/>
    </row>
    <row r="46" spans="1:9" ht="13.5" thickBot="1">
      <c r="A46" s="152" t="s">
        <v>461</v>
      </c>
      <c r="B46" s="42"/>
      <c r="C46" s="42"/>
      <c r="D46" s="42"/>
      <c r="E46" s="42"/>
      <c r="F46" s="42"/>
      <c r="G46" s="263">
        <f>G42*G44</f>
        <v>-0.28943030019166666</v>
      </c>
      <c r="H46" s="42"/>
      <c r="I46" s="263">
        <f>I42*I44</f>
        <v>-0.28964008193555552</v>
      </c>
    </row>
    <row r="47" spans="1:9" ht="13.5" thickTop="1">
      <c r="A47" s="152"/>
      <c r="B47" s="42"/>
      <c r="C47" s="42"/>
      <c r="D47" s="42"/>
      <c r="E47" s="42"/>
      <c r="F47" s="42"/>
      <c r="G47" s="46"/>
      <c r="H47" s="42"/>
      <c r="I47" s="46"/>
    </row>
    <row r="48" spans="1:9" ht="13.5" thickBot="1">
      <c r="A48" s="152" t="s">
        <v>465</v>
      </c>
      <c r="B48" s="42"/>
      <c r="C48" s="42"/>
      <c r="D48" s="42"/>
      <c r="E48" s="42"/>
      <c r="F48" s="42"/>
      <c r="G48" s="263">
        <f>G26+G46</f>
        <v>-0.96028583318309502</v>
      </c>
      <c r="H48" s="42"/>
      <c r="I48" s="263">
        <f>I26+I46</f>
        <v>-0.96098185718812679</v>
      </c>
    </row>
    <row r="49" spans="1:14" ht="13.5" thickTop="1">
      <c r="B49" s="26"/>
      <c r="C49" s="26"/>
      <c r="D49" s="26"/>
      <c r="E49" s="26"/>
      <c r="F49" s="26"/>
      <c r="G49" s="26"/>
      <c r="H49" s="26"/>
      <c r="I49" s="26"/>
    </row>
    <row r="50" spans="1:14">
      <c r="B50" s="26"/>
      <c r="C50" s="26"/>
      <c r="D50" s="26"/>
      <c r="E50" s="26"/>
      <c r="F50" s="26"/>
      <c r="G50" s="26"/>
      <c r="H50" s="26"/>
      <c r="I50" s="26"/>
    </row>
    <row r="51" spans="1:14">
      <c r="A51" s="53" t="s">
        <v>585</v>
      </c>
      <c r="B51" s="26"/>
      <c r="C51" s="26"/>
      <c r="D51" s="26"/>
      <c r="E51" s="26"/>
      <c r="F51" s="26"/>
      <c r="G51" s="26"/>
      <c r="H51" s="26"/>
      <c r="I51" s="26"/>
    </row>
    <row r="52" spans="1:14">
      <c r="A52" s="166" t="s">
        <v>379</v>
      </c>
      <c r="B52" s="39"/>
      <c r="C52" s="39"/>
      <c r="D52" s="39"/>
      <c r="E52" s="39"/>
      <c r="F52" s="39"/>
      <c r="G52" s="264">
        <f>(-G26+-G46)/2</f>
        <v>0.48014291659154751</v>
      </c>
      <c r="H52" s="39"/>
      <c r="I52" s="264">
        <f>(-G26-G46)+((-I26+-I46)/2)</f>
        <v>1.4407767617771583</v>
      </c>
      <c r="J52" s="39"/>
      <c r="K52" s="93"/>
      <c r="L52" s="40"/>
      <c r="M52" s="93"/>
      <c r="N52" s="26"/>
    </row>
    <row r="53" spans="1:14">
      <c r="A53" s="2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26"/>
    </row>
    <row r="54" spans="1:14">
      <c r="A54" s="41" t="s">
        <v>55</v>
      </c>
      <c r="B54" s="41"/>
      <c r="C54" s="41"/>
      <c r="D54" s="41"/>
      <c r="E54" s="41"/>
      <c r="F54" s="41"/>
      <c r="G54" s="51">
        <f>'Exh. LK-28'!J19</f>
        <v>9.8804316192411479E-2</v>
      </c>
      <c r="H54" s="41"/>
      <c r="I54" s="51">
        <f>'Exh. LK-29'!J19</f>
        <v>9.9784915778226832E-2</v>
      </c>
      <c r="J54" s="41"/>
      <c r="K54" s="48"/>
      <c r="L54" s="41"/>
      <c r="M54" s="48"/>
      <c r="N54" s="26"/>
    </row>
    <row r="55" spans="1:14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26"/>
    </row>
    <row r="56" spans="1:14" ht="13.5" thickBot="1">
      <c r="A56" s="167" t="s">
        <v>377</v>
      </c>
      <c r="B56" s="167"/>
      <c r="C56" s="167"/>
      <c r="D56" s="167"/>
      <c r="E56" s="167"/>
      <c r="F56" s="167"/>
      <c r="G56" s="265">
        <f>G52*G54</f>
        <v>4.744019254845791E-2</v>
      </c>
      <c r="H56" s="236"/>
      <c r="I56" s="265">
        <f>I52*I54</f>
        <v>0.14376778782916014</v>
      </c>
      <c r="J56" s="167"/>
      <c r="K56" s="44"/>
      <c r="L56" s="41"/>
      <c r="M56" s="44"/>
      <c r="N56" s="26"/>
    </row>
    <row r="57" spans="1:14" ht="13.5" thickTop="1">
      <c r="A57" s="167"/>
      <c r="B57" s="167"/>
      <c r="C57" s="167"/>
      <c r="D57" s="167"/>
      <c r="E57" s="167"/>
      <c r="F57" s="167"/>
      <c r="G57" s="167"/>
      <c r="H57" s="167"/>
      <c r="I57" s="167"/>
      <c r="J57" s="167"/>
      <c r="K57" s="44"/>
      <c r="L57" s="41"/>
      <c r="M57" s="44"/>
      <c r="N57" s="26"/>
    </row>
    <row r="58" spans="1:14">
      <c r="A58" s="167"/>
      <c r="B58" s="167"/>
      <c r="C58" s="167"/>
      <c r="D58" s="167"/>
      <c r="E58" s="167"/>
      <c r="F58" s="167"/>
      <c r="G58" s="167"/>
      <c r="H58" s="167"/>
      <c r="I58" s="167"/>
      <c r="J58" s="167"/>
      <c r="K58" s="44"/>
      <c r="L58" s="41"/>
      <c r="M58" s="44"/>
    </row>
    <row r="59" spans="1:14">
      <c r="A59" s="158" t="s">
        <v>59</v>
      </c>
      <c r="E59" s="191">
        <f>'ADIT Changes - Cap Struct'!C24</f>
        <v>0.38574999999999998</v>
      </c>
      <c r="G59" s="196">
        <f>G56*-E59</f>
        <v>-1.8300054275567638E-2</v>
      </c>
      <c r="I59" s="196">
        <f>I56*-E59</f>
        <v>-5.5458424155098524E-2</v>
      </c>
    </row>
    <row r="61" spans="1:14" ht="13.5" thickBot="1">
      <c r="A61" s="158" t="s">
        <v>447</v>
      </c>
      <c r="G61" s="209">
        <f>G26+G56+G59</f>
        <v>-0.64171539471853822</v>
      </c>
      <c r="H61" s="204"/>
      <c r="I61" s="209">
        <f>I26+I56+I59</f>
        <v>-0.58303241157850971</v>
      </c>
      <c r="J61" s="204"/>
    </row>
    <row r="62" spans="1:14" ht="13.5" thickTop="1">
      <c r="G62" s="204"/>
      <c r="H62" s="204"/>
      <c r="I62" s="204"/>
      <c r="J62" s="204"/>
    </row>
  </sheetData>
  <mergeCells count="5">
    <mergeCell ref="A1:I1"/>
    <mergeCell ref="A2:I2"/>
    <mergeCell ref="A3:I3"/>
    <mergeCell ref="A4:I4"/>
    <mergeCell ref="A5:I5"/>
  </mergeCells>
  <pageMargins left="0.39" right="0.25" top="1" bottom="1" header="0.5" footer="0.5"/>
  <pageSetup orientation="portrait" r:id="rId1"/>
  <headerFooter alignWithMargins="0">
    <oddHeader>&amp;R&amp;8Docket No. 160021-EI, &amp;"Arial,Italic"et al&amp;"Arial,Regular".
FPL POD No. 5
Attachment A
Page &amp;P of &amp;N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view="pageLayout" zoomScaleNormal="100" workbookViewId="0">
      <selection activeCell="G9" sqref="G9"/>
    </sheetView>
  </sheetViews>
  <sheetFormatPr defaultRowHeight="12.75"/>
  <cols>
    <col min="1" max="1" width="8.85546875" customWidth="1"/>
    <col min="2" max="5" width="11.7109375" customWidth="1"/>
    <col min="6" max="6" width="5" customWidth="1"/>
    <col min="7" max="7" width="3.140625" customWidth="1"/>
    <col min="8" max="8" width="12.28515625" customWidth="1"/>
    <col min="9" max="9" width="3.140625" customWidth="1"/>
    <col min="10" max="10" width="12.28515625" customWidth="1"/>
  </cols>
  <sheetData>
    <row r="1" spans="1:10">
      <c r="A1" s="374" t="s">
        <v>33</v>
      </c>
      <c r="B1" s="374"/>
      <c r="C1" s="374"/>
      <c r="D1" s="374"/>
      <c r="E1" s="374"/>
      <c r="F1" s="374"/>
      <c r="G1" s="374"/>
      <c r="H1" s="374"/>
      <c r="I1" s="374"/>
      <c r="J1" s="374"/>
    </row>
    <row r="2" spans="1:10">
      <c r="A2" s="375" t="s">
        <v>434</v>
      </c>
      <c r="B2" s="374"/>
      <c r="C2" s="374"/>
      <c r="D2" s="374"/>
      <c r="E2" s="374"/>
      <c r="F2" s="374"/>
      <c r="G2" s="374"/>
      <c r="H2" s="374"/>
      <c r="I2" s="374"/>
      <c r="J2" s="374"/>
    </row>
    <row r="3" spans="1:10">
      <c r="A3" s="375" t="s">
        <v>65</v>
      </c>
      <c r="B3" s="375"/>
      <c r="C3" s="375"/>
      <c r="D3" s="375"/>
      <c r="E3" s="375"/>
      <c r="F3" s="375"/>
      <c r="G3" s="375"/>
      <c r="H3" s="375"/>
      <c r="I3" s="375"/>
      <c r="J3" s="375"/>
    </row>
    <row r="4" spans="1:10">
      <c r="A4" s="375" t="s">
        <v>66</v>
      </c>
      <c r="B4" s="374"/>
      <c r="C4" s="374"/>
      <c r="D4" s="374"/>
      <c r="E4" s="374"/>
      <c r="F4" s="374"/>
      <c r="G4" s="374"/>
      <c r="H4" s="374"/>
      <c r="I4" s="374"/>
      <c r="J4" s="374"/>
    </row>
    <row r="5" spans="1:10">
      <c r="A5" s="374" t="s">
        <v>19</v>
      </c>
      <c r="B5" s="374"/>
      <c r="C5" s="374"/>
      <c r="D5" s="374"/>
      <c r="E5" s="374"/>
      <c r="F5" s="374"/>
      <c r="G5" s="374"/>
      <c r="H5" s="374"/>
      <c r="I5" s="374"/>
      <c r="J5" s="374"/>
    </row>
    <row r="6" spans="1:10">
      <c r="A6" s="163"/>
      <c r="B6" s="163"/>
      <c r="C6" s="163"/>
      <c r="D6" s="163"/>
      <c r="E6" s="163"/>
      <c r="F6" s="163"/>
      <c r="G6" s="163"/>
      <c r="H6" s="163"/>
      <c r="I6" s="163"/>
      <c r="J6" s="163"/>
    </row>
    <row r="7" spans="1:10">
      <c r="A7" s="166" t="s">
        <v>440</v>
      </c>
      <c r="B7" s="39"/>
      <c r="C7" s="39"/>
      <c r="D7" s="39"/>
      <c r="E7" s="39"/>
      <c r="F7" s="39"/>
      <c r="G7" s="39"/>
      <c r="H7" s="39"/>
      <c r="I7" s="39"/>
      <c r="J7" s="39"/>
    </row>
    <row r="8" spans="1:10">
      <c r="A8" s="38"/>
      <c r="B8" s="39"/>
      <c r="C8" s="39"/>
      <c r="D8" s="39"/>
      <c r="E8" s="39"/>
      <c r="F8" s="39"/>
      <c r="G8" s="39"/>
      <c r="H8" s="60">
        <v>2017</v>
      </c>
      <c r="I8" s="39"/>
      <c r="J8" s="60">
        <v>2018</v>
      </c>
    </row>
    <row r="9" spans="1:10">
      <c r="A9" s="38"/>
      <c r="B9" s="39"/>
      <c r="C9" s="39"/>
      <c r="D9" s="39"/>
      <c r="E9" s="39"/>
      <c r="F9" s="39"/>
      <c r="G9" s="39"/>
      <c r="H9" s="39"/>
      <c r="I9" s="39"/>
      <c r="J9" s="39"/>
    </row>
    <row r="10" spans="1:10">
      <c r="A10" s="166" t="s">
        <v>435</v>
      </c>
      <c r="B10" s="57"/>
      <c r="C10" s="57"/>
      <c r="D10" s="57"/>
      <c r="E10" s="57"/>
      <c r="F10" s="57"/>
      <c r="G10" s="40"/>
      <c r="H10" s="266">
        <v>158.43468300000001</v>
      </c>
      <c r="I10" s="40"/>
      <c r="J10" s="266">
        <v>158.43468300000001</v>
      </c>
    </row>
    <row r="11" spans="1:10">
      <c r="A11" s="166"/>
      <c r="B11" s="57"/>
      <c r="C11" s="57"/>
      <c r="D11" s="57"/>
      <c r="E11" s="57"/>
      <c r="F11" s="57"/>
      <c r="G11" s="40"/>
      <c r="H11" s="266"/>
      <c r="I11" s="40"/>
      <c r="J11" s="266"/>
    </row>
    <row r="12" spans="1:10">
      <c r="A12" s="166" t="s">
        <v>437</v>
      </c>
      <c r="B12" s="57"/>
      <c r="C12" s="57"/>
      <c r="D12" s="57"/>
      <c r="E12" s="57"/>
      <c r="F12" s="57"/>
      <c r="G12" s="40"/>
      <c r="H12" s="267">
        <v>4</v>
      </c>
      <c r="I12" s="40"/>
      <c r="J12" s="267">
        <v>4</v>
      </c>
    </row>
    <row r="13" spans="1:10">
      <c r="A13" s="12"/>
      <c r="B13" s="41"/>
      <c r="C13" s="41"/>
      <c r="D13" s="41"/>
      <c r="E13" s="41"/>
      <c r="F13" s="41"/>
      <c r="G13" s="41"/>
      <c r="H13" s="59"/>
      <c r="I13" s="41"/>
      <c r="J13" s="59"/>
    </row>
    <row r="14" spans="1:10">
      <c r="A14" s="166" t="s">
        <v>436</v>
      </c>
      <c r="B14" s="41"/>
      <c r="C14" s="41"/>
      <c r="D14" s="41"/>
      <c r="E14" s="41"/>
      <c r="F14" s="41"/>
      <c r="G14" s="41"/>
      <c r="H14" s="59">
        <f>H10/H12</f>
        <v>39.608670750000002</v>
      </c>
      <c r="I14" s="41"/>
      <c r="J14" s="59">
        <f>J10/J12</f>
        <v>39.608670750000002</v>
      </c>
    </row>
    <row r="15" spans="1:10">
      <c r="A15" s="38"/>
      <c r="B15" s="41"/>
      <c r="C15" s="41"/>
      <c r="D15" s="41"/>
      <c r="E15" s="41"/>
      <c r="F15" s="41"/>
      <c r="G15" s="41"/>
      <c r="H15" s="59"/>
      <c r="I15" s="41"/>
      <c r="J15" s="59"/>
    </row>
    <row r="16" spans="1:10">
      <c r="A16" s="152" t="s">
        <v>438</v>
      </c>
      <c r="B16" s="41"/>
      <c r="C16" s="41"/>
      <c r="D16" s="41"/>
      <c r="E16" s="41"/>
      <c r="F16" s="41"/>
      <c r="G16" s="41"/>
      <c r="H16" s="268">
        <v>0.94858299999999995</v>
      </c>
      <c r="I16" s="41"/>
      <c r="J16" s="268">
        <v>0.94932000000000005</v>
      </c>
    </row>
    <row r="17" spans="1:10">
      <c r="A17" s="29"/>
      <c r="B17" s="42"/>
      <c r="C17" s="42"/>
      <c r="D17" s="42"/>
      <c r="E17" s="42"/>
      <c r="F17" s="42"/>
      <c r="G17" s="42"/>
      <c r="H17" s="42"/>
      <c r="I17" s="42"/>
      <c r="J17" s="42"/>
    </row>
    <row r="18" spans="1:10" ht="13.5" thickBot="1">
      <c r="A18" s="152" t="s">
        <v>439</v>
      </c>
      <c r="B18" s="42"/>
      <c r="C18" s="42"/>
      <c r="D18" s="42"/>
      <c r="E18" s="42"/>
      <c r="F18" s="42"/>
      <c r="G18" s="42"/>
      <c r="H18" s="263">
        <f>H14*H16</f>
        <v>37.572111726047247</v>
      </c>
      <c r="I18" s="42"/>
      <c r="J18" s="263">
        <f>J14*J16</f>
        <v>37.601303316390002</v>
      </c>
    </row>
    <row r="19" spans="1:10" ht="13.5" thickTop="1">
      <c r="A19" s="29"/>
      <c r="B19" s="42"/>
      <c r="C19" s="42"/>
      <c r="D19" s="42"/>
      <c r="E19" s="42"/>
      <c r="F19" s="42"/>
      <c r="G19" s="42"/>
      <c r="H19" s="42"/>
      <c r="I19" s="42"/>
      <c r="J19" s="42"/>
    </row>
    <row r="20" spans="1:10">
      <c r="A20" s="29"/>
      <c r="B20" s="42"/>
      <c r="C20" s="42"/>
      <c r="D20" s="42"/>
      <c r="E20" s="42"/>
      <c r="F20" s="42"/>
      <c r="G20" s="42"/>
      <c r="H20" s="42"/>
      <c r="I20" s="42"/>
      <c r="J20" s="42"/>
    </row>
    <row r="21" spans="1:10">
      <c r="A21" s="29"/>
      <c r="B21" s="42"/>
      <c r="C21" s="42"/>
      <c r="D21" s="42"/>
      <c r="E21" s="42"/>
      <c r="F21" s="42"/>
      <c r="G21" s="42"/>
      <c r="H21" s="42"/>
      <c r="I21" s="42"/>
      <c r="J21" s="42"/>
    </row>
    <row r="22" spans="1:10">
      <c r="A22" s="166" t="s">
        <v>435</v>
      </c>
      <c r="B22" s="57"/>
      <c r="C22" s="57"/>
      <c r="D22" s="57"/>
      <c r="E22" s="57"/>
      <c r="F22" s="57"/>
      <c r="G22" s="40"/>
      <c r="H22" s="266">
        <v>158.43468300000001</v>
      </c>
      <c r="I22" s="40"/>
      <c r="J22" s="266">
        <v>158.43468300000001</v>
      </c>
    </row>
    <row r="23" spans="1:10">
      <c r="A23" s="166"/>
      <c r="B23" s="57"/>
      <c r="C23" s="57"/>
      <c r="D23" s="57"/>
      <c r="E23" s="57"/>
      <c r="F23" s="57"/>
      <c r="G23" s="40"/>
      <c r="H23" s="266"/>
      <c r="I23" s="40"/>
      <c r="J23" s="266"/>
    </row>
    <row r="24" spans="1:10">
      <c r="A24" s="166" t="s">
        <v>441</v>
      </c>
      <c r="B24" s="57"/>
      <c r="C24" s="57"/>
      <c r="D24" s="57"/>
      <c r="E24" s="57"/>
      <c r="F24" s="57"/>
      <c r="G24" s="40"/>
      <c r="H24" s="267">
        <v>10</v>
      </c>
      <c r="I24" s="40"/>
      <c r="J24" s="267">
        <v>10</v>
      </c>
    </row>
    <row r="25" spans="1:10">
      <c r="A25" s="12"/>
      <c r="B25" s="41"/>
      <c r="C25" s="41"/>
      <c r="D25" s="41"/>
      <c r="E25" s="41"/>
      <c r="F25" s="41"/>
      <c r="G25" s="41"/>
      <c r="H25" s="59"/>
      <c r="I25" s="41"/>
      <c r="J25" s="59"/>
    </row>
    <row r="26" spans="1:10">
      <c r="A26" s="166" t="s">
        <v>442</v>
      </c>
      <c r="B26" s="41"/>
      <c r="C26" s="41"/>
      <c r="D26" s="41"/>
      <c r="E26" s="41"/>
      <c r="F26" s="41"/>
      <c r="G26" s="41"/>
      <c r="H26" s="59">
        <f>H22/H24</f>
        <v>15.843468300000001</v>
      </c>
      <c r="I26" s="41"/>
      <c r="J26" s="59">
        <f>J22/J24</f>
        <v>15.843468300000001</v>
      </c>
    </row>
    <row r="27" spans="1:10">
      <c r="A27" s="38"/>
      <c r="B27" s="41"/>
      <c r="C27" s="41"/>
      <c r="D27" s="41"/>
      <c r="E27" s="41"/>
      <c r="F27" s="41"/>
      <c r="G27" s="41"/>
      <c r="H27" s="59"/>
      <c r="I27" s="41"/>
      <c r="J27" s="59"/>
    </row>
    <row r="28" spans="1:10">
      <c r="A28" s="152" t="s">
        <v>438</v>
      </c>
      <c r="B28" s="41"/>
      <c r="C28" s="41"/>
      <c r="D28" s="41"/>
      <c r="E28" s="41"/>
      <c r="F28" s="41"/>
      <c r="G28" s="41"/>
      <c r="H28" s="268">
        <v>0.94858299999999995</v>
      </c>
      <c r="I28" s="41"/>
      <c r="J28" s="268">
        <v>0.94932000000000005</v>
      </c>
    </row>
    <row r="29" spans="1:10">
      <c r="A29" s="29"/>
      <c r="B29" s="42"/>
      <c r="C29" s="42"/>
      <c r="D29" s="42"/>
      <c r="E29" s="42"/>
      <c r="F29" s="42"/>
      <c r="G29" s="42"/>
      <c r="H29" s="42"/>
      <c r="I29" s="42"/>
      <c r="J29" s="42"/>
    </row>
    <row r="30" spans="1:10" ht="13.5" thickBot="1">
      <c r="A30" s="152" t="s">
        <v>439</v>
      </c>
      <c r="B30" s="42"/>
      <c r="C30" s="42"/>
      <c r="D30" s="42"/>
      <c r="E30" s="42"/>
      <c r="F30" s="42"/>
      <c r="G30" s="42"/>
      <c r="H30" s="263">
        <f>H26*H28</f>
        <v>15.0288446904189</v>
      </c>
      <c r="I30" s="42"/>
      <c r="J30" s="263">
        <f>J26*J28</f>
        <v>15.040521326556002</v>
      </c>
    </row>
    <row r="31" spans="1:10" ht="13.5" thickTop="1">
      <c r="A31" s="29"/>
      <c r="B31" s="42"/>
      <c r="C31" s="42"/>
      <c r="D31" s="42"/>
      <c r="E31" s="42"/>
      <c r="F31" s="42"/>
      <c r="G31" s="42"/>
      <c r="H31" s="42"/>
      <c r="I31" s="42"/>
      <c r="J31" s="42"/>
    </row>
    <row r="32" spans="1:10">
      <c r="B32" s="26"/>
      <c r="C32" s="26"/>
      <c r="D32" s="26"/>
      <c r="E32" s="26"/>
      <c r="F32" s="26"/>
      <c r="G32" s="26"/>
      <c r="H32" s="26"/>
      <c r="I32" s="26"/>
      <c r="J32" s="26"/>
    </row>
    <row r="33" spans="1:15" ht="13.5" thickBot="1">
      <c r="A33" s="158" t="s">
        <v>443</v>
      </c>
      <c r="B33" s="26"/>
      <c r="C33" s="26"/>
      <c r="D33" s="26"/>
      <c r="E33" s="26"/>
      <c r="F33" s="26"/>
      <c r="G33" s="26"/>
      <c r="H33" s="209">
        <f>H30-H18</f>
        <v>-22.543267035628347</v>
      </c>
      <c r="I33" s="26"/>
      <c r="J33" s="209">
        <f>J30-J18</f>
        <v>-22.560781989833998</v>
      </c>
    </row>
    <row r="34" spans="1:15" ht="13.5" thickTop="1">
      <c r="B34" s="26"/>
      <c r="C34" s="26"/>
      <c r="D34" s="26"/>
      <c r="E34" s="26"/>
      <c r="F34" s="26"/>
      <c r="G34" s="26"/>
      <c r="H34" s="26"/>
      <c r="I34" s="26"/>
      <c r="J34" s="26"/>
    </row>
    <row r="35" spans="1:15">
      <c r="B35" s="26"/>
      <c r="C35" s="26"/>
      <c r="D35" s="26"/>
      <c r="E35" s="26"/>
      <c r="F35" s="26"/>
      <c r="G35" s="26"/>
      <c r="H35" s="26"/>
      <c r="I35" s="26"/>
      <c r="J35" s="26"/>
    </row>
    <row r="36" spans="1:15">
      <c r="A36" s="166" t="s">
        <v>379</v>
      </c>
      <c r="B36" s="39"/>
      <c r="C36" s="39"/>
      <c r="D36" s="39"/>
      <c r="E36" s="39"/>
      <c r="F36" s="39"/>
      <c r="G36" s="39"/>
      <c r="H36" s="264">
        <f>-H33/2</f>
        <v>11.271633517814173</v>
      </c>
      <c r="I36" s="39"/>
      <c r="J36" s="229">
        <f>-H33+-(J33/2)</f>
        <v>33.823658030545346</v>
      </c>
      <c r="K36" s="39"/>
      <c r="L36" s="93"/>
      <c r="M36" s="40"/>
      <c r="N36" s="93"/>
      <c r="O36" s="26"/>
    </row>
    <row r="37" spans="1:15">
      <c r="A37" s="2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6"/>
    </row>
    <row r="38" spans="1:15">
      <c r="A38" s="41" t="s">
        <v>55</v>
      </c>
      <c r="B38" s="41"/>
      <c r="C38" s="41"/>
      <c r="D38" s="41"/>
      <c r="E38" s="41"/>
      <c r="F38" s="41"/>
      <c r="G38" s="41"/>
      <c r="H38" s="51">
        <f>'Exh. LK-28'!J19</f>
        <v>9.8804316192411479E-2</v>
      </c>
      <c r="I38" s="41"/>
      <c r="J38" s="51">
        <f>'Exh. LK-29'!J19</f>
        <v>9.9784915778226832E-2</v>
      </c>
      <c r="K38" s="41"/>
      <c r="L38" s="48"/>
      <c r="M38" s="41"/>
      <c r="N38" s="48"/>
      <c r="O38" s="26"/>
    </row>
    <row r="39" spans="1:15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6"/>
    </row>
    <row r="40" spans="1:15" ht="13.5" thickBot="1">
      <c r="A40" s="167" t="s">
        <v>377</v>
      </c>
      <c r="B40" s="167"/>
      <c r="C40" s="167"/>
      <c r="D40" s="167"/>
      <c r="E40" s="167"/>
      <c r="F40" s="167"/>
      <c r="G40" s="167"/>
      <c r="H40" s="265">
        <f>H36*H38</f>
        <v>1.1136860420990948</v>
      </c>
      <c r="I40" s="236"/>
      <c r="J40" s="265">
        <f>J36*J38</f>
        <v>3.3750908678895128</v>
      </c>
      <c r="K40" s="167"/>
      <c r="L40" s="44"/>
      <c r="M40" s="41"/>
      <c r="N40" s="44"/>
      <c r="O40" s="26"/>
    </row>
    <row r="41" spans="1:15" ht="13.5" thickTop="1">
      <c r="A41" s="167"/>
      <c r="B41" s="167"/>
      <c r="C41" s="167"/>
      <c r="D41" s="167"/>
      <c r="E41" s="167"/>
      <c r="F41" s="167"/>
      <c r="G41" s="167"/>
      <c r="H41" s="167"/>
      <c r="I41" s="167"/>
      <c r="J41" s="167"/>
      <c r="K41" s="167"/>
      <c r="L41" s="44"/>
      <c r="M41" s="41"/>
      <c r="N41" s="44"/>
      <c r="O41" s="26"/>
    </row>
    <row r="42" spans="1:15">
      <c r="A42" s="167"/>
      <c r="B42" s="167"/>
      <c r="C42" s="167"/>
      <c r="D42" s="167"/>
      <c r="E42" s="167"/>
      <c r="F42" s="167"/>
      <c r="G42" s="167"/>
      <c r="H42" s="167"/>
      <c r="I42" s="167"/>
      <c r="J42" s="167"/>
      <c r="K42" s="167"/>
      <c r="L42" s="44"/>
      <c r="M42" s="41"/>
      <c r="N42" s="44"/>
    </row>
    <row r="43" spans="1:15">
      <c r="A43" s="158" t="s">
        <v>59</v>
      </c>
      <c r="E43">
        <f>'ADIT Changes - Cap Struct'!C24</f>
        <v>0.38574999999999998</v>
      </c>
      <c r="H43" s="196">
        <f>H40*-E43</f>
        <v>-0.42960439073972578</v>
      </c>
      <c r="J43" s="196">
        <f>J40*-E43</f>
        <v>-1.3019413022883795</v>
      </c>
    </row>
    <row r="45" spans="1:15" ht="13.5" thickBot="1">
      <c r="A45" s="158" t="s">
        <v>447</v>
      </c>
      <c r="H45" s="209">
        <f>H33+H40+H43</f>
        <v>-21.859185384268979</v>
      </c>
      <c r="I45" s="204"/>
      <c r="J45" s="209">
        <f>J33+J40+J43</f>
        <v>-20.487632424232867</v>
      </c>
      <c r="K45" s="204"/>
    </row>
    <row r="46" spans="1:15" ht="13.5" thickTop="1">
      <c r="H46" s="204"/>
      <c r="I46" s="204"/>
      <c r="J46" s="204"/>
      <c r="K46" s="204"/>
    </row>
  </sheetData>
  <mergeCells count="5">
    <mergeCell ref="A1:J1"/>
    <mergeCell ref="A2:J2"/>
    <mergeCell ref="A3:J3"/>
    <mergeCell ref="A4:J4"/>
    <mergeCell ref="A5:J5"/>
  </mergeCells>
  <pageMargins left="0.39" right="0.25" top="1" bottom="1" header="0.5" footer="0.5"/>
  <pageSetup orientation="portrait" r:id="rId1"/>
  <headerFooter alignWithMargins="0">
    <oddHeader>&amp;R&amp;8Docket No. 160021-EI, &amp;"Arial,Italic"et al&amp;"Arial,Regular".
FPL POD No. 5
Attachment A
Page &amp;P of &amp;N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view="pageLayout" zoomScaleNormal="100" workbookViewId="0">
      <selection activeCell="G9" sqref="G9"/>
    </sheetView>
  </sheetViews>
  <sheetFormatPr defaultRowHeight="12.75"/>
  <cols>
    <col min="1" max="1" width="2.7109375" customWidth="1"/>
    <col min="2" max="2" width="76.42578125" customWidth="1"/>
    <col min="3" max="3" width="3.28515625" customWidth="1"/>
    <col min="4" max="4" width="13.42578125" customWidth="1"/>
    <col min="6" max="6" width="18.7109375" bestFit="1" customWidth="1"/>
  </cols>
  <sheetData>
    <row r="1" spans="1:6">
      <c r="A1" s="34" t="s">
        <v>33</v>
      </c>
      <c r="B1" s="9"/>
      <c r="C1" s="9"/>
      <c r="D1" s="9"/>
    </row>
    <row r="2" spans="1:6">
      <c r="A2" s="34" t="s">
        <v>50</v>
      </c>
      <c r="B2" s="9"/>
      <c r="C2" s="9"/>
      <c r="D2" s="9"/>
    </row>
    <row r="3" spans="1:6">
      <c r="A3" s="34" t="s">
        <v>65</v>
      </c>
      <c r="B3" s="9"/>
      <c r="C3" s="9"/>
      <c r="D3" s="9"/>
    </row>
    <row r="4" spans="1:6">
      <c r="A4" s="34" t="s">
        <v>66</v>
      </c>
      <c r="B4" s="9"/>
      <c r="C4" s="9"/>
      <c r="D4" s="9"/>
    </row>
    <row r="5" spans="1:6">
      <c r="A5" s="377" t="s">
        <v>19</v>
      </c>
      <c r="B5" s="377"/>
      <c r="C5" s="377"/>
      <c r="D5" s="377"/>
    </row>
    <row r="6" spans="1:6">
      <c r="A6" s="1"/>
      <c r="B6" s="1"/>
      <c r="C6" s="1"/>
      <c r="D6" s="1"/>
    </row>
    <row r="7" spans="1:6">
      <c r="D7" s="11" t="s">
        <v>15</v>
      </c>
    </row>
    <row r="8" spans="1:6">
      <c r="D8" s="10"/>
    </row>
    <row r="9" spans="1:6">
      <c r="A9" s="4" t="s">
        <v>29</v>
      </c>
      <c r="B9" s="4"/>
      <c r="C9" s="4"/>
      <c r="D9" s="14">
        <v>32536.116000000002</v>
      </c>
    </row>
    <row r="10" spans="1:6">
      <c r="A10" s="4"/>
      <c r="B10" s="4"/>
      <c r="C10" s="4"/>
      <c r="D10" s="15"/>
    </row>
    <row r="11" spans="1:6">
      <c r="A11" s="4" t="s">
        <v>16</v>
      </c>
      <c r="B11" s="4"/>
      <c r="C11" s="4"/>
      <c r="D11" s="16"/>
    </row>
    <row r="12" spans="1:6">
      <c r="A12" s="4"/>
      <c r="B12" s="152" t="s">
        <v>569</v>
      </c>
      <c r="C12" s="12"/>
      <c r="D12" s="285">
        <f>'NFIP in Rate Base'!D14</f>
        <v>-406.62130342</v>
      </c>
      <c r="E12" s="29"/>
    </row>
    <row r="13" spans="1:6">
      <c r="A13" s="4"/>
      <c r="B13" s="152" t="s">
        <v>445</v>
      </c>
      <c r="C13" s="12"/>
      <c r="D13" s="13">
        <f>--97.249</f>
        <v>97.248999999999995</v>
      </c>
      <c r="F13" s="158" t="s">
        <v>421</v>
      </c>
    </row>
    <row r="14" spans="1:6">
      <c r="A14" s="4"/>
      <c r="B14" s="152" t="s">
        <v>466</v>
      </c>
      <c r="C14" s="12"/>
      <c r="D14" s="28">
        <f>'Exh. LK-17'!H25+'Exh. LK-21'!G52</f>
        <v>2.666277411789046</v>
      </c>
      <c r="E14" s="29"/>
    </row>
    <row r="15" spans="1:6">
      <c r="A15" s="4"/>
      <c r="B15" s="152" t="s">
        <v>444</v>
      </c>
      <c r="C15" s="12"/>
      <c r="D15" s="28">
        <f>'Exh. LK-23'!H36</f>
        <v>11.271633517814173</v>
      </c>
      <c r="E15" s="29"/>
    </row>
    <row r="16" spans="1:6">
      <c r="A16" s="4"/>
      <c r="B16" s="158" t="s">
        <v>387</v>
      </c>
      <c r="C16" s="12"/>
      <c r="D16" s="28">
        <f>'Exh. LK-6'!H21</f>
        <v>2.4549145250000013</v>
      </c>
      <c r="E16" s="29"/>
    </row>
    <row r="17" spans="1:12">
      <c r="A17" s="4"/>
      <c r="B17" s="158" t="s">
        <v>417</v>
      </c>
      <c r="C17" s="12"/>
      <c r="D17" s="28">
        <f>'Exh. LK-8'!H28</f>
        <v>20.796584241250009</v>
      </c>
      <c r="E17" s="29"/>
    </row>
    <row r="18" spans="1:12">
      <c r="A18" s="4"/>
      <c r="B18" s="152" t="s">
        <v>324</v>
      </c>
      <c r="C18" s="12"/>
      <c r="D18" s="28">
        <v>-228.51</v>
      </c>
      <c r="E18" s="29"/>
      <c r="F18" t="s">
        <v>386</v>
      </c>
    </row>
    <row r="19" spans="1:12">
      <c r="A19" s="4"/>
      <c r="B19" s="12" t="s">
        <v>51</v>
      </c>
      <c r="C19" s="12"/>
      <c r="D19" s="28">
        <v>-4.3090000000000002</v>
      </c>
      <c r="E19" s="29"/>
      <c r="F19" t="s">
        <v>357</v>
      </c>
    </row>
    <row r="20" spans="1:12">
      <c r="A20" s="4"/>
      <c r="B20" s="152" t="s">
        <v>364</v>
      </c>
      <c r="C20" s="12"/>
      <c r="D20" s="28">
        <f>ROUND((-1333.623+1329.976744)*0.967454,3)</f>
        <v>-3.528</v>
      </c>
      <c r="E20" s="29"/>
      <c r="F20" s="158" t="s">
        <v>358</v>
      </c>
      <c r="I20" s="220"/>
      <c r="J20" s="220"/>
      <c r="L20" s="221" t="s">
        <v>359</v>
      </c>
    </row>
    <row r="21" spans="1:12">
      <c r="A21" s="4"/>
      <c r="B21" s="157" t="s">
        <v>408</v>
      </c>
      <c r="C21" s="4"/>
      <c r="D21" s="13">
        <f>-('Exh. LK-15'!L28)/1000</f>
        <v>-2.1655526377820626</v>
      </c>
      <c r="E21" s="29"/>
    </row>
    <row r="22" spans="1:12">
      <c r="A22" s="4"/>
      <c r="B22" s="4"/>
      <c r="C22" s="4"/>
      <c r="D22" s="13"/>
    </row>
    <row r="23" spans="1:12">
      <c r="A23" s="4" t="s">
        <v>17</v>
      </c>
      <c r="B23" s="4"/>
      <c r="C23" s="4"/>
      <c r="D23" s="22">
        <f>SUM(D11:D21)</f>
        <v>-510.69544636192887</v>
      </c>
    </row>
    <row r="24" spans="1:12">
      <c r="A24" s="4"/>
      <c r="B24" s="4"/>
      <c r="C24" s="4"/>
      <c r="D24" s="15"/>
    </row>
    <row r="25" spans="1:12" ht="13.5" thickBot="1">
      <c r="A25" s="4" t="s">
        <v>18</v>
      </c>
      <c r="B25" s="4"/>
      <c r="C25" s="4"/>
      <c r="D25" s="17">
        <f>D9+D23</f>
        <v>32025.420553638072</v>
      </c>
    </row>
    <row r="26" spans="1:12" ht="13.5" thickTop="1">
      <c r="A26" s="4"/>
      <c r="B26" s="4"/>
      <c r="C26" s="4"/>
      <c r="D26" s="4"/>
    </row>
    <row r="27" spans="1:12">
      <c r="B27" s="4"/>
      <c r="C27" s="4"/>
      <c r="D27" s="4"/>
    </row>
  </sheetData>
  <mergeCells count="1">
    <mergeCell ref="A5:D5"/>
  </mergeCells>
  <phoneticPr fontId="29" type="noConversion"/>
  <pageMargins left="0.39" right="0.25" top="1" bottom="1" header="0.5" footer="0.5"/>
  <pageSetup orientation="portrait" r:id="rId1"/>
  <headerFooter alignWithMargins="0">
    <oddHeader>&amp;R&amp;8Docket No. 160021-EI, &amp;"Arial,Italic"et al&amp;"Arial,Regular".
FPL POD No. 5
Attachment A
Page &amp;P of &amp;N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view="pageLayout" zoomScaleNormal="100" workbookViewId="0">
      <selection activeCell="G9" sqref="G9"/>
    </sheetView>
  </sheetViews>
  <sheetFormatPr defaultRowHeight="12.75"/>
  <cols>
    <col min="1" max="1" width="2.7109375" customWidth="1"/>
    <col min="2" max="2" width="71.7109375" customWidth="1"/>
    <col min="3" max="3" width="6.28515625" customWidth="1"/>
    <col min="4" max="4" width="13.42578125" customWidth="1"/>
  </cols>
  <sheetData>
    <row r="1" spans="1:6">
      <c r="A1" s="34" t="s">
        <v>33</v>
      </c>
      <c r="B1" s="9"/>
      <c r="C1" s="9"/>
      <c r="D1" s="9"/>
    </row>
    <row r="2" spans="1:6">
      <c r="A2" s="34" t="s">
        <v>50</v>
      </c>
      <c r="B2" s="9"/>
      <c r="C2" s="9"/>
      <c r="D2" s="9"/>
    </row>
    <row r="3" spans="1:6">
      <c r="A3" s="34" t="s">
        <v>65</v>
      </c>
      <c r="B3" s="9"/>
      <c r="C3" s="9"/>
      <c r="D3" s="9"/>
    </row>
    <row r="4" spans="1:6">
      <c r="A4" s="34" t="s">
        <v>67</v>
      </c>
      <c r="B4" s="9"/>
      <c r="C4" s="9"/>
      <c r="D4" s="9"/>
    </row>
    <row r="5" spans="1:6">
      <c r="A5" s="377" t="s">
        <v>19</v>
      </c>
      <c r="B5" s="377"/>
      <c r="C5" s="377"/>
      <c r="D5" s="377"/>
    </row>
    <row r="6" spans="1:6">
      <c r="A6" s="1"/>
      <c r="B6" s="1"/>
      <c r="C6" s="1"/>
      <c r="D6" s="1"/>
    </row>
    <row r="7" spans="1:6">
      <c r="D7" s="11" t="s">
        <v>15</v>
      </c>
    </row>
    <row r="8" spans="1:6">
      <c r="D8" s="10"/>
    </row>
    <row r="9" spans="1:6">
      <c r="A9" s="4" t="s">
        <v>29</v>
      </c>
      <c r="B9" s="4"/>
      <c r="C9" s="4"/>
      <c r="D9" s="14">
        <v>33870.896999999997</v>
      </c>
    </row>
    <row r="10" spans="1:6">
      <c r="A10" s="4"/>
      <c r="B10" s="4"/>
      <c r="C10" s="4"/>
      <c r="D10" s="15"/>
    </row>
    <row r="11" spans="1:6">
      <c r="A11" s="4" t="s">
        <v>16</v>
      </c>
      <c r="B11" s="4"/>
      <c r="C11" s="4"/>
      <c r="D11" s="16"/>
    </row>
    <row r="12" spans="1:6">
      <c r="A12" s="4"/>
      <c r="B12" s="152" t="s">
        <v>569</v>
      </c>
      <c r="C12" s="12"/>
      <c r="D12" s="28">
        <f>'NFIP in Rate Base'!F14</f>
        <v>-412.13741399999998</v>
      </c>
    </row>
    <row r="13" spans="1:6">
      <c r="A13" s="4"/>
      <c r="B13" s="152" t="s">
        <v>445</v>
      </c>
      <c r="C13" s="12"/>
      <c r="D13" s="28">
        <f>--294.242</f>
        <v>294.24200000000002</v>
      </c>
      <c r="F13" s="158" t="s">
        <v>421</v>
      </c>
    </row>
    <row r="14" spans="1:6">
      <c r="A14" s="4"/>
      <c r="B14" s="152" t="s">
        <v>446</v>
      </c>
      <c r="C14" s="12"/>
      <c r="D14" s="28">
        <f>'Exh. LK-17'!J25+'Exh. LK-21'!I52</f>
        <v>8.0007647777608213</v>
      </c>
    </row>
    <row r="15" spans="1:6">
      <c r="A15" s="4"/>
      <c r="B15" s="152" t="s">
        <v>444</v>
      </c>
      <c r="C15" s="12"/>
      <c r="D15" s="28">
        <f>'Exh. LK-23'!J36</f>
        <v>33.823658030545346</v>
      </c>
    </row>
    <row r="16" spans="1:6">
      <c r="A16" s="4"/>
      <c r="B16" s="158" t="s">
        <v>387</v>
      </c>
      <c r="C16" s="12"/>
      <c r="D16" s="28">
        <f>'Exh. LK-6'!J21</f>
        <v>7.0799917499999996</v>
      </c>
    </row>
    <row r="17" spans="1:12">
      <c r="A17" s="4"/>
      <c r="B17" s="158" t="s">
        <v>417</v>
      </c>
      <c r="C17" s="12"/>
      <c r="D17" s="28">
        <f>'Exh. LK-8'!J28</f>
        <v>62.394013924249982</v>
      </c>
    </row>
    <row r="18" spans="1:12">
      <c r="A18" s="4"/>
      <c r="B18" s="152" t="s">
        <v>324</v>
      </c>
      <c r="C18" s="12"/>
      <c r="D18" s="28">
        <v>-229.79499999999999</v>
      </c>
      <c r="F18" t="s">
        <v>386</v>
      </c>
    </row>
    <row r="19" spans="1:12">
      <c r="A19" s="4"/>
      <c r="B19" s="12" t="s">
        <v>51</v>
      </c>
      <c r="C19" s="12"/>
      <c r="D19" s="28">
        <f>-3.078</f>
        <v>-3.0779999999999998</v>
      </c>
      <c r="F19" t="s">
        <v>357</v>
      </c>
    </row>
    <row r="20" spans="1:12">
      <c r="A20" s="4"/>
      <c r="B20" s="152" t="s">
        <v>364</v>
      </c>
      <c r="C20" s="12"/>
      <c r="D20" s="28">
        <f>(-1399.731+1390.84863)*0.968204</f>
        <v>-8.5999461634800358</v>
      </c>
      <c r="F20" s="158" t="s">
        <v>360</v>
      </c>
      <c r="I20" s="220"/>
      <c r="J20" s="220"/>
      <c r="L20" s="221" t="s">
        <v>361</v>
      </c>
    </row>
    <row r="21" spans="1:12">
      <c r="A21" s="4"/>
      <c r="B21" s="29"/>
      <c r="C21" s="12"/>
      <c r="D21" s="50"/>
    </row>
    <row r="22" spans="1:12">
      <c r="A22" s="4"/>
      <c r="B22" s="12"/>
      <c r="C22" s="12"/>
      <c r="D22" s="28"/>
    </row>
    <row r="23" spans="1:12">
      <c r="A23" s="4" t="s">
        <v>17</v>
      </c>
      <c r="B23" s="12"/>
      <c r="C23" s="12"/>
      <c r="D23" s="50">
        <f>SUM(D11:D21)</f>
        <v>-248.06993168092384</v>
      </c>
    </row>
    <row r="24" spans="1:12">
      <c r="A24" s="4"/>
      <c r="B24" s="4"/>
      <c r="C24" s="4"/>
      <c r="D24" s="15"/>
    </row>
    <row r="25" spans="1:12" ht="13.5" thickBot="1">
      <c r="A25" s="4" t="s">
        <v>18</v>
      </c>
      <c r="B25" s="4"/>
      <c r="C25" s="4"/>
      <c r="D25" s="17">
        <f>D9+D23</f>
        <v>33622.827068319071</v>
      </c>
    </row>
    <row r="26" spans="1:12" ht="13.5" thickTop="1">
      <c r="A26" s="4"/>
      <c r="B26" s="4"/>
      <c r="C26" s="4"/>
      <c r="D26" s="4"/>
    </row>
    <row r="27" spans="1:12">
      <c r="B27" s="4"/>
      <c r="C27" s="4"/>
      <c r="D27" s="4"/>
    </row>
  </sheetData>
  <mergeCells count="1">
    <mergeCell ref="A5:D5"/>
  </mergeCells>
  <pageMargins left="0.39" right="0.25" top="1" bottom="1" header="0.5" footer="0.5"/>
  <pageSetup orientation="portrait" r:id="rId1"/>
  <headerFooter alignWithMargins="0">
    <oddHeader>&amp;R&amp;8Docket No. 160021-EI, &amp;"Arial,Italic"et al&amp;"Arial,Regular".
FPL POD No. 5
Attachment A
Page &amp;P of &amp;N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0"/>
  <sheetViews>
    <sheetView tabSelected="1" view="pageLayout" zoomScaleNormal="100" workbookViewId="0">
      <selection activeCell="G9" sqref="G9"/>
    </sheetView>
  </sheetViews>
  <sheetFormatPr defaultRowHeight="12.75"/>
  <cols>
    <col min="1" max="1" width="5.85546875" customWidth="1"/>
    <col min="2" max="2" width="19.28515625" customWidth="1"/>
    <col min="3" max="3" width="3.140625" customWidth="1"/>
    <col min="4" max="4" width="16.7109375" customWidth="1"/>
    <col min="5" max="5" width="11.28515625" customWidth="1"/>
    <col min="6" max="6" width="16.42578125" customWidth="1"/>
    <col min="7" max="9" width="12.7109375" customWidth="1"/>
    <col min="10" max="10" width="15" customWidth="1"/>
    <col min="11" max="11" width="17.28515625" customWidth="1"/>
    <col min="12" max="12" width="11.85546875" customWidth="1"/>
    <col min="13" max="13" width="11.28515625" bestFit="1" customWidth="1"/>
    <col min="14" max="14" width="9.85546875" bestFit="1" customWidth="1"/>
    <col min="16" max="16" width="10.85546875" bestFit="1" customWidth="1"/>
    <col min="17" max="17" width="12" customWidth="1"/>
    <col min="18" max="18" width="9.5703125" bestFit="1" customWidth="1"/>
  </cols>
  <sheetData>
    <row r="1" spans="1:19">
      <c r="A1" s="377" t="s">
        <v>10</v>
      </c>
      <c r="B1" s="377"/>
      <c r="C1" s="377"/>
      <c r="D1" s="377"/>
      <c r="E1" s="377"/>
      <c r="F1" s="377"/>
      <c r="G1" s="377"/>
      <c r="H1" s="377"/>
      <c r="I1" s="377"/>
      <c r="J1" s="377"/>
    </row>
    <row r="2" spans="1:19">
      <c r="A2" s="376" t="s">
        <v>65</v>
      </c>
      <c r="B2" s="376"/>
      <c r="C2" s="376"/>
      <c r="D2" s="376"/>
      <c r="E2" s="376"/>
      <c r="F2" s="376"/>
      <c r="G2" s="376"/>
      <c r="H2" s="376"/>
      <c r="I2" s="376"/>
      <c r="J2" s="376"/>
    </row>
    <row r="3" spans="1:19">
      <c r="A3" s="376" t="s">
        <v>66</v>
      </c>
      <c r="B3" s="377"/>
      <c r="C3" s="377"/>
      <c r="D3" s="377"/>
      <c r="E3" s="377"/>
      <c r="F3" s="377"/>
      <c r="G3" s="377"/>
      <c r="H3" s="377"/>
      <c r="I3" s="377"/>
      <c r="J3" s="377"/>
    </row>
    <row r="4" spans="1:19">
      <c r="A4" s="377" t="s">
        <v>19</v>
      </c>
      <c r="B4" s="377"/>
      <c r="C4" s="377"/>
      <c r="D4" s="377"/>
      <c r="E4" s="377"/>
      <c r="F4" s="377"/>
      <c r="G4" s="377"/>
      <c r="H4" s="377"/>
      <c r="I4" s="377"/>
      <c r="J4" s="377"/>
    </row>
    <row r="6" spans="1:19" ht="4.5" customHeight="1"/>
    <row r="7" spans="1:19">
      <c r="A7" s="2" t="s">
        <v>11</v>
      </c>
    </row>
    <row r="8" spans="1:19">
      <c r="A8" s="3"/>
      <c r="B8" s="4"/>
      <c r="C8" s="4"/>
      <c r="D8" s="4"/>
      <c r="E8" s="4"/>
      <c r="F8" s="5" t="s">
        <v>20</v>
      </c>
      <c r="G8" s="4"/>
      <c r="H8" s="5"/>
      <c r="I8" s="4"/>
      <c r="J8" s="30" t="s">
        <v>37</v>
      </c>
      <c r="K8" s="4"/>
      <c r="L8" s="4"/>
      <c r="M8" s="4"/>
    </row>
    <row r="9" spans="1:19">
      <c r="A9" s="3"/>
      <c r="B9" s="4"/>
      <c r="C9" s="4"/>
      <c r="D9" s="4"/>
      <c r="E9" s="4"/>
      <c r="F9" s="19" t="s">
        <v>25</v>
      </c>
      <c r="G9" s="19" t="s">
        <v>0</v>
      </c>
      <c r="H9" s="19" t="s">
        <v>5</v>
      </c>
      <c r="I9" s="19" t="s">
        <v>1</v>
      </c>
      <c r="J9" s="19" t="s">
        <v>2</v>
      </c>
      <c r="K9" s="4"/>
      <c r="L9" s="155"/>
      <c r="M9" s="12"/>
      <c r="N9" s="29"/>
      <c r="O9" s="29"/>
      <c r="P9" s="152"/>
      <c r="Q9" s="29"/>
      <c r="R9" s="29"/>
      <c r="S9" s="29"/>
    </row>
    <row r="10" spans="1:19">
      <c r="A10" s="3"/>
      <c r="B10" s="4"/>
      <c r="C10" s="4"/>
      <c r="D10" s="4"/>
      <c r="E10" s="4"/>
      <c r="F10" s="20" t="s">
        <v>0</v>
      </c>
      <c r="G10" s="20" t="s">
        <v>3</v>
      </c>
      <c r="H10" s="20" t="s">
        <v>24</v>
      </c>
      <c r="I10" s="20" t="s">
        <v>4</v>
      </c>
      <c r="J10" s="21" t="s">
        <v>5</v>
      </c>
      <c r="K10" s="4"/>
      <c r="L10" s="12"/>
      <c r="M10" s="12"/>
      <c r="N10" s="29"/>
      <c r="O10" s="29"/>
      <c r="P10" s="29"/>
      <c r="Q10" s="29"/>
      <c r="R10" s="29"/>
      <c r="S10" s="29"/>
    </row>
    <row r="11" spans="1:19">
      <c r="B11" s="4"/>
      <c r="C11" s="4"/>
      <c r="D11" s="4"/>
      <c r="E11" s="4"/>
      <c r="F11" s="4"/>
      <c r="G11" s="4"/>
      <c r="H11" s="4"/>
      <c r="I11" s="4"/>
      <c r="J11" s="4"/>
      <c r="K11" s="4"/>
      <c r="L11" s="152"/>
      <c r="M11" s="70"/>
      <c r="N11" s="153"/>
      <c r="O11" s="29"/>
      <c r="P11" s="154"/>
      <c r="Q11" s="151"/>
      <c r="R11" s="153"/>
      <c r="S11" s="29"/>
    </row>
    <row r="12" spans="1:19">
      <c r="B12" s="4" t="s">
        <v>7</v>
      </c>
      <c r="C12" s="4"/>
      <c r="D12" s="4"/>
      <c r="E12" s="4"/>
      <c r="F12" s="28">
        <v>9358.4169999999995</v>
      </c>
      <c r="G12" s="47">
        <f>F12/F19</f>
        <v>0.28763165486082154</v>
      </c>
      <c r="H12" s="47">
        <v>4.6199999999999998E-2</v>
      </c>
      <c r="I12" s="47">
        <f t="shared" ref="I12:I17" si="0">G12*H12</f>
        <v>1.3288582454569955E-2</v>
      </c>
      <c r="J12" s="33">
        <f>+I12*1/(1-(0.00072+0.00065))</f>
        <v>1.3306812788089638E-2</v>
      </c>
      <c r="K12" s="12" t="s">
        <v>45</v>
      </c>
      <c r="L12" s="12"/>
      <c r="M12" s="12"/>
      <c r="N12" s="29"/>
      <c r="O12" s="29"/>
      <c r="P12" s="29"/>
      <c r="Q12" s="151"/>
      <c r="R12" s="29"/>
      <c r="S12" s="29"/>
    </row>
    <row r="13" spans="1:19">
      <c r="B13" s="4" t="s">
        <v>21</v>
      </c>
      <c r="C13" s="4"/>
      <c r="D13" s="4"/>
      <c r="E13" s="4"/>
      <c r="F13" s="28">
        <v>407.32832999999999</v>
      </c>
      <c r="G13" s="47">
        <f>F13/F19</f>
        <v>1.2519267054416876E-2</v>
      </c>
      <c r="H13" s="47">
        <v>2.0500000000000001E-2</v>
      </c>
      <c r="I13" s="47">
        <f t="shared" si="0"/>
        <v>2.5664497461554597E-4</v>
      </c>
      <c r="J13" s="33">
        <f t="shared" ref="J13:J16" si="1">+I13*1/(1-(0.00072+0.00065))</f>
        <v>2.5699706058855226E-4</v>
      </c>
      <c r="K13" s="12" t="s">
        <v>45</v>
      </c>
      <c r="L13" s="155"/>
      <c r="M13" s="12"/>
      <c r="N13" s="29"/>
      <c r="O13" s="29"/>
      <c r="P13" s="152"/>
      <c r="Q13" s="151"/>
      <c r="R13" s="29"/>
      <c r="S13" s="29"/>
    </row>
    <row r="14" spans="1:19">
      <c r="B14" s="4" t="s">
        <v>6</v>
      </c>
      <c r="C14" s="4"/>
      <c r="D14" s="4"/>
      <c r="E14" s="4"/>
      <c r="F14" s="28">
        <v>612.93920000000003</v>
      </c>
      <c r="G14" s="47">
        <f>F14/F19</f>
        <v>1.8838732707152084E-2</v>
      </c>
      <c r="H14" s="47">
        <v>1.8499999999999999E-2</v>
      </c>
      <c r="I14" s="47">
        <f t="shared" si="0"/>
        <v>3.4851655508231355E-4</v>
      </c>
      <c r="J14" s="33">
        <f t="shared" si="1"/>
        <v>3.4899467779088704E-4</v>
      </c>
      <c r="K14" s="12" t="s">
        <v>45</v>
      </c>
      <c r="L14" s="12"/>
      <c r="M14" s="12"/>
      <c r="N14" s="29"/>
      <c r="O14" s="29"/>
      <c r="P14" s="29"/>
      <c r="Q14" s="151"/>
      <c r="R14" s="29"/>
      <c r="S14" s="29"/>
    </row>
    <row r="15" spans="1:19">
      <c r="B15" s="4" t="s">
        <v>22</v>
      </c>
      <c r="C15" s="4"/>
      <c r="D15" s="4"/>
      <c r="E15" s="4"/>
      <c r="F15" s="28">
        <v>7368.5824899999998</v>
      </c>
      <c r="G15" s="47">
        <f>F15/F19</f>
        <v>0.22647394057960582</v>
      </c>
      <c r="H15" s="47">
        <v>0</v>
      </c>
      <c r="I15" s="47">
        <f t="shared" si="0"/>
        <v>0</v>
      </c>
      <c r="J15" s="33">
        <f t="shared" si="1"/>
        <v>0</v>
      </c>
      <c r="K15" s="12" t="s">
        <v>45</v>
      </c>
      <c r="L15" s="152"/>
      <c r="M15" s="70"/>
      <c r="N15" s="153"/>
      <c r="O15" s="29"/>
      <c r="P15" s="154"/>
      <c r="Q15" s="151"/>
      <c r="R15" s="153"/>
      <c r="S15" s="29"/>
    </row>
    <row r="16" spans="1:19">
      <c r="B16" s="4" t="s">
        <v>23</v>
      </c>
      <c r="C16" s="4"/>
      <c r="D16" s="4"/>
      <c r="E16" s="4"/>
      <c r="F16" s="43">
        <v>106.27515</v>
      </c>
      <c r="G16" s="48">
        <f>F16/F19</f>
        <v>3.2663747795254302E-3</v>
      </c>
      <c r="H16" s="48">
        <v>8.8200000000000001E-2</v>
      </c>
      <c r="I16" s="49">
        <f t="shared" si="0"/>
        <v>2.8809425555414292E-4</v>
      </c>
      <c r="J16" s="33">
        <f t="shared" si="1"/>
        <v>2.8848948615016863E-4</v>
      </c>
      <c r="K16" s="12" t="s">
        <v>45</v>
      </c>
      <c r="L16" s="152"/>
      <c r="M16" s="70"/>
      <c r="N16" s="153"/>
      <c r="O16" s="29"/>
      <c r="P16" s="225"/>
      <c r="Q16" s="151"/>
      <c r="R16" s="153"/>
      <c r="S16" s="29"/>
    </row>
    <row r="17" spans="1:19">
      <c r="B17" s="4" t="s">
        <v>8</v>
      </c>
      <c r="C17" s="4"/>
      <c r="D17" s="4"/>
      <c r="E17" s="4"/>
      <c r="F17" s="50">
        <v>14682.57422</v>
      </c>
      <c r="G17" s="51">
        <f>F17/F19</f>
        <v>0.45127003001847815</v>
      </c>
      <c r="H17" s="51">
        <v>0.115</v>
      </c>
      <c r="I17" s="52">
        <f t="shared" si="0"/>
        <v>5.1896053452124988E-2</v>
      </c>
      <c r="J17" s="51">
        <f>+I17*1.63024</f>
        <v>8.4603022179792237E-2</v>
      </c>
      <c r="K17" s="12" t="s">
        <v>26</v>
      </c>
      <c r="L17" s="152"/>
      <c r="M17" s="70"/>
      <c r="N17" s="153"/>
      <c r="O17" s="29"/>
      <c r="P17" s="154"/>
      <c r="Q17" s="151"/>
      <c r="R17" s="153"/>
      <c r="S17" s="29"/>
    </row>
    <row r="18" spans="1:19">
      <c r="B18" s="4"/>
      <c r="C18" s="4"/>
      <c r="D18" s="4"/>
      <c r="E18" s="4"/>
      <c r="F18" s="18"/>
      <c r="G18" s="4"/>
      <c r="H18" s="6"/>
      <c r="I18" s="6"/>
      <c r="J18" s="6"/>
      <c r="K18" s="4"/>
      <c r="L18" s="12"/>
      <c r="M18" s="70"/>
      <c r="N18" s="29"/>
      <c r="O18" s="29"/>
      <c r="P18" s="29"/>
      <c r="Q18" s="151"/>
      <c r="R18" s="29"/>
      <c r="S18" s="29"/>
    </row>
    <row r="19" spans="1:19" ht="13.5" thickBot="1">
      <c r="B19" s="7" t="s">
        <v>9</v>
      </c>
      <c r="C19" s="7"/>
      <c r="D19" s="7"/>
      <c r="E19" s="4"/>
      <c r="F19" s="23">
        <f>SUM(F12:F17)</f>
        <v>32536.116390000003</v>
      </c>
      <c r="G19" s="24">
        <f>SUM(G12:G17)</f>
        <v>0.99999999999999978</v>
      </c>
      <c r="H19" s="24"/>
      <c r="I19" s="24">
        <f>SUM(I12:I17)</f>
        <v>6.6077891691946944E-2</v>
      </c>
      <c r="J19" s="24">
        <f>SUM(J12:J18)</f>
        <v>9.8804316192411479E-2</v>
      </c>
      <c r="K19" s="4"/>
      <c r="L19" s="12"/>
      <c r="M19" s="12"/>
      <c r="N19" s="29"/>
      <c r="O19" s="29"/>
      <c r="P19" s="29"/>
      <c r="Q19" s="29"/>
      <c r="R19" s="29"/>
      <c r="S19" s="29"/>
    </row>
    <row r="20" spans="1:19" ht="13.5" thickTop="1">
      <c r="B20" s="7"/>
      <c r="C20" s="7"/>
      <c r="D20" s="7"/>
      <c r="E20" s="4"/>
      <c r="F20" s="35"/>
      <c r="G20" s="36"/>
      <c r="H20" s="36"/>
      <c r="I20" s="36"/>
      <c r="J20" s="36"/>
      <c r="K20" s="4"/>
      <c r="L20" s="12"/>
      <c r="M20" s="12"/>
      <c r="N20" s="29"/>
      <c r="O20" s="29"/>
      <c r="P20" s="29"/>
      <c r="Q20" s="29"/>
      <c r="R20" s="29"/>
      <c r="S20" s="29"/>
    </row>
    <row r="21" spans="1:19">
      <c r="B21" s="7"/>
      <c r="C21" s="7"/>
      <c r="D21" s="7"/>
      <c r="E21" s="4"/>
      <c r="F21" s="35"/>
      <c r="G21" s="36"/>
      <c r="H21" s="36"/>
      <c r="I21" s="36"/>
      <c r="J21" s="36"/>
      <c r="K21" s="4"/>
      <c r="L21" s="12"/>
      <c r="M21" s="12"/>
      <c r="N21" s="29"/>
      <c r="O21" s="29"/>
      <c r="P21" s="29"/>
      <c r="Q21" s="151"/>
      <c r="R21" s="29"/>
      <c r="S21" s="29"/>
    </row>
    <row r="22" spans="1:19">
      <c r="A22" s="67" t="s">
        <v>362</v>
      </c>
      <c r="B22" s="29"/>
      <c r="C22" s="29"/>
      <c r="D22" s="29"/>
      <c r="E22" s="29"/>
      <c r="F22" s="29"/>
      <c r="G22" s="29"/>
      <c r="H22" s="29"/>
      <c r="I22" s="68"/>
      <c r="J22" s="68"/>
      <c r="K22" s="4"/>
      <c r="L22" s="12"/>
      <c r="M22" s="12"/>
      <c r="N22" s="29"/>
      <c r="O22" s="29"/>
      <c r="P22" s="29"/>
      <c r="Q22" s="151"/>
      <c r="R22" s="29"/>
      <c r="S22" s="29"/>
    </row>
    <row r="23" spans="1:19">
      <c r="A23" s="69"/>
      <c r="B23" s="12"/>
      <c r="C23" s="12"/>
      <c r="D23" s="39" t="s">
        <v>20</v>
      </c>
      <c r="E23" s="12"/>
      <c r="F23" s="39" t="s">
        <v>20</v>
      </c>
      <c r="G23" s="12"/>
      <c r="H23" s="39"/>
      <c r="I23" s="12"/>
      <c r="J23" s="62" t="s">
        <v>37</v>
      </c>
      <c r="K23" s="4"/>
      <c r="L23" s="12"/>
      <c r="M23" s="12"/>
      <c r="N23" s="29"/>
      <c r="O23" s="29"/>
      <c r="P23" s="29"/>
      <c r="Q23" s="151"/>
      <c r="R23" s="29"/>
      <c r="S23" s="29"/>
    </row>
    <row r="24" spans="1:19">
      <c r="A24" s="69"/>
      <c r="B24" s="12"/>
      <c r="C24" s="12"/>
      <c r="D24" s="39" t="s">
        <v>27</v>
      </c>
      <c r="E24" s="39" t="s">
        <v>20</v>
      </c>
      <c r="F24" s="40" t="s">
        <v>25</v>
      </c>
      <c r="G24" s="40" t="s">
        <v>0</v>
      </c>
      <c r="H24" s="40" t="s">
        <v>5</v>
      </c>
      <c r="I24" s="40" t="s">
        <v>1</v>
      </c>
      <c r="J24" s="40" t="s">
        <v>2</v>
      </c>
      <c r="K24" s="4"/>
      <c r="L24" s="12"/>
      <c r="M24" s="12"/>
      <c r="N24" s="29"/>
      <c r="O24" s="29"/>
      <c r="P24" s="29"/>
      <c r="Q24" s="151"/>
      <c r="R24" s="29"/>
      <c r="S24" s="29"/>
    </row>
    <row r="25" spans="1:19">
      <c r="A25" s="69"/>
      <c r="B25" s="12"/>
      <c r="C25" s="12"/>
      <c r="D25" s="60" t="s">
        <v>28</v>
      </c>
      <c r="E25" s="60" t="s">
        <v>28</v>
      </c>
      <c r="F25" s="60" t="s">
        <v>0</v>
      </c>
      <c r="G25" s="60" t="s">
        <v>3</v>
      </c>
      <c r="H25" s="60" t="s">
        <v>24</v>
      </c>
      <c r="I25" s="60" t="s">
        <v>4</v>
      </c>
      <c r="J25" s="63" t="s">
        <v>5</v>
      </c>
      <c r="K25" s="4"/>
      <c r="L25" s="12"/>
      <c r="M25" s="12"/>
      <c r="N25" s="29"/>
      <c r="O25" s="29"/>
      <c r="P25" s="29"/>
      <c r="Q25" s="151"/>
      <c r="R25" s="29"/>
      <c r="S25" s="29"/>
    </row>
    <row r="26" spans="1:19">
      <c r="A26" s="69"/>
      <c r="B26" s="12"/>
      <c r="C26" s="12"/>
      <c r="D26" s="12"/>
      <c r="E26" s="12"/>
      <c r="F26" s="12"/>
      <c r="G26" s="12"/>
      <c r="H26" s="12"/>
      <c r="I26" s="12"/>
      <c r="J26" s="12"/>
      <c r="K26" s="4"/>
      <c r="L26" s="12"/>
      <c r="M26" s="12"/>
      <c r="N26" s="29"/>
      <c r="O26" s="29"/>
      <c r="P26" s="29"/>
      <c r="Q26" s="151"/>
      <c r="R26" s="29"/>
      <c r="S26" s="29"/>
    </row>
    <row r="27" spans="1:19">
      <c r="A27" s="69"/>
      <c r="B27" s="12" t="s">
        <v>7</v>
      </c>
      <c r="C27" s="12"/>
      <c r="D27" s="70">
        <f t="shared" ref="D27:D32" si="2">F12</f>
        <v>9358.4169999999995</v>
      </c>
      <c r="E27" s="28"/>
      <c r="F27" s="28">
        <f t="shared" ref="F27:F32" si="3">D27+E27</f>
        <v>9358.4169999999995</v>
      </c>
      <c r="G27" s="47">
        <f>F27/F34</f>
        <v>0.28720056872187377</v>
      </c>
      <c r="H27" s="47">
        <f t="shared" ref="H27:H32" si="4">H12</f>
        <v>4.6199999999999998E-2</v>
      </c>
      <c r="I27" s="47">
        <f t="shared" ref="I27:I32" si="5">G27*H27</f>
        <v>1.3268666274950568E-2</v>
      </c>
      <c r="J27" s="33">
        <f t="shared" ref="J27:J31" si="6">+I27*1/(1-(0.00072+0.00065))</f>
        <v>1.3286869285872213E-2</v>
      </c>
      <c r="K27" s="4"/>
      <c r="L27" s="12"/>
      <c r="M27" s="12"/>
      <c r="N27" s="29"/>
      <c r="O27" s="29"/>
      <c r="P27" s="29"/>
      <c r="Q27" s="151"/>
      <c r="R27" s="29"/>
      <c r="S27" s="29"/>
    </row>
    <row r="28" spans="1:19">
      <c r="A28" s="69"/>
      <c r="B28" s="12" t="s">
        <v>21</v>
      </c>
      <c r="C28" s="12"/>
      <c r="D28" s="70">
        <f t="shared" si="2"/>
        <v>407.32832999999999</v>
      </c>
      <c r="E28" s="28"/>
      <c r="F28" s="28">
        <f t="shared" si="3"/>
        <v>407.32832999999999</v>
      </c>
      <c r="G28" s="47">
        <f>F28/F34</f>
        <v>1.2500503881428995E-2</v>
      </c>
      <c r="H28" s="47">
        <f t="shared" si="4"/>
        <v>2.0500000000000001E-2</v>
      </c>
      <c r="I28" s="47">
        <f t="shared" si="5"/>
        <v>2.562603295692944E-4</v>
      </c>
      <c r="J28" s="33">
        <f t="shared" si="6"/>
        <v>2.5661188785565663E-4</v>
      </c>
      <c r="K28" s="4"/>
      <c r="L28" s="12"/>
      <c r="M28" s="12"/>
      <c r="N28" s="29"/>
      <c r="O28" s="29"/>
      <c r="P28" s="29"/>
      <c r="Q28" s="151"/>
      <c r="R28" s="29"/>
      <c r="S28" s="29"/>
    </row>
    <row r="29" spans="1:19">
      <c r="A29" s="69"/>
      <c r="B29" s="12" t="s">
        <v>6</v>
      </c>
      <c r="C29" s="12"/>
      <c r="D29" s="70">
        <f t="shared" si="2"/>
        <v>612.93920000000003</v>
      </c>
      <c r="E29" s="28"/>
      <c r="F29" s="28">
        <f t="shared" si="3"/>
        <v>612.93920000000003</v>
      </c>
      <c r="G29" s="47">
        <f>F29/F34</f>
        <v>1.8810498274647341E-2</v>
      </c>
      <c r="H29" s="47">
        <f t="shared" si="4"/>
        <v>1.8499999999999999E-2</v>
      </c>
      <c r="I29" s="47">
        <f t="shared" si="5"/>
        <v>3.4799421808097582E-4</v>
      </c>
      <c r="J29" s="33">
        <f t="shared" si="6"/>
        <v>3.4847162420613821E-4</v>
      </c>
      <c r="K29" s="4"/>
      <c r="L29" s="12"/>
      <c r="M29" s="12"/>
      <c r="N29" s="29"/>
      <c r="O29" s="29"/>
      <c r="P29" s="29"/>
      <c r="Q29" s="151"/>
      <c r="R29" s="29"/>
      <c r="S29" s="29"/>
    </row>
    <row r="30" spans="1:19">
      <c r="A30" s="69"/>
      <c r="B30" s="12" t="s">
        <v>22</v>
      </c>
      <c r="C30" s="12"/>
      <c r="D30" s="70">
        <f t="shared" si="2"/>
        <v>7368.5824899999998</v>
      </c>
      <c r="E30" s="28">
        <f>'ADIT Changes - Cap Struct'!C26</f>
        <v>48.836493790175382</v>
      </c>
      <c r="F30" s="28">
        <f t="shared" si="3"/>
        <v>7417.4189837901749</v>
      </c>
      <c r="G30" s="47">
        <f>F30/F34</f>
        <v>0.22763325791028136</v>
      </c>
      <c r="H30" s="47">
        <f t="shared" si="4"/>
        <v>0</v>
      </c>
      <c r="I30" s="47">
        <f t="shared" si="5"/>
        <v>0</v>
      </c>
      <c r="J30" s="33">
        <f t="shared" si="6"/>
        <v>0</v>
      </c>
      <c r="K30" s="4"/>
      <c r="L30" s="152"/>
      <c r="M30" s="12"/>
      <c r="N30" s="29"/>
      <c r="O30" s="29"/>
      <c r="P30" s="29"/>
      <c r="Q30" s="151"/>
      <c r="R30" s="29"/>
      <c r="S30" s="29"/>
    </row>
    <row r="31" spans="1:19">
      <c r="A31" s="69"/>
      <c r="B31" s="12" t="s">
        <v>23</v>
      </c>
      <c r="C31" s="12"/>
      <c r="D31" s="70">
        <f t="shared" si="2"/>
        <v>106.27515</v>
      </c>
      <c r="E31" s="28"/>
      <c r="F31" s="28">
        <f t="shared" si="3"/>
        <v>106.27515</v>
      </c>
      <c r="G31" s="48">
        <f>F31/F34</f>
        <v>3.2614793208084708E-3</v>
      </c>
      <c r="H31" s="47">
        <f t="shared" si="4"/>
        <v>8.8200000000000001E-2</v>
      </c>
      <c r="I31" s="49">
        <f t="shared" si="5"/>
        <v>2.8766247609530711E-4</v>
      </c>
      <c r="J31" s="33">
        <f t="shared" si="6"/>
        <v>2.8805711434195559E-4</v>
      </c>
      <c r="K31" s="4"/>
      <c r="L31" s="12"/>
      <c r="M31" s="12"/>
      <c r="N31" s="29"/>
      <c r="O31" s="29"/>
      <c r="P31" s="29"/>
      <c r="Q31" s="151"/>
      <c r="R31" s="29"/>
      <c r="S31" s="29"/>
    </row>
    <row r="32" spans="1:19">
      <c r="A32" s="69"/>
      <c r="B32" s="12" t="s">
        <v>8</v>
      </c>
      <c r="C32" s="12"/>
      <c r="D32" s="71">
        <f t="shared" si="2"/>
        <v>14682.57422</v>
      </c>
      <c r="E32" s="50"/>
      <c r="F32" s="50">
        <f t="shared" si="3"/>
        <v>14682.57422</v>
      </c>
      <c r="G32" s="51">
        <f>F32/F34</f>
        <v>0.45059369189096005</v>
      </c>
      <c r="H32" s="47">
        <f t="shared" si="4"/>
        <v>0.115</v>
      </c>
      <c r="I32" s="52">
        <f t="shared" si="5"/>
        <v>5.1818274567460409E-2</v>
      </c>
      <c r="J32" s="51">
        <f>+I32*1.63024</f>
        <v>8.4476223930856659E-2</v>
      </c>
      <c r="K32" s="4"/>
      <c r="L32" s="12"/>
      <c r="M32" s="12"/>
      <c r="N32" s="29"/>
      <c r="O32" s="29"/>
      <c r="P32" s="29"/>
      <c r="Q32" s="151"/>
      <c r="R32" s="29"/>
      <c r="S32" s="29"/>
    </row>
    <row r="33" spans="1:19">
      <c r="A33" s="69"/>
      <c r="B33" s="12"/>
      <c r="C33" s="12"/>
      <c r="D33" s="12"/>
      <c r="E33" s="28"/>
      <c r="F33" s="72"/>
      <c r="G33" s="73"/>
      <c r="H33" s="74"/>
      <c r="I33" s="74"/>
      <c r="J33" s="74"/>
      <c r="K33" s="4"/>
      <c r="L33" s="12"/>
      <c r="M33" s="12"/>
      <c r="N33" s="29"/>
      <c r="O33" s="29"/>
      <c r="P33" s="29"/>
      <c r="Q33" s="151"/>
      <c r="R33" s="29"/>
      <c r="S33" s="29"/>
    </row>
    <row r="34" spans="1:19" ht="13.5" thickBot="1">
      <c r="A34" s="29"/>
      <c r="B34" s="75" t="s">
        <v>9</v>
      </c>
      <c r="C34" s="75"/>
      <c r="D34" s="76">
        <f>SUM(D27:D33)</f>
        <v>32536.116390000003</v>
      </c>
      <c r="E34" s="148">
        <f>SUM(E27:E33)</f>
        <v>48.836493790175382</v>
      </c>
      <c r="F34" s="77">
        <f>SUM(F27:F32)</f>
        <v>32584.952883790174</v>
      </c>
      <c r="G34" s="64">
        <f>SUM(G27:G32)</f>
        <v>1</v>
      </c>
      <c r="H34" s="64"/>
      <c r="I34" s="64">
        <f>SUM(I27:I32)</f>
        <v>6.5978857866156551E-2</v>
      </c>
      <c r="J34" s="64">
        <f>SUM(J27:J33)</f>
        <v>9.8656233843132629E-2</v>
      </c>
      <c r="K34" s="4"/>
      <c r="L34" s="12"/>
      <c r="M34" s="12"/>
      <c r="N34" s="29"/>
      <c r="O34" s="29"/>
      <c r="P34" s="29"/>
      <c r="Q34" s="151"/>
      <c r="R34" s="29"/>
      <c r="S34" s="29"/>
    </row>
    <row r="35" spans="1:19" ht="13.5" thickTop="1">
      <c r="A35" s="29"/>
      <c r="B35" s="75"/>
      <c r="C35" s="75"/>
      <c r="D35" s="75"/>
      <c r="E35" s="12"/>
      <c r="F35" s="12"/>
      <c r="G35" s="33"/>
      <c r="H35" s="33"/>
      <c r="I35" s="33"/>
      <c r="J35" s="33"/>
      <c r="K35" s="4"/>
      <c r="L35" s="12"/>
      <c r="M35" s="12"/>
      <c r="N35" s="29"/>
      <c r="O35" s="29"/>
      <c r="P35" s="29"/>
      <c r="Q35" s="151"/>
      <c r="R35" s="29"/>
      <c r="S35" s="29"/>
    </row>
    <row r="36" spans="1:19">
      <c r="A36" s="69"/>
      <c r="B36" s="38" t="s">
        <v>13</v>
      </c>
      <c r="C36" s="38"/>
      <c r="D36" s="38"/>
      <c r="E36" s="12"/>
      <c r="F36" s="12"/>
      <c r="G36" s="33"/>
      <c r="H36" s="33"/>
      <c r="I36" s="33"/>
      <c r="J36" s="33">
        <f>J34-J19</f>
        <v>-1.4808234927884967E-4</v>
      </c>
      <c r="K36" s="4"/>
      <c r="L36" s="12"/>
      <c r="M36" s="12"/>
      <c r="N36" s="29"/>
      <c r="O36" s="29"/>
      <c r="P36" s="29"/>
      <c r="Q36" s="151"/>
      <c r="R36" s="29"/>
      <c r="S36" s="29"/>
    </row>
    <row r="37" spans="1:19">
      <c r="A37" s="78"/>
      <c r="B37" s="29" t="s">
        <v>12</v>
      </c>
      <c r="C37" s="29"/>
      <c r="D37" s="29"/>
      <c r="E37" s="29"/>
      <c r="F37" s="29"/>
      <c r="G37" s="29"/>
      <c r="H37" s="29"/>
      <c r="I37" s="68"/>
      <c r="J37" s="65">
        <f>'Exh. LK-27 - Page 1'!$D$25</f>
        <v>32025.420553638072</v>
      </c>
      <c r="K37" s="4"/>
      <c r="L37" s="12"/>
      <c r="M37" s="12"/>
      <c r="N37" s="29"/>
      <c r="O37" s="29"/>
      <c r="P37" s="29"/>
      <c r="Q37" s="151"/>
      <c r="R37" s="29"/>
      <c r="S37" s="29"/>
    </row>
    <row r="38" spans="1:19">
      <c r="A38" s="78"/>
      <c r="B38" s="12"/>
      <c r="C38" s="12"/>
      <c r="D38" s="12"/>
      <c r="E38" s="12"/>
      <c r="F38" s="12"/>
      <c r="G38" s="12"/>
      <c r="H38" s="39"/>
      <c r="I38" s="33"/>
      <c r="J38" s="33"/>
      <c r="K38" s="4"/>
      <c r="L38" s="12"/>
      <c r="M38" s="12"/>
      <c r="N38" s="29"/>
      <c r="O38" s="29"/>
      <c r="P38" s="29"/>
      <c r="Q38" s="151"/>
      <c r="R38" s="29"/>
      <c r="S38" s="29"/>
    </row>
    <row r="39" spans="1:19" ht="13.5" thickBot="1">
      <c r="A39" s="29"/>
      <c r="B39" s="12" t="s">
        <v>14</v>
      </c>
      <c r="C39" s="12"/>
      <c r="D39" s="12"/>
      <c r="E39" s="12"/>
      <c r="F39" s="12"/>
      <c r="G39" s="39"/>
      <c r="H39" s="39"/>
      <c r="I39" s="79"/>
      <c r="J39" s="80">
        <f>J37*J36</f>
        <v>-4.7423995122258837</v>
      </c>
      <c r="K39" s="4"/>
      <c r="L39" s="12"/>
      <c r="M39" s="12"/>
      <c r="N39" s="29"/>
      <c r="O39" s="29"/>
      <c r="P39" s="29"/>
      <c r="Q39" s="151"/>
      <c r="R39" s="29"/>
      <c r="S39" s="29"/>
    </row>
    <row r="40" spans="1:19" ht="13.5" thickTop="1">
      <c r="A40" s="29"/>
      <c r="B40" s="12"/>
      <c r="C40" s="12"/>
      <c r="D40" s="12"/>
      <c r="E40" s="12"/>
      <c r="F40" s="12"/>
      <c r="G40" s="39"/>
      <c r="H40" s="39"/>
      <c r="I40" s="79"/>
      <c r="J40" s="59"/>
      <c r="K40" s="4"/>
      <c r="L40" s="12"/>
      <c r="M40" s="12"/>
      <c r="N40" s="29"/>
      <c r="O40" s="29"/>
      <c r="P40" s="29"/>
      <c r="Q40" s="151"/>
      <c r="R40" s="29"/>
      <c r="S40" s="29"/>
    </row>
    <row r="41" spans="1:19">
      <c r="A41" s="29"/>
      <c r="B41" s="12"/>
      <c r="C41" s="12"/>
      <c r="D41" s="12"/>
      <c r="E41" s="12"/>
      <c r="F41" s="12"/>
      <c r="G41" s="39"/>
      <c r="H41" s="39"/>
      <c r="I41" s="79"/>
      <c r="J41" s="59"/>
      <c r="K41" s="4"/>
      <c r="L41" s="12"/>
      <c r="M41" s="12"/>
      <c r="N41" s="29"/>
      <c r="O41" s="29"/>
      <c r="P41" s="29"/>
      <c r="Q41" s="151"/>
      <c r="R41" s="29"/>
      <c r="S41" s="29"/>
    </row>
    <row r="42" spans="1:19">
      <c r="A42" s="29"/>
      <c r="B42" s="12"/>
      <c r="C42" s="12"/>
      <c r="D42" s="12"/>
      <c r="E42" s="12"/>
      <c r="F42" s="12"/>
      <c r="G42" s="39"/>
      <c r="H42" s="39"/>
      <c r="I42" s="79"/>
      <c r="J42" s="59"/>
      <c r="K42" s="4"/>
      <c r="L42" s="12"/>
      <c r="M42" s="12"/>
      <c r="N42" s="29"/>
      <c r="O42" s="29"/>
      <c r="P42" s="29"/>
      <c r="Q42" s="151"/>
      <c r="R42" s="29"/>
      <c r="S42" s="29"/>
    </row>
    <row r="43" spans="1:19">
      <c r="A43" s="29"/>
      <c r="B43" s="12"/>
      <c r="C43" s="12"/>
      <c r="D43" s="12"/>
      <c r="E43" s="12"/>
      <c r="F43" s="12"/>
      <c r="G43" s="39"/>
      <c r="H43" s="39"/>
      <c r="I43" s="79"/>
      <c r="J43" s="59"/>
      <c r="K43" s="4"/>
      <c r="L43" s="12"/>
      <c r="M43" s="12"/>
      <c r="N43" s="29"/>
      <c r="O43" s="29"/>
      <c r="P43" s="29"/>
      <c r="Q43" s="151"/>
      <c r="R43" s="29"/>
      <c r="S43" s="29"/>
    </row>
    <row r="44" spans="1:19">
      <c r="A44" s="29"/>
      <c r="B44" s="12"/>
      <c r="C44" s="12"/>
      <c r="D44" s="12"/>
      <c r="E44" s="12"/>
      <c r="F44" s="12"/>
      <c r="G44" s="39"/>
      <c r="H44" s="39"/>
      <c r="I44" s="79"/>
      <c r="J44" s="59"/>
      <c r="K44" s="4"/>
      <c r="L44" s="12"/>
      <c r="M44" s="12"/>
      <c r="N44" s="29"/>
      <c r="O44" s="29"/>
      <c r="P44" s="29"/>
      <c r="Q44" s="151"/>
      <c r="R44" s="29"/>
      <c r="S44" s="29"/>
    </row>
    <row r="45" spans="1:19">
      <c r="B45" s="7"/>
      <c r="C45" s="7"/>
      <c r="D45" s="7"/>
      <c r="E45" s="4"/>
      <c r="F45" s="35"/>
      <c r="G45" s="36"/>
      <c r="H45" s="36"/>
      <c r="I45" s="36"/>
      <c r="J45" s="36"/>
      <c r="K45" s="4"/>
      <c r="L45" s="12"/>
      <c r="M45" s="12"/>
      <c r="N45" s="29"/>
      <c r="O45" s="29"/>
      <c r="P45" s="29"/>
      <c r="Q45" s="151"/>
      <c r="R45" s="29"/>
      <c r="S45" s="29"/>
    </row>
    <row r="46" spans="1:19">
      <c r="A46" s="67" t="s">
        <v>365</v>
      </c>
      <c r="B46" s="29"/>
      <c r="C46" s="29"/>
      <c r="D46" s="29"/>
      <c r="E46" s="29"/>
      <c r="F46" s="29"/>
      <c r="G46" s="29"/>
      <c r="H46" s="29"/>
      <c r="I46" s="68"/>
      <c r="J46" s="68"/>
      <c r="K46" s="4"/>
      <c r="L46" s="12"/>
      <c r="M46" s="12"/>
      <c r="N46" s="29"/>
      <c r="O46" s="29"/>
      <c r="P46" s="29"/>
      <c r="Q46" s="151"/>
      <c r="R46" s="29"/>
      <c r="S46" s="29"/>
    </row>
    <row r="47" spans="1:19">
      <c r="A47" s="69"/>
      <c r="B47" s="12"/>
      <c r="C47" s="12"/>
      <c r="D47" s="39" t="s">
        <v>20</v>
      </c>
      <c r="E47" s="12"/>
      <c r="F47" s="39" t="s">
        <v>20</v>
      </c>
      <c r="G47" s="12"/>
      <c r="H47" s="39"/>
      <c r="I47" s="12"/>
      <c r="J47" s="62" t="s">
        <v>37</v>
      </c>
      <c r="K47" s="4"/>
      <c r="L47" s="12"/>
      <c r="M47" s="12"/>
      <c r="N47" s="29"/>
      <c r="O47" s="29"/>
      <c r="P47" s="29"/>
      <c r="Q47" s="151"/>
      <c r="R47" s="29"/>
      <c r="S47" s="29"/>
    </row>
    <row r="48" spans="1:19">
      <c r="A48" s="69"/>
      <c r="B48" s="12"/>
      <c r="C48" s="12"/>
      <c r="D48" s="39" t="s">
        <v>27</v>
      </c>
      <c r="E48" s="39" t="s">
        <v>20</v>
      </c>
      <c r="F48" s="40" t="s">
        <v>25</v>
      </c>
      <c r="G48" s="40" t="s">
        <v>0</v>
      </c>
      <c r="H48" s="40" t="s">
        <v>5</v>
      </c>
      <c r="I48" s="40" t="s">
        <v>1</v>
      </c>
      <c r="J48" s="40" t="s">
        <v>2</v>
      </c>
      <c r="K48" s="4"/>
      <c r="L48" s="12"/>
      <c r="M48" s="12"/>
      <c r="N48" s="29"/>
      <c r="O48" s="29"/>
      <c r="P48" s="29"/>
      <c r="Q48" s="151"/>
      <c r="R48" s="29"/>
      <c r="S48" s="29"/>
    </row>
    <row r="49" spans="1:19">
      <c r="A49" s="69"/>
      <c r="B49" s="12"/>
      <c r="C49" s="12"/>
      <c r="D49" s="60" t="s">
        <v>28</v>
      </c>
      <c r="E49" s="60" t="s">
        <v>28</v>
      </c>
      <c r="F49" s="60" t="s">
        <v>0</v>
      </c>
      <c r="G49" s="60" t="s">
        <v>3</v>
      </c>
      <c r="H49" s="60" t="s">
        <v>24</v>
      </c>
      <c r="I49" s="60" t="s">
        <v>4</v>
      </c>
      <c r="J49" s="63" t="s">
        <v>5</v>
      </c>
      <c r="K49" s="4"/>
      <c r="L49" s="98" t="s">
        <v>79</v>
      </c>
      <c r="M49" s="99"/>
      <c r="N49" s="100"/>
      <c r="O49" s="100"/>
      <c r="P49" s="101" t="s">
        <v>367</v>
      </c>
      <c r="Q49" s="149"/>
      <c r="R49" s="149">
        <f>E54</f>
        <v>46.878999999999998</v>
      </c>
      <c r="S49" s="100"/>
    </row>
    <row r="50" spans="1:19">
      <c r="A50" s="69"/>
      <c r="B50" s="12"/>
      <c r="C50" s="12"/>
      <c r="D50" s="12"/>
      <c r="E50" s="12"/>
      <c r="F50" s="12"/>
      <c r="G50" s="12"/>
      <c r="H50" s="12"/>
      <c r="I50" s="12"/>
      <c r="J50" s="12"/>
      <c r="K50" s="4"/>
      <c r="L50" s="99"/>
      <c r="M50" s="99"/>
      <c r="N50" s="100"/>
      <c r="O50" s="100"/>
      <c r="P50" s="100"/>
      <c r="Q50" s="149"/>
      <c r="R50" s="100"/>
      <c r="S50" s="100"/>
    </row>
    <row r="51" spans="1:19">
      <c r="A51" s="69"/>
      <c r="B51" s="12" t="s">
        <v>7</v>
      </c>
      <c r="C51" s="12"/>
      <c r="D51" s="70">
        <f>F27</f>
        <v>9358.4169999999995</v>
      </c>
      <c r="E51" s="28">
        <f>-P52</f>
        <v>-17.794859605310752</v>
      </c>
      <c r="F51" s="28">
        <f t="shared" ref="F51:F56" si="7">D51+E51</f>
        <v>9340.6221403946893</v>
      </c>
      <c r="G51" s="47">
        <f>F51/F58</f>
        <v>0.28665446206740747</v>
      </c>
      <c r="H51" s="47">
        <f>H27</f>
        <v>4.6199999999999998E-2</v>
      </c>
      <c r="I51" s="47">
        <f t="shared" ref="I51:I56" si="8">G51*H51</f>
        <v>1.3243436147514224E-2</v>
      </c>
      <c r="J51" s="33">
        <f t="shared" ref="J51:J55" si="9">+I51*1/(1-(0.00072+0.00065))</f>
        <v>1.3261604545741891E-2</v>
      </c>
      <c r="K51" s="4"/>
      <c r="L51" s="101" t="s">
        <v>76</v>
      </c>
      <c r="M51" s="102">
        <f>D53</f>
        <v>612.93920000000003</v>
      </c>
      <c r="N51" s="103">
        <f>M51/M54</f>
        <v>2.4861723447664377E-2</v>
      </c>
      <c r="O51" s="100"/>
      <c r="P51" s="223">
        <f>$R$49*N51</f>
        <v>1.1654927335030583</v>
      </c>
      <c r="Q51" s="149"/>
      <c r="R51" s="103"/>
      <c r="S51" s="100"/>
    </row>
    <row r="52" spans="1:19">
      <c r="A52" s="69"/>
      <c r="B52" s="12" t="s">
        <v>21</v>
      </c>
      <c r="C52" s="12"/>
      <c r="D52" s="44">
        <f t="shared" ref="D52:D56" si="10">F28</f>
        <v>407.32832999999999</v>
      </c>
      <c r="E52" s="28"/>
      <c r="F52" s="28">
        <f t="shared" si="7"/>
        <v>407.32832999999999</v>
      </c>
      <c r="G52" s="47">
        <f>F52/F58</f>
        <v>1.2500503881428995E-2</v>
      </c>
      <c r="H52" s="47">
        <f t="shared" ref="H52:H56" si="11">H28</f>
        <v>2.0500000000000001E-2</v>
      </c>
      <c r="I52" s="47">
        <f t="shared" si="8"/>
        <v>2.562603295692944E-4</v>
      </c>
      <c r="J52" s="33">
        <f t="shared" si="9"/>
        <v>2.5661188785565663E-4</v>
      </c>
      <c r="K52" s="4"/>
      <c r="L52" s="101" t="s">
        <v>77</v>
      </c>
      <c r="M52" s="102">
        <f>D51</f>
        <v>9358.4169999999995</v>
      </c>
      <c r="N52" s="103">
        <f>M52/M54</f>
        <v>0.37959127979075391</v>
      </c>
      <c r="O52" s="100"/>
      <c r="P52" s="223">
        <f>$R$49*N52</f>
        <v>17.794859605310752</v>
      </c>
      <c r="Q52" s="149"/>
      <c r="R52" s="103"/>
      <c r="S52" s="100"/>
    </row>
    <row r="53" spans="1:19">
      <c r="A53" s="69"/>
      <c r="B53" s="12" t="s">
        <v>6</v>
      </c>
      <c r="C53" s="12"/>
      <c r="D53" s="44">
        <f t="shared" si="10"/>
        <v>612.93920000000003</v>
      </c>
      <c r="E53" s="28">
        <f>-P51</f>
        <v>-1.1654927335030583</v>
      </c>
      <c r="F53" s="28">
        <f t="shared" si="7"/>
        <v>611.77370726649701</v>
      </c>
      <c r="G53" s="47">
        <f>F53/F58</f>
        <v>1.8774730454523141E-2</v>
      </c>
      <c r="H53" s="47">
        <f t="shared" si="11"/>
        <v>1.8499999999999999E-2</v>
      </c>
      <c r="I53" s="47">
        <f t="shared" si="8"/>
        <v>3.4733251340867809E-4</v>
      </c>
      <c r="J53" s="33">
        <f t="shared" si="9"/>
        <v>3.4780901175478213E-4</v>
      </c>
      <c r="K53" s="4"/>
      <c r="L53" s="101" t="s">
        <v>78</v>
      </c>
      <c r="M53" s="102">
        <f>D56</f>
        <v>14682.57422</v>
      </c>
      <c r="N53" s="103">
        <f>M53/M54</f>
        <v>0.59554699676158163</v>
      </c>
      <c r="O53" s="100"/>
      <c r="P53" s="223">
        <f>$R$49*N53</f>
        <v>27.918647661186185</v>
      </c>
      <c r="Q53" s="149"/>
      <c r="R53" s="103"/>
      <c r="S53" s="100"/>
    </row>
    <row r="54" spans="1:19">
      <c r="A54" s="69"/>
      <c r="B54" s="12" t="s">
        <v>22</v>
      </c>
      <c r="C54" s="12"/>
      <c r="D54" s="44">
        <f t="shared" si="10"/>
        <v>7417.4189837901749</v>
      </c>
      <c r="E54" s="28">
        <v>46.878999999999998</v>
      </c>
      <c r="F54" s="28">
        <f t="shared" si="7"/>
        <v>7464.2979837901748</v>
      </c>
      <c r="G54" s="47">
        <f>F54/F58</f>
        <v>0.22907192808934185</v>
      </c>
      <c r="H54" s="47">
        <f t="shared" si="11"/>
        <v>0</v>
      </c>
      <c r="I54" s="47">
        <f t="shared" si="8"/>
        <v>0</v>
      </c>
      <c r="J54" s="33">
        <f t="shared" si="9"/>
        <v>0</v>
      </c>
      <c r="K54" s="4"/>
      <c r="L54" s="99"/>
      <c r="M54" s="102">
        <f>SUM(M51:M53)</f>
        <v>24653.930420000001</v>
      </c>
      <c r="N54" s="100"/>
      <c r="O54" s="100"/>
      <c r="P54" s="223">
        <f>SUM(P51:P53)</f>
        <v>46.878999999999991</v>
      </c>
      <c r="Q54" s="149"/>
      <c r="R54" s="100"/>
      <c r="S54" s="100"/>
    </row>
    <row r="55" spans="1:19">
      <c r="A55" s="69"/>
      <c r="B55" s="12" t="s">
        <v>23</v>
      </c>
      <c r="C55" s="12"/>
      <c r="D55" s="44">
        <f t="shared" si="10"/>
        <v>106.27515</v>
      </c>
      <c r="E55" s="28"/>
      <c r="F55" s="28">
        <f t="shared" si="7"/>
        <v>106.27515</v>
      </c>
      <c r="G55" s="48">
        <f>F55/F58</f>
        <v>3.2614793208084708E-3</v>
      </c>
      <c r="H55" s="47">
        <f t="shared" si="11"/>
        <v>8.8200000000000001E-2</v>
      </c>
      <c r="I55" s="49">
        <f t="shared" si="8"/>
        <v>2.8766247609530711E-4</v>
      </c>
      <c r="J55" s="33">
        <f t="shared" si="9"/>
        <v>2.8805711434195559E-4</v>
      </c>
      <c r="K55" s="4"/>
      <c r="L55" s="99"/>
      <c r="M55" s="99"/>
      <c r="N55" s="100"/>
      <c r="O55" s="100"/>
      <c r="P55" s="100"/>
      <c r="Q55" s="100"/>
      <c r="R55" s="100"/>
      <c r="S55" s="100"/>
    </row>
    <row r="56" spans="1:19">
      <c r="A56" s="69"/>
      <c r="B56" s="12" t="s">
        <v>8</v>
      </c>
      <c r="C56" s="12"/>
      <c r="D56" s="71">
        <f t="shared" si="10"/>
        <v>14682.57422</v>
      </c>
      <c r="E56" s="50">
        <f>-P53</f>
        <v>-27.918647661186185</v>
      </c>
      <c r="F56" s="50">
        <f t="shared" si="7"/>
        <v>14654.655572338814</v>
      </c>
      <c r="G56" s="51">
        <f>F56/F58</f>
        <v>0.44973689618649015</v>
      </c>
      <c r="H56" s="47">
        <f t="shared" si="11"/>
        <v>0.115</v>
      </c>
      <c r="I56" s="52">
        <f t="shared" si="8"/>
        <v>5.1719743061446367E-2</v>
      </c>
      <c r="J56" s="51">
        <f>+I56*1.63024</f>
        <v>8.4315593928492319E-2</v>
      </c>
      <c r="K56" s="4"/>
      <c r="L56" s="99"/>
      <c r="M56" s="99"/>
      <c r="N56" s="100"/>
      <c r="O56" s="100"/>
      <c r="P56" s="100"/>
      <c r="Q56" s="100"/>
      <c r="R56" s="100"/>
      <c r="S56" s="100"/>
    </row>
    <row r="57" spans="1:19">
      <c r="A57" s="69"/>
      <c r="B57" s="12"/>
      <c r="C57" s="12"/>
      <c r="D57" s="12"/>
      <c r="E57" s="28"/>
      <c r="F57" s="72"/>
      <c r="G57" s="73"/>
      <c r="H57" s="74"/>
      <c r="I57" s="74"/>
      <c r="J57" s="74"/>
      <c r="K57" s="4"/>
      <c r="L57" s="12"/>
      <c r="M57" s="12"/>
      <c r="N57" s="29"/>
      <c r="O57" s="29"/>
      <c r="P57" s="29"/>
      <c r="Q57" s="151"/>
      <c r="R57" s="29"/>
      <c r="S57" s="29"/>
    </row>
    <row r="58" spans="1:19" ht="13.5" thickBot="1">
      <c r="A58" s="29"/>
      <c r="B58" s="75" t="s">
        <v>9</v>
      </c>
      <c r="C58" s="75"/>
      <c r="D58" s="76">
        <f>SUM(D51:D57)</f>
        <v>32584.952883790174</v>
      </c>
      <c r="E58" s="148">
        <f>SUM(E51:E57)</f>
        <v>0</v>
      </c>
      <c r="F58" s="77">
        <f>SUM(F51:F56)</f>
        <v>32584.952883790174</v>
      </c>
      <c r="G58" s="64">
        <f>SUM(G51:G56)</f>
        <v>1</v>
      </c>
      <c r="H58" s="64"/>
      <c r="I58" s="64">
        <f>SUM(I51:I56)</f>
        <v>6.585443452803387E-2</v>
      </c>
      <c r="J58" s="64">
        <f>SUM(J51:J57)</f>
        <v>9.8469676488186608E-2</v>
      </c>
      <c r="K58" s="4"/>
      <c r="L58" s="12"/>
      <c r="M58" s="12"/>
      <c r="N58" s="29"/>
      <c r="O58" s="29"/>
      <c r="P58" s="29"/>
      <c r="Q58" s="151"/>
      <c r="R58" s="29"/>
      <c r="S58" s="29"/>
    </row>
    <row r="59" spans="1:19" ht="13.5" thickTop="1">
      <c r="A59" s="29"/>
      <c r="B59" s="75"/>
      <c r="C59" s="75"/>
      <c r="D59" s="75"/>
      <c r="E59" s="12"/>
      <c r="F59" s="12"/>
      <c r="G59" s="33"/>
      <c r="H59" s="33"/>
      <c r="I59" s="33"/>
      <c r="J59" s="33"/>
      <c r="K59" s="4"/>
      <c r="L59" s="12"/>
      <c r="M59" s="12"/>
      <c r="N59" s="29"/>
      <c r="O59" s="29"/>
      <c r="P59" s="29"/>
      <c r="Q59" s="151"/>
      <c r="R59" s="29"/>
      <c r="S59" s="29"/>
    </row>
    <row r="60" spans="1:19">
      <c r="A60" s="69"/>
      <c r="B60" s="38" t="s">
        <v>13</v>
      </c>
      <c r="C60" s="38"/>
      <c r="D60" s="38"/>
      <c r="E60" s="12"/>
      <c r="F60" s="12"/>
      <c r="G60" s="33"/>
      <c r="H60" s="33"/>
      <c r="I60" s="33"/>
      <c r="J60" s="222">
        <f>J58-J34</f>
        <v>-1.8655735494602088E-4</v>
      </c>
      <c r="K60" s="4"/>
      <c r="L60" s="12"/>
      <c r="M60" s="12"/>
      <c r="N60" s="29"/>
      <c r="O60" s="29"/>
      <c r="P60" s="29"/>
      <c r="Q60" s="151"/>
      <c r="R60" s="29"/>
      <c r="S60" s="29"/>
    </row>
    <row r="61" spans="1:19">
      <c r="A61" s="78"/>
      <c r="B61" s="29" t="s">
        <v>12</v>
      </c>
      <c r="C61" s="29"/>
      <c r="D61" s="29"/>
      <c r="E61" s="29"/>
      <c r="F61" s="29"/>
      <c r="G61" s="29"/>
      <c r="H61" s="29"/>
      <c r="I61" s="68"/>
      <c r="J61" s="65">
        <f>'Exh. LK-27 - Page 1'!$D$25</f>
        <v>32025.420553638072</v>
      </c>
      <c r="K61" s="4"/>
      <c r="L61" s="12"/>
      <c r="M61" s="12"/>
      <c r="N61" s="29"/>
      <c r="O61" s="29"/>
      <c r="P61" s="29"/>
      <c r="Q61" s="151"/>
      <c r="R61" s="29"/>
      <c r="S61" s="29"/>
    </row>
    <row r="62" spans="1:19">
      <c r="A62" s="78"/>
      <c r="B62" s="12"/>
      <c r="C62" s="12"/>
      <c r="D62" s="12"/>
      <c r="E62" s="12"/>
      <c r="F62" s="12"/>
      <c r="G62" s="12"/>
      <c r="H62" s="39"/>
      <c r="I62" s="33"/>
      <c r="J62" s="33"/>
      <c r="K62" s="4"/>
      <c r="L62" s="12"/>
      <c r="M62" s="12"/>
      <c r="N62" s="29"/>
      <c r="O62" s="29"/>
      <c r="P62" s="29"/>
      <c r="Q62" s="151"/>
      <c r="R62" s="29"/>
      <c r="S62" s="29"/>
    </row>
    <row r="63" spans="1:19" ht="13.5" thickBot="1">
      <c r="A63" s="29"/>
      <c r="B63" s="12" t="s">
        <v>14</v>
      </c>
      <c r="C63" s="12"/>
      <c r="D63" s="12"/>
      <c r="E63" s="12"/>
      <c r="F63" s="12"/>
      <c r="G63" s="39"/>
      <c r="H63" s="39"/>
      <c r="I63" s="79"/>
      <c r="J63" s="80">
        <f>J61*J60</f>
        <v>-5.97457774952065</v>
      </c>
      <c r="K63" s="4"/>
      <c r="L63" s="12"/>
      <c r="M63" s="12"/>
      <c r="N63" s="29"/>
      <c r="O63" s="29"/>
      <c r="P63" s="29"/>
      <c r="Q63" s="151"/>
      <c r="R63" s="29"/>
      <c r="S63" s="29"/>
    </row>
    <row r="64" spans="1:19" ht="13.5" thickTop="1">
      <c r="A64" s="29"/>
      <c r="B64" s="12"/>
      <c r="C64" s="12"/>
      <c r="D64" s="12"/>
      <c r="E64" s="12"/>
      <c r="F64" s="12"/>
      <c r="G64" s="39"/>
      <c r="H64" s="39"/>
      <c r="I64" s="79"/>
      <c r="J64" s="59"/>
      <c r="K64" s="4"/>
      <c r="L64" s="12"/>
      <c r="M64" s="12"/>
      <c r="N64" s="29"/>
      <c r="O64" s="29"/>
      <c r="P64" s="29"/>
      <c r="Q64" s="151"/>
      <c r="R64" s="29"/>
      <c r="S64" s="29"/>
    </row>
    <row r="65" spans="1:19">
      <c r="B65" s="7"/>
      <c r="C65" s="7"/>
      <c r="D65" s="7"/>
      <c r="E65" s="4"/>
      <c r="F65" s="35"/>
      <c r="G65" s="36"/>
      <c r="H65" s="36"/>
      <c r="I65" s="36"/>
      <c r="J65" s="36"/>
      <c r="K65" s="4"/>
      <c r="L65" s="12"/>
      <c r="M65" s="12"/>
      <c r="N65" s="29"/>
      <c r="O65" s="29"/>
      <c r="P65" s="29"/>
      <c r="Q65" s="151"/>
      <c r="R65" s="29"/>
      <c r="S65" s="29"/>
    </row>
    <row r="66" spans="1:19">
      <c r="A66" s="67" t="s">
        <v>366</v>
      </c>
      <c r="B66" s="29"/>
      <c r="C66" s="29"/>
      <c r="D66" s="29"/>
      <c r="E66" s="29"/>
      <c r="F66" s="29"/>
      <c r="G66" s="29"/>
      <c r="H66" s="29"/>
      <c r="I66" s="68"/>
      <c r="J66" s="68"/>
      <c r="K66" s="4"/>
      <c r="L66" s="12"/>
      <c r="M66" s="12"/>
      <c r="N66" s="29"/>
      <c r="O66" s="29"/>
      <c r="P66" s="29"/>
      <c r="Q66" s="151"/>
      <c r="R66" s="29"/>
      <c r="S66" s="29"/>
    </row>
    <row r="67" spans="1:19">
      <c r="A67" s="69"/>
      <c r="B67" s="12"/>
      <c r="C67" s="12"/>
      <c r="D67" s="39" t="s">
        <v>20</v>
      </c>
      <c r="E67" s="12"/>
      <c r="F67" s="39" t="s">
        <v>20</v>
      </c>
      <c r="G67" s="12"/>
      <c r="H67" s="39"/>
      <c r="I67" s="12"/>
      <c r="J67" s="62" t="s">
        <v>37</v>
      </c>
      <c r="K67" s="4"/>
      <c r="L67" s="12"/>
      <c r="M67" s="12"/>
      <c r="N67" s="29"/>
      <c r="O67" s="29"/>
      <c r="P67" s="29"/>
      <c r="Q67" s="151"/>
      <c r="R67" s="29"/>
      <c r="S67" s="29"/>
    </row>
    <row r="68" spans="1:19">
      <c r="A68" s="69"/>
      <c r="B68" s="12"/>
      <c r="C68" s="12"/>
      <c r="D68" s="39" t="s">
        <v>27</v>
      </c>
      <c r="E68" s="39" t="s">
        <v>20</v>
      </c>
      <c r="F68" s="40" t="s">
        <v>25</v>
      </c>
      <c r="G68" s="40" t="s">
        <v>0</v>
      </c>
      <c r="H68" s="40" t="s">
        <v>5</v>
      </c>
      <c r="I68" s="40" t="s">
        <v>1</v>
      </c>
      <c r="J68" s="40" t="s">
        <v>2</v>
      </c>
      <c r="K68" s="4"/>
      <c r="L68" s="12"/>
      <c r="M68" s="12"/>
      <c r="N68" s="29"/>
      <c r="O68" s="29"/>
      <c r="P68" s="29"/>
      <c r="Q68" s="151"/>
      <c r="R68" s="29"/>
      <c r="S68" s="29"/>
    </row>
    <row r="69" spans="1:19">
      <c r="A69" s="69"/>
      <c r="B69" s="12"/>
      <c r="C69" s="12"/>
      <c r="D69" s="60" t="s">
        <v>28</v>
      </c>
      <c r="E69" s="60" t="s">
        <v>28</v>
      </c>
      <c r="F69" s="60" t="s">
        <v>0</v>
      </c>
      <c r="G69" s="60" t="s">
        <v>3</v>
      </c>
      <c r="H69" s="60" t="s">
        <v>24</v>
      </c>
      <c r="I69" s="60" t="s">
        <v>4</v>
      </c>
      <c r="J69" s="63" t="s">
        <v>5</v>
      </c>
      <c r="K69" s="4"/>
      <c r="L69" s="12"/>
      <c r="M69" s="12"/>
      <c r="N69" s="29"/>
      <c r="O69" s="29"/>
      <c r="P69" s="29"/>
      <c r="Q69" s="151"/>
      <c r="R69" s="29"/>
      <c r="S69" s="29"/>
    </row>
    <row r="70" spans="1:19">
      <c r="A70" s="69"/>
      <c r="B70" s="12"/>
      <c r="C70" s="12"/>
      <c r="D70" s="12"/>
      <c r="E70" s="12"/>
      <c r="F70" s="12"/>
      <c r="G70" s="12"/>
      <c r="H70" s="12"/>
      <c r="I70" s="12"/>
      <c r="J70" s="12"/>
      <c r="K70" s="4"/>
      <c r="L70" s="12"/>
      <c r="M70" s="12"/>
      <c r="N70" s="29"/>
      <c r="O70" s="29"/>
      <c r="P70" s="29"/>
      <c r="Q70" s="151"/>
      <c r="R70" s="29"/>
      <c r="S70" s="29"/>
    </row>
    <row r="71" spans="1:19">
      <c r="A71" s="69"/>
      <c r="B71" s="12" t="s">
        <v>7</v>
      </c>
      <c r="C71" s="12"/>
      <c r="D71" s="70">
        <f>F51</f>
        <v>9340.6221403946893</v>
      </c>
      <c r="E71" s="28"/>
      <c r="F71" s="28">
        <f t="shared" ref="F71:F76" si="12">D71+E71</f>
        <v>9340.6221403946893</v>
      </c>
      <c r="G71" s="47">
        <f>F71/F78</f>
        <v>0.28665446206740747</v>
      </c>
      <c r="H71" s="47">
        <f>H12</f>
        <v>4.6199999999999998E-2</v>
      </c>
      <c r="I71" s="47">
        <f t="shared" ref="I71:I76" si="13">G71*H71</f>
        <v>1.3243436147514224E-2</v>
      </c>
      <c r="J71" s="33">
        <f t="shared" ref="J71:J75" si="14">+I71*1/(1-(0.00072+0.00065))</f>
        <v>1.3261604545741891E-2</v>
      </c>
      <c r="K71" s="4"/>
      <c r="L71" s="12"/>
      <c r="M71" s="12"/>
      <c r="N71" s="29"/>
      <c r="O71" s="29"/>
      <c r="P71" s="29"/>
      <c r="Q71" s="151"/>
      <c r="R71" s="29"/>
      <c r="S71" s="29"/>
    </row>
    <row r="72" spans="1:19">
      <c r="A72" s="69"/>
      <c r="B72" s="12" t="s">
        <v>21</v>
      </c>
      <c r="C72" s="12"/>
      <c r="D72" s="44">
        <f t="shared" ref="D72:D76" si="15">F52</f>
        <v>407.32832999999999</v>
      </c>
      <c r="E72" s="28"/>
      <c r="F72" s="28">
        <f t="shared" si="12"/>
        <v>407.32832999999999</v>
      </c>
      <c r="G72" s="47">
        <f>F72/F78</f>
        <v>1.2500503881428995E-2</v>
      </c>
      <c r="H72" s="47">
        <f>H13</f>
        <v>2.0500000000000001E-2</v>
      </c>
      <c r="I72" s="47">
        <f t="shared" si="13"/>
        <v>2.562603295692944E-4</v>
      </c>
      <c r="J72" s="33">
        <f t="shared" si="14"/>
        <v>2.5661188785565663E-4</v>
      </c>
      <c r="K72" s="4"/>
      <c r="L72" s="12"/>
      <c r="M72" s="12"/>
      <c r="N72" s="29"/>
      <c r="O72" s="29"/>
      <c r="P72" s="29"/>
      <c r="Q72" s="151"/>
      <c r="R72" s="29"/>
      <c r="S72" s="29"/>
    </row>
    <row r="73" spans="1:19">
      <c r="A73" s="69"/>
      <c r="B73" s="12" t="s">
        <v>6</v>
      </c>
      <c r="C73" s="12"/>
      <c r="D73" s="44">
        <f t="shared" si="15"/>
        <v>611.77370726649701</v>
      </c>
      <c r="E73" s="28"/>
      <c r="F73" s="28">
        <f t="shared" si="12"/>
        <v>611.77370726649701</v>
      </c>
      <c r="G73" s="47">
        <f>F73/F78</f>
        <v>1.8774730454523141E-2</v>
      </c>
      <c r="H73" s="47">
        <v>1.1900000000000001E-2</v>
      </c>
      <c r="I73" s="47">
        <f t="shared" si="13"/>
        <v>2.2341929240882541E-4</v>
      </c>
      <c r="J73" s="33">
        <f t="shared" si="14"/>
        <v>2.2372579675037342E-4</v>
      </c>
      <c r="K73" s="4"/>
      <c r="L73" s="12"/>
      <c r="M73" s="12"/>
      <c r="N73" s="29"/>
      <c r="O73" s="29"/>
      <c r="P73" s="29"/>
      <c r="Q73" s="151"/>
      <c r="R73" s="29"/>
      <c r="S73" s="29"/>
    </row>
    <row r="74" spans="1:19">
      <c r="A74" s="69"/>
      <c r="B74" s="12" t="s">
        <v>22</v>
      </c>
      <c r="C74" s="12"/>
      <c r="D74" s="44">
        <f t="shared" si="15"/>
        <v>7464.2979837901748</v>
      </c>
      <c r="E74" s="28"/>
      <c r="F74" s="28">
        <f t="shared" si="12"/>
        <v>7464.2979837901748</v>
      </c>
      <c r="G74" s="47">
        <f>F74/F78</f>
        <v>0.22907192808934185</v>
      </c>
      <c r="H74" s="47">
        <f>H15</f>
        <v>0</v>
      </c>
      <c r="I74" s="47">
        <f t="shared" si="13"/>
        <v>0</v>
      </c>
      <c r="J74" s="33">
        <f t="shared" si="14"/>
        <v>0</v>
      </c>
      <c r="K74" s="4"/>
      <c r="L74" s="12"/>
      <c r="M74" s="12"/>
      <c r="N74" s="29"/>
      <c r="O74" s="29"/>
      <c r="P74" s="29"/>
      <c r="Q74" s="151"/>
      <c r="R74" s="29"/>
      <c r="S74" s="29"/>
    </row>
    <row r="75" spans="1:19">
      <c r="A75" s="69"/>
      <c r="B75" s="12" t="s">
        <v>23</v>
      </c>
      <c r="C75" s="12"/>
      <c r="D75" s="44">
        <f t="shared" si="15"/>
        <v>106.27515</v>
      </c>
      <c r="E75" s="28"/>
      <c r="F75" s="28">
        <f t="shared" si="12"/>
        <v>106.27515</v>
      </c>
      <c r="G75" s="48">
        <f>F75/F78</f>
        <v>3.2614793208084708E-3</v>
      </c>
      <c r="H75" s="47">
        <f>H16</f>
        <v>8.8200000000000001E-2</v>
      </c>
      <c r="I75" s="49">
        <f t="shared" si="13"/>
        <v>2.8766247609530711E-4</v>
      </c>
      <c r="J75" s="33">
        <f t="shared" si="14"/>
        <v>2.8805711434195559E-4</v>
      </c>
      <c r="K75" s="4"/>
      <c r="L75" s="12"/>
      <c r="M75" s="12"/>
      <c r="N75" s="29"/>
      <c r="O75" s="29"/>
      <c r="P75" s="29"/>
      <c r="Q75" s="151"/>
      <c r="R75" s="29"/>
      <c r="S75" s="29"/>
    </row>
    <row r="76" spans="1:19">
      <c r="A76" s="69"/>
      <c r="B76" s="12" t="s">
        <v>8</v>
      </c>
      <c r="C76" s="12"/>
      <c r="D76" s="71">
        <f t="shared" si="15"/>
        <v>14654.655572338814</v>
      </c>
      <c r="E76" s="50"/>
      <c r="F76" s="50">
        <f t="shared" si="12"/>
        <v>14654.655572338814</v>
      </c>
      <c r="G76" s="51">
        <f>F76/F78</f>
        <v>0.44973689618649015</v>
      </c>
      <c r="H76" s="47">
        <f>H17</f>
        <v>0.115</v>
      </c>
      <c r="I76" s="52">
        <f t="shared" si="13"/>
        <v>5.1719743061446367E-2</v>
      </c>
      <c r="J76" s="51">
        <f>+I76*1.63024</f>
        <v>8.4315593928492319E-2</v>
      </c>
      <c r="K76" s="4"/>
      <c r="L76" s="12"/>
      <c r="M76" s="12"/>
      <c r="N76" s="29"/>
      <c r="O76" s="29"/>
      <c r="P76" s="29"/>
      <c r="Q76" s="151"/>
      <c r="R76" s="29"/>
      <c r="S76" s="29"/>
    </row>
    <row r="77" spans="1:19">
      <c r="A77" s="69"/>
      <c r="B77" s="12"/>
      <c r="C77" s="12"/>
      <c r="D77" s="12"/>
      <c r="E77" s="28"/>
      <c r="F77" s="72"/>
      <c r="G77" s="73"/>
      <c r="H77" s="74"/>
      <c r="I77" s="74"/>
      <c r="J77" s="74"/>
      <c r="K77" s="4"/>
      <c r="L77" s="12"/>
      <c r="M77" s="12"/>
      <c r="N77" s="29"/>
      <c r="O77" s="29"/>
      <c r="P77" s="29"/>
      <c r="Q77" s="151"/>
      <c r="R77" s="29"/>
      <c r="S77" s="29"/>
    </row>
    <row r="78" spans="1:19" ht="13.5" thickBot="1">
      <c r="A78" s="29"/>
      <c r="B78" s="75" t="s">
        <v>9</v>
      </c>
      <c r="C78" s="75"/>
      <c r="D78" s="76">
        <f>SUM(D71:D77)</f>
        <v>32584.952883790174</v>
      </c>
      <c r="E78" s="148">
        <f>SUM(E71:E77)</f>
        <v>0</v>
      </c>
      <c r="F78" s="77">
        <f>SUM(F71:F76)</f>
        <v>32584.952883790174</v>
      </c>
      <c r="G78" s="64">
        <f>SUM(G71:G76)</f>
        <v>1</v>
      </c>
      <c r="H78" s="64"/>
      <c r="I78" s="64">
        <f>SUM(I71:I76)</f>
        <v>6.5730521307034023E-2</v>
      </c>
      <c r="J78" s="64">
        <f>SUM(J71:J77)</f>
        <v>9.8345593273182194E-2</v>
      </c>
      <c r="K78" s="4"/>
      <c r="L78" s="12"/>
      <c r="M78" s="12"/>
      <c r="N78" s="29"/>
      <c r="O78" s="29"/>
      <c r="P78" s="29"/>
      <c r="Q78" s="151"/>
      <c r="R78" s="29"/>
      <c r="S78" s="29"/>
    </row>
    <row r="79" spans="1:19" ht="13.5" thickTop="1">
      <c r="A79" s="29"/>
      <c r="B79" s="75"/>
      <c r="C79" s="75"/>
      <c r="D79" s="75"/>
      <c r="E79" s="12"/>
      <c r="F79" s="12"/>
      <c r="G79" s="33"/>
      <c r="H79" s="33"/>
      <c r="I79" s="33"/>
      <c r="J79" s="33"/>
      <c r="K79" s="4"/>
      <c r="L79" s="12"/>
      <c r="M79" s="12"/>
      <c r="N79" s="29"/>
      <c r="O79" s="29"/>
      <c r="P79" s="29"/>
      <c r="Q79" s="151"/>
      <c r="R79" s="29"/>
      <c r="S79" s="29"/>
    </row>
    <row r="80" spans="1:19">
      <c r="A80" s="69"/>
      <c r="B80" s="38" t="s">
        <v>13</v>
      </c>
      <c r="C80" s="38"/>
      <c r="D80" s="38"/>
      <c r="E80" s="12"/>
      <c r="F80" s="12"/>
      <c r="G80" s="33"/>
      <c r="H80" s="33"/>
      <c r="I80" s="33"/>
      <c r="J80" s="33">
        <f>J78-J58</f>
        <v>-1.240832150044141E-4</v>
      </c>
      <c r="K80" s="4"/>
      <c r="L80" s="12"/>
      <c r="M80" s="12"/>
      <c r="N80" s="29"/>
      <c r="O80" s="29"/>
      <c r="P80" s="29"/>
      <c r="Q80" s="151"/>
      <c r="R80" s="29"/>
      <c r="S80" s="29"/>
    </row>
    <row r="81" spans="1:19">
      <c r="A81" s="78"/>
      <c r="B81" s="29" t="s">
        <v>12</v>
      </c>
      <c r="C81" s="29"/>
      <c r="D81" s="29"/>
      <c r="E81" s="29"/>
      <c r="F81" s="29"/>
      <c r="G81" s="29"/>
      <c r="H81" s="29"/>
      <c r="I81" s="68"/>
      <c r="J81" s="65">
        <f>'Exh. LK-27 - Page 1'!$D$25</f>
        <v>32025.420553638072</v>
      </c>
      <c r="K81" s="4"/>
      <c r="L81" s="12"/>
      <c r="M81" s="12"/>
      <c r="N81" s="29"/>
      <c r="O81" s="29"/>
      <c r="P81" s="29"/>
      <c r="Q81" s="151"/>
      <c r="R81" s="29"/>
      <c r="S81" s="29"/>
    </row>
    <row r="82" spans="1:19">
      <c r="A82" s="78"/>
      <c r="B82" s="12"/>
      <c r="C82" s="12"/>
      <c r="D82" s="12"/>
      <c r="E82" s="12"/>
      <c r="F82" s="12"/>
      <c r="G82" s="12"/>
      <c r="H82" s="39"/>
      <c r="I82" s="33"/>
      <c r="J82" s="33"/>
      <c r="K82" s="4"/>
      <c r="L82" s="12"/>
      <c r="M82" s="12"/>
      <c r="N82" s="29"/>
      <c r="O82" s="29"/>
      <c r="P82" s="29"/>
      <c r="Q82" s="151"/>
      <c r="R82" s="29"/>
      <c r="S82" s="29"/>
    </row>
    <row r="83" spans="1:19" ht="13.5" thickBot="1">
      <c r="A83" s="29"/>
      <c r="B83" s="12" t="s">
        <v>14</v>
      </c>
      <c r="C83" s="12"/>
      <c r="D83" s="12"/>
      <c r="E83" s="12"/>
      <c r="F83" s="12"/>
      <c r="G83" s="39"/>
      <c r="H83" s="39"/>
      <c r="I83" s="79"/>
      <c r="J83" s="80">
        <f>J81*J80</f>
        <v>-3.9738171441638555</v>
      </c>
      <c r="K83" s="4"/>
      <c r="L83" s="12"/>
      <c r="M83" s="12"/>
      <c r="N83" s="29"/>
      <c r="O83" s="29"/>
      <c r="P83" s="29"/>
      <c r="Q83" s="151"/>
      <c r="R83" s="29"/>
      <c r="S83" s="29"/>
    </row>
    <row r="84" spans="1:19" ht="13.5" thickTop="1">
      <c r="B84" s="7"/>
      <c r="C84" s="7"/>
      <c r="D84" s="7"/>
      <c r="E84" s="4"/>
      <c r="F84" s="35"/>
      <c r="G84" s="36"/>
      <c r="H84" s="36"/>
      <c r="I84" s="36"/>
      <c r="J84" s="36"/>
      <c r="K84" s="4"/>
      <c r="L84" s="12"/>
      <c r="M84" s="12"/>
      <c r="N84" s="29"/>
      <c r="O84" s="29"/>
      <c r="P84" s="29"/>
      <c r="Q84" s="151"/>
      <c r="R84" s="29"/>
      <c r="S84" s="29"/>
    </row>
    <row r="85" spans="1:19">
      <c r="B85" s="7"/>
      <c r="C85" s="7"/>
      <c r="D85" s="7"/>
      <c r="E85" s="4"/>
      <c r="F85" s="35"/>
      <c r="G85" s="36"/>
      <c r="H85" s="36"/>
      <c r="I85" s="36"/>
      <c r="J85" s="36"/>
      <c r="K85" s="4"/>
      <c r="L85" s="12"/>
      <c r="M85" s="12"/>
      <c r="N85" s="29"/>
      <c r="O85" s="29"/>
      <c r="P85" s="29"/>
      <c r="Q85" s="151"/>
      <c r="R85" s="29"/>
      <c r="S85" s="29"/>
    </row>
    <row r="86" spans="1:19">
      <c r="A86" s="67" t="s">
        <v>583</v>
      </c>
      <c r="B86" s="29"/>
      <c r="C86" s="29"/>
      <c r="D86" s="29"/>
      <c r="E86" s="29"/>
      <c r="F86" s="29"/>
      <c r="G86" s="29"/>
      <c r="H86" s="29"/>
      <c r="I86" s="68"/>
      <c r="J86" s="68"/>
      <c r="K86" s="4"/>
      <c r="L86" s="12"/>
      <c r="M86" s="12"/>
      <c r="N86" s="29"/>
      <c r="O86" s="29"/>
      <c r="P86" s="29"/>
      <c r="Q86" s="151"/>
      <c r="R86" s="29"/>
      <c r="S86" s="29"/>
    </row>
    <row r="87" spans="1:19">
      <c r="A87" s="69"/>
      <c r="B87" s="12"/>
      <c r="C87" s="12"/>
      <c r="D87" s="39" t="s">
        <v>20</v>
      </c>
      <c r="E87" s="12"/>
      <c r="F87" s="39" t="s">
        <v>20</v>
      </c>
      <c r="G87" s="12"/>
      <c r="H87" s="39"/>
      <c r="I87" s="12"/>
      <c r="J87" s="62" t="s">
        <v>37</v>
      </c>
      <c r="K87" s="4"/>
      <c r="L87" s="12"/>
      <c r="M87" s="12"/>
      <c r="N87" s="29"/>
      <c r="O87" s="29"/>
      <c r="P87" s="29"/>
      <c r="Q87" s="151"/>
      <c r="R87" s="29"/>
      <c r="S87" s="29"/>
    </row>
    <row r="88" spans="1:19">
      <c r="A88" s="69"/>
      <c r="B88" s="12"/>
      <c r="C88" s="12"/>
      <c r="D88" s="39" t="s">
        <v>27</v>
      </c>
      <c r="E88" s="39" t="s">
        <v>20</v>
      </c>
      <c r="F88" s="40" t="s">
        <v>25</v>
      </c>
      <c r="G88" s="40" t="s">
        <v>0</v>
      </c>
      <c r="H88" s="40" t="s">
        <v>5</v>
      </c>
      <c r="I88" s="40" t="s">
        <v>1</v>
      </c>
      <c r="J88" s="40" t="s">
        <v>2</v>
      </c>
      <c r="K88" s="4"/>
      <c r="L88" s="12"/>
      <c r="M88" s="12"/>
      <c r="N88" s="29"/>
      <c r="O88" s="29"/>
      <c r="P88" s="29"/>
      <c r="Q88" s="151"/>
      <c r="R88" s="29"/>
      <c r="S88" s="29"/>
    </row>
    <row r="89" spans="1:19">
      <c r="A89" s="69"/>
      <c r="B89" s="12"/>
      <c r="C89" s="12"/>
      <c r="D89" s="60" t="s">
        <v>28</v>
      </c>
      <c r="E89" s="60" t="s">
        <v>28</v>
      </c>
      <c r="F89" s="60" t="s">
        <v>0</v>
      </c>
      <c r="G89" s="60" t="s">
        <v>3</v>
      </c>
      <c r="H89" s="60" t="s">
        <v>24</v>
      </c>
      <c r="I89" s="60" t="s">
        <v>4</v>
      </c>
      <c r="J89" s="63" t="s">
        <v>5</v>
      </c>
      <c r="K89" s="4"/>
      <c r="L89" s="12"/>
      <c r="M89" s="12"/>
      <c r="N89" s="29"/>
      <c r="O89" s="29"/>
      <c r="P89" s="29"/>
      <c r="Q89" s="151"/>
      <c r="R89" s="29"/>
      <c r="S89" s="29"/>
    </row>
    <row r="90" spans="1:19">
      <c r="A90" s="69"/>
      <c r="B90" s="12"/>
      <c r="C90" s="12"/>
      <c r="D90" s="12"/>
      <c r="E90" s="12"/>
      <c r="F90" s="12"/>
      <c r="G90" s="12"/>
      <c r="H90" s="12"/>
      <c r="I90" s="12"/>
      <c r="J90" s="12"/>
      <c r="K90" s="4"/>
      <c r="L90" s="12"/>
      <c r="M90" s="12"/>
      <c r="N90" s="29"/>
      <c r="O90" s="29"/>
      <c r="P90" s="29"/>
      <c r="Q90" s="151"/>
      <c r="R90" s="29"/>
      <c r="S90" s="29"/>
    </row>
    <row r="91" spans="1:19">
      <c r="A91" s="69"/>
      <c r="B91" s="12" t="s">
        <v>7</v>
      </c>
      <c r="C91" s="12"/>
      <c r="D91" s="70">
        <f>F71</f>
        <v>9340.6221403946893</v>
      </c>
      <c r="E91" s="28"/>
      <c r="F91" s="28">
        <f t="shared" ref="F91:F96" si="16">D91+E91</f>
        <v>9340.6221403946893</v>
      </c>
      <c r="G91" s="47">
        <f>F91/F98</f>
        <v>0.28665446206740747</v>
      </c>
      <c r="H91" s="47">
        <f>H71</f>
        <v>4.6199999999999998E-2</v>
      </c>
      <c r="I91" s="47">
        <f t="shared" ref="I91:I96" si="17">G91*H91</f>
        <v>1.3243436147514224E-2</v>
      </c>
      <c r="J91" s="33">
        <f t="shared" ref="J91:J95" si="18">+I91*1/(1-(0.00072+0.00065))</f>
        <v>1.3261604545741891E-2</v>
      </c>
      <c r="K91" s="4"/>
      <c r="L91" s="12"/>
      <c r="M91" s="12"/>
      <c r="N91" s="29"/>
      <c r="O91" s="29"/>
      <c r="P91" s="29"/>
      <c r="Q91" s="151"/>
      <c r="R91" s="29"/>
      <c r="S91" s="29"/>
    </row>
    <row r="92" spans="1:19">
      <c r="A92" s="69"/>
      <c r="B92" s="12" t="s">
        <v>21</v>
      </c>
      <c r="C92" s="12"/>
      <c r="D92" s="44">
        <f t="shared" ref="D92:D96" si="19">F72</f>
        <v>407.32832999999999</v>
      </c>
      <c r="E92" s="28"/>
      <c r="F92" s="28">
        <f t="shared" si="16"/>
        <v>407.32832999999999</v>
      </c>
      <c r="G92" s="47">
        <f>F92/F98</f>
        <v>1.2500503881428995E-2</v>
      </c>
      <c r="H92" s="47">
        <f t="shared" ref="H92:H96" si="20">H72</f>
        <v>2.0500000000000001E-2</v>
      </c>
      <c r="I92" s="47">
        <f t="shared" si="17"/>
        <v>2.562603295692944E-4</v>
      </c>
      <c r="J92" s="33">
        <f t="shared" si="18"/>
        <v>2.5661188785565663E-4</v>
      </c>
      <c r="K92" s="4"/>
      <c r="L92" s="12"/>
      <c r="M92" s="12"/>
      <c r="N92" s="29"/>
      <c r="O92" s="29"/>
      <c r="P92" s="29"/>
      <c r="Q92" s="151"/>
      <c r="R92" s="29"/>
      <c r="S92" s="29"/>
    </row>
    <row r="93" spans="1:19">
      <c r="A93" s="69"/>
      <c r="B93" s="12" t="s">
        <v>6</v>
      </c>
      <c r="C93" s="12"/>
      <c r="D93" s="44">
        <f t="shared" si="19"/>
        <v>611.77370726649701</v>
      </c>
      <c r="E93" s="28"/>
      <c r="F93" s="28">
        <f t="shared" si="16"/>
        <v>611.77370726649701</v>
      </c>
      <c r="G93" s="47">
        <f>F93/F98</f>
        <v>1.8774730454523141E-2</v>
      </c>
      <c r="H93" s="47">
        <v>5.5999999999999999E-3</v>
      </c>
      <c r="I93" s="47">
        <f t="shared" si="17"/>
        <v>1.0513849054532959E-4</v>
      </c>
      <c r="J93" s="33">
        <f t="shared" si="18"/>
        <v>1.0528272788252865E-4</v>
      </c>
      <c r="K93" s="4"/>
      <c r="L93" s="12"/>
      <c r="M93" s="12"/>
      <c r="N93" s="29"/>
      <c r="O93" s="29"/>
      <c r="P93" s="29"/>
      <c r="Q93" s="151"/>
      <c r="R93" s="29"/>
      <c r="S93" s="29"/>
    </row>
    <row r="94" spans="1:19">
      <c r="A94" s="69"/>
      <c r="B94" s="12" t="s">
        <v>22</v>
      </c>
      <c r="C94" s="12"/>
      <c r="D94" s="44">
        <f t="shared" si="19"/>
        <v>7464.2979837901748</v>
      </c>
      <c r="E94" s="28"/>
      <c r="F94" s="28">
        <f t="shared" si="16"/>
        <v>7464.2979837901748</v>
      </c>
      <c r="G94" s="47">
        <f>F94/F98</f>
        <v>0.22907192808934185</v>
      </c>
      <c r="H94" s="47">
        <f t="shared" si="20"/>
        <v>0</v>
      </c>
      <c r="I94" s="47">
        <f t="shared" si="17"/>
        <v>0</v>
      </c>
      <c r="J94" s="33">
        <f t="shared" si="18"/>
        <v>0</v>
      </c>
      <c r="K94" s="4"/>
      <c r="L94" s="12"/>
      <c r="M94" s="12"/>
      <c r="N94" s="29"/>
      <c r="O94" s="29"/>
      <c r="P94" s="29"/>
      <c r="Q94" s="151"/>
      <c r="R94" s="29"/>
      <c r="S94" s="29"/>
    </row>
    <row r="95" spans="1:19">
      <c r="A95" s="69"/>
      <c r="B95" s="12" t="s">
        <v>23</v>
      </c>
      <c r="C95" s="12"/>
      <c r="D95" s="44">
        <f t="shared" si="19"/>
        <v>106.27515</v>
      </c>
      <c r="E95" s="28"/>
      <c r="F95" s="28">
        <f t="shared" si="16"/>
        <v>106.27515</v>
      </c>
      <c r="G95" s="48">
        <f>F95/F98</f>
        <v>3.2614793208084708E-3</v>
      </c>
      <c r="H95" s="47">
        <f t="shared" si="20"/>
        <v>8.8200000000000001E-2</v>
      </c>
      <c r="I95" s="49">
        <f t="shared" si="17"/>
        <v>2.8766247609530711E-4</v>
      </c>
      <c r="J95" s="33">
        <f t="shared" si="18"/>
        <v>2.8805711434195559E-4</v>
      </c>
      <c r="K95" s="4"/>
      <c r="L95" s="12"/>
      <c r="M95" s="12"/>
      <c r="N95" s="29"/>
      <c r="O95" s="29"/>
      <c r="P95" s="29"/>
      <c r="Q95" s="151"/>
      <c r="R95" s="29"/>
      <c r="S95" s="29"/>
    </row>
    <row r="96" spans="1:19">
      <c r="A96" s="69"/>
      <c r="B96" s="12" t="s">
        <v>8</v>
      </c>
      <c r="C96" s="12"/>
      <c r="D96" s="71">
        <f t="shared" si="19"/>
        <v>14654.655572338814</v>
      </c>
      <c r="E96" s="50"/>
      <c r="F96" s="50">
        <f t="shared" si="16"/>
        <v>14654.655572338814</v>
      </c>
      <c r="G96" s="51">
        <f>F96/F98</f>
        <v>0.44973689618649015</v>
      </c>
      <c r="H96" s="47">
        <f t="shared" si="20"/>
        <v>0.115</v>
      </c>
      <c r="I96" s="52">
        <f t="shared" si="17"/>
        <v>5.1719743061446367E-2</v>
      </c>
      <c r="J96" s="51">
        <f>+I96*1.63024</f>
        <v>8.4315593928492319E-2</v>
      </c>
      <c r="K96" s="4"/>
      <c r="L96" s="12"/>
      <c r="M96" s="12"/>
      <c r="N96" s="29"/>
      <c r="O96" s="29"/>
      <c r="P96" s="29"/>
      <c r="Q96" s="151"/>
      <c r="R96" s="29"/>
      <c r="S96" s="29"/>
    </row>
    <row r="97" spans="1:19">
      <c r="A97" s="69"/>
      <c r="B97" s="12"/>
      <c r="C97" s="12"/>
      <c r="D97" s="12"/>
      <c r="E97" s="28"/>
      <c r="F97" s="72"/>
      <c r="G97" s="73"/>
      <c r="H97" s="74"/>
      <c r="I97" s="74"/>
      <c r="J97" s="74"/>
      <c r="K97" s="4"/>
      <c r="L97" s="12"/>
      <c r="M97" s="12"/>
      <c r="N97" s="29"/>
      <c r="O97" s="29"/>
      <c r="P97" s="29"/>
      <c r="Q97" s="151"/>
      <c r="R97" s="29"/>
      <c r="S97" s="29"/>
    </row>
    <row r="98" spans="1:19" ht="13.5" thickBot="1">
      <c r="A98" s="29"/>
      <c r="B98" s="75" t="s">
        <v>9</v>
      </c>
      <c r="C98" s="75"/>
      <c r="D98" s="76">
        <f>SUM(D91:D97)</f>
        <v>32584.952883790174</v>
      </c>
      <c r="E98" s="148">
        <f>SUM(E91:E97)</f>
        <v>0</v>
      </c>
      <c r="F98" s="77">
        <f>SUM(F91:F96)</f>
        <v>32584.952883790174</v>
      </c>
      <c r="G98" s="64">
        <f>SUM(G91:G96)</f>
        <v>1</v>
      </c>
      <c r="H98" s="64"/>
      <c r="I98" s="64">
        <f>SUM(I91:I96)</f>
        <v>6.5612240505170519E-2</v>
      </c>
      <c r="J98" s="64">
        <f>SUM(J91:J97)</f>
        <v>9.8227150204314356E-2</v>
      </c>
      <c r="K98" s="4"/>
      <c r="L98" s="12"/>
      <c r="M98" s="12"/>
      <c r="N98" s="29"/>
      <c r="O98" s="29"/>
      <c r="P98" s="29"/>
      <c r="Q98" s="151"/>
      <c r="R98" s="29"/>
      <c r="S98" s="29"/>
    </row>
    <row r="99" spans="1:19" ht="13.5" thickTop="1">
      <c r="A99" s="29"/>
      <c r="B99" s="75"/>
      <c r="C99" s="75"/>
      <c r="D99" s="75"/>
      <c r="E99" s="12"/>
      <c r="F99" s="12"/>
      <c r="G99" s="33"/>
      <c r="H99" s="33"/>
      <c r="I99" s="33"/>
      <c r="J99" s="33"/>
      <c r="K99" s="4"/>
      <c r="L99" s="12"/>
      <c r="M99" s="12"/>
      <c r="N99" s="29"/>
      <c r="O99" s="29"/>
      <c r="P99" s="29"/>
      <c r="Q99" s="151"/>
      <c r="R99" s="29"/>
      <c r="S99" s="29"/>
    </row>
    <row r="100" spans="1:19">
      <c r="A100" s="69"/>
      <c r="B100" s="38" t="s">
        <v>13</v>
      </c>
      <c r="C100" s="38"/>
      <c r="D100" s="38"/>
      <c r="E100" s="12"/>
      <c r="F100" s="12"/>
      <c r="G100" s="33"/>
      <c r="H100" s="33"/>
      <c r="I100" s="33"/>
      <c r="J100" s="33">
        <f>J98-J78</f>
        <v>-1.1844306886783784E-4</v>
      </c>
      <c r="K100" s="4"/>
      <c r="L100" s="12"/>
      <c r="M100" s="12"/>
      <c r="N100" s="29"/>
      <c r="O100" s="29"/>
      <c r="P100" s="29"/>
      <c r="Q100" s="151"/>
      <c r="R100" s="29"/>
      <c r="S100" s="29"/>
    </row>
    <row r="101" spans="1:19">
      <c r="A101" s="78"/>
      <c r="B101" s="29" t="s">
        <v>12</v>
      </c>
      <c r="C101" s="29"/>
      <c r="D101" s="29"/>
      <c r="E101" s="29"/>
      <c r="F101" s="29"/>
      <c r="G101" s="29"/>
      <c r="H101" s="29"/>
      <c r="I101" s="68"/>
      <c r="J101" s="65">
        <f>'Exh. LK-27 - Page 1'!$D$25</f>
        <v>32025.420553638072</v>
      </c>
      <c r="K101" s="4"/>
      <c r="L101" s="12"/>
      <c r="M101" s="12"/>
      <c r="N101" s="29"/>
      <c r="O101" s="29"/>
      <c r="P101" s="29"/>
      <c r="Q101" s="151"/>
      <c r="R101" s="29"/>
      <c r="S101" s="29"/>
    </row>
    <row r="102" spans="1:19">
      <c r="A102" s="78"/>
      <c r="B102" s="12"/>
      <c r="C102" s="12"/>
      <c r="D102" s="12"/>
      <c r="E102" s="12"/>
      <c r="F102" s="12"/>
      <c r="G102" s="12"/>
      <c r="H102" s="39"/>
      <c r="I102" s="33"/>
      <c r="J102" s="33"/>
      <c r="K102" s="4"/>
      <c r="L102" s="12"/>
      <c r="M102" s="12"/>
      <c r="N102" s="29"/>
      <c r="O102" s="29"/>
      <c r="P102" s="29"/>
      <c r="Q102" s="151"/>
      <c r="R102" s="29"/>
      <c r="S102" s="29"/>
    </row>
    <row r="103" spans="1:19" ht="13.5" thickBot="1">
      <c r="A103" s="29"/>
      <c r="B103" s="12" t="s">
        <v>14</v>
      </c>
      <c r="C103" s="12"/>
      <c r="D103" s="12"/>
      <c r="E103" s="12"/>
      <c r="F103" s="12"/>
      <c r="G103" s="39"/>
      <c r="H103" s="39"/>
      <c r="I103" s="79"/>
      <c r="J103" s="80">
        <f>J101*J100</f>
        <v>-3.7931890921560236</v>
      </c>
      <c r="K103" s="4"/>
      <c r="L103" s="12"/>
      <c r="M103" s="12"/>
      <c r="N103" s="29"/>
      <c r="O103" s="29"/>
      <c r="P103" s="29"/>
      <c r="Q103" s="151"/>
      <c r="R103" s="29"/>
      <c r="S103" s="29"/>
    </row>
    <row r="104" spans="1:19" ht="13.5" thickTop="1">
      <c r="A104" s="29"/>
      <c r="B104" s="12"/>
      <c r="C104" s="12"/>
      <c r="D104" s="12"/>
      <c r="E104" s="12"/>
      <c r="F104" s="12"/>
      <c r="G104" s="39"/>
      <c r="H104" s="39"/>
      <c r="I104" s="79"/>
      <c r="J104" s="59"/>
      <c r="K104" s="4"/>
      <c r="L104" s="12"/>
      <c r="M104" s="12"/>
      <c r="N104" s="29"/>
      <c r="O104" s="29"/>
      <c r="P104" s="29"/>
      <c r="Q104" s="151"/>
      <c r="R104" s="29"/>
      <c r="S104" s="29"/>
    </row>
    <row r="105" spans="1:19">
      <c r="A105" s="29"/>
      <c r="B105" s="12"/>
      <c r="C105" s="12"/>
      <c r="D105" s="12"/>
      <c r="E105" s="12"/>
      <c r="F105" s="12"/>
      <c r="G105" s="39"/>
      <c r="H105" s="39"/>
      <c r="I105" s="79"/>
      <c r="J105" s="59"/>
      <c r="K105" s="4"/>
      <c r="L105" s="12"/>
      <c r="M105" s="12"/>
      <c r="N105" s="29"/>
      <c r="O105" s="29"/>
      <c r="P105" s="29"/>
      <c r="Q105" s="151"/>
      <c r="R105" s="29"/>
      <c r="S105" s="29"/>
    </row>
    <row r="106" spans="1:19">
      <c r="A106" s="67" t="s">
        <v>598</v>
      </c>
      <c r="B106" s="29"/>
      <c r="C106" s="29"/>
      <c r="D106" s="29"/>
      <c r="E106" s="29"/>
      <c r="F106" s="29"/>
      <c r="G106" s="29"/>
      <c r="H106" s="29"/>
      <c r="I106" s="68"/>
      <c r="J106" s="68"/>
      <c r="K106" s="4"/>
      <c r="L106" s="12"/>
      <c r="M106" s="12"/>
      <c r="N106" s="29"/>
      <c r="O106" s="29"/>
      <c r="P106" s="29"/>
      <c r="Q106" s="151"/>
      <c r="R106" s="29"/>
      <c r="S106" s="29"/>
    </row>
    <row r="107" spans="1:19">
      <c r="A107" s="69"/>
      <c r="B107" s="12"/>
      <c r="C107" s="12"/>
      <c r="D107" s="39" t="s">
        <v>20</v>
      </c>
      <c r="E107" s="12"/>
      <c r="F107" s="39" t="s">
        <v>20</v>
      </c>
      <c r="G107" s="12"/>
      <c r="H107" s="39"/>
      <c r="I107" s="12"/>
      <c r="J107" s="62" t="s">
        <v>37</v>
      </c>
      <c r="K107" s="4"/>
      <c r="L107" s="12"/>
      <c r="M107" s="12"/>
      <c r="N107" s="29"/>
      <c r="O107" s="29"/>
      <c r="P107" s="29"/>
      <c r="Q107" s="151"/>
      <c r="R107" s="29"/>
      <c r="S107" s="29"/>
    </row>
    <row r="108" spans="1:19">
      <c r="A108" s="69"/>
      <c r="B108" s="12"/>
      <c r="C108" s="12"/>
      <c r="D108" s="39" t="s">
        <v>27</v>
      </c>
      <c r="E108" s="39" t="s">
        <v>20</v>
      </c>
      <c r="F108" s="40" t="s">
        <v>25</v>
      </c>
      <c r="G108" s="40" t="s">
        <v>0</v>
      </c>
      <c r="H108" s="40" t="s">
        <v>5</v>
      </c>
      <c r="I108" s="40" t="s">
        <v>1</v>
      </c>
      <c r="J108" s="40" t="s">
        <v>2</v>
      </c>
      <c r="K108" s="4"/>
      <c r="L108" s="12"/>
      <c r="M108" s="12"/>
      <c r="N108" s="29"/>
      <c r="O108" s="29"/>
      <c r="P108" s="29"/>
      <c r="Q108" s="151"/>
      <c r="R108" s="29"/>
      <c r="S108" s="29"/>
    </row>
    <row r="109" spans="1:19">
      <c r="A109" s="69"/>
      <c r="B109" s="12"/>
      <c r="C109" s="12"/>
      <c r="D109" s="60" t="s">
        <v>28</v>
      </c>
      <c r="E109" s="60" t="s">
        <v>28</v>
      </c>
      <c r="F109" s="60" t="s">
        <v>0</v>
      </c>
      <c r="G109" s="60" t="s">
        <v>3</v>
      </c>
      <c r="H109" s="60" t="s">
        <v>24</v>
      </c>
      <c r="I109" s="60" t="s">
        <v>4</v>
      </c>
      <c r="J109" s="63" t="s">
        <v>5</v>
      </c>
      <c r="K109" s="4"/>
      <c r="L109" s="12"/>
      <c r="M109" s="12"/>
      <c r="N109" s="29"/>
      <c r="O109" s="29"/>
      <c r="P109" s="29"/>
      <c r="Q109" s="151"/>
      <c r="R109" s="29"/>
      <c r="S109" s="29"/>
    </row>
    <row r="110" spans="1:19">
      <c r="A110" s="69"/>
      <c r="B110" s="12"/>
      <c r="C110" s="12"/>
      <c r="D110" s="12"/>
      <c r="E110" s="12"/>
      <c r="F110" s="12"/>
      <c r="G110" s="12"/>
      <c r="H110" s="12"/>
      <c r="I110" s="12"/>
      <c r="J110" s="12"/>
      <c r="K110" s="4"/>
      <c r="L110" s="12"/>
      <c r="M110" s="12"/>
      <c r="N110" s="29"/>
      <c r="O110" s="29"/>
      <c r="P110" s="29"/>
      <c r="Q110" s="151"/>
      <c r="R110" s="29"/>
      <c r="S110" s="29"/>
    </row>
    <row r="111" spans="1:19">
      <c r="A111" s="69"/>
      <c r="B111" s="12" t="s">
        <v>7</v>
      </c>
      <c r="C111" s="12"/>
      <c r="D111" s="70">
        <f>F91</f>
        <v>9340.6221403946893</v>
      </c>
      <c r="E111" s="28"/>
      <c r="F111" s="28">
        <f t="shared" ref="F111:F116" si="21">D111+E111</f>
        <v>9340.6221403946893</v>
      </c>
      <c r="G111" s="47">
        <f>F111/F118</f>
        <v>0.28665446206740747</v>
      </c>
      <c r="H111" s="47">
        <f>ROUND('As Adjusted MFR Sch. D-4 (2017)'!G79,4)</f>
        <v>4.5199999999999997E-2</v>
      </c>
      <c r="I111" s="47">
        <f t="shared" ref="I111:I116" si="22">G111*H111</f>
        <v>1.2956781685446816E-2</v>
      </c>
      <c r="J111" s="33">
        <f t="shared" ref="J111:J115" si="23">+I111*1/(1-(0.00072+0.00065))</f>
        <v>1.2974556828301589E-2</v>
      </c>
      <c r="K111" s="4"/>
      <c r="L111" s="12"/>
      <c r="M111" s="12"/>
      <c r="N111" s="29"/>
      <c r="O111" s="29"/>
      <c r="P111" s="29"/>
      <c r="Q111" s="151"/>
      <c r="R111" s="29"/>
      <c r="S111" s="29"/>
    </row>
    <row r="112" spans="1:19">
      <c r="A112" s="69"/>
      <c r="B112" s="12" t="s">
        <v>21</v>
      </c>
      <c r="C112" s="12"/>
      <c r="D112" s="44">
        <f t="shared" ref="D112:D116" si="24">F92</f>
        <v>407.32832999999999</v>
      </c>
      <c r="E112" s="28"/>
      <c r="F112" s="28">
        <f t="shared" si="21"/>
        <v>407.32832999999999</v>
      </c>
      <c r="G112" s="47">
        <f>F112/F118</f>
        <v>1.2500503881428995E-2</v>
      </c>
      <c r="H112" s="47">
        <f>H72</f>
        <v>2.0500000000000001E-2</v>
      </c>
      <c r="I112" s="47">
        <f t="shared" si="22"/>
        <v>2.562603295692944E-4</v>
      </c>
      <c r="J112" s="33">
        <f t="shared" si="23"/>
        <v>2.5661188785565663E-4</v>
      </c>
      <c r="K112" s="4"/>
      <c r="L112" s="12"/>
      <c r="M112" s="12"/>
      <c r="N112" s="29"/>
      <c r="O112" s="29"/>
      <c r="P112" s="29"/>
      <c r="Q112" s="151"/>
      <c r="R112" s="29"/>
      <c r="S112" s="29"/>
    </row>
    <row r="113" spans="1:19">
      <c r="A113" s="69"/>
      <c r="B113" s="12" t="s">
        <v>6</v>
      </c>
      <c r="C113" s="12"/>
      <c r="D113" s="44">
        <f t="shared" si="24"/>
        <v>611.77370726649701</v>
      </c>
      <c r="E113" s="28"/>
      <c r="F113" s="28">
        <f t="shared" si="21"/>
        <v>611.77370726649701</v>
      </c>
      <c r="G113" s="47">
        <f>F113/F118</f>
        <v>1.8774730454523141E-2</v>
      </c>
      <c r="H113" s="47">
        <f>H93</f>
        <v>5.5999999999999999E-3</v>
      </c>
      <c r="I113" s="47">
        <f t="shared" si="22"/>
        <v>1.0513849054532959E-4</v>
      </c>
      <c r="J113" s="33">
        <f t="shared" si="23"/>
        <v>1.0528272788252865E-4</v>
      </c>
      <c r="K113" s="4"/>
      <c r="L113" s="12"/>
      <c r="M113" s="12"/>
      <c r="N113" s="29"/>
      <c r="O113" s="29"/>
      <c r="P113" s="29"/>
      <c r="Q113" s="151"/>
      <c r="R113" s="29"/>
      <c r="S113" s="29"/>
    </row>
    <row r="114" spans="1:19">
      <c r="A114" s="69"/>
      <c r="B114" s="12" t="s">
        <v>22</v>
      </c>
      <c r="C114" s="12"/>
      <c r="D114" s="44">
        <f t="shared" si="24"/>
        <v>7464.2979837901748</v>
      </c>
      <c r="E114" s="28"/>
      <c r="F114" s="28">
        <f t="shared" si="21"/>
        <v>7464.2979837901748</v>
      </c>
      <c r="G114" s="47">
        <f>F114/F118</f>
        <v>0.22907192808934185</v>
      </c>
      <c r="H114" s="47">
        <f>H74</f>
        <v>0</v>
      </c>
      <c r="I114" s="47">
        <f t="shared" si="22"/>
        <v>0</v>
      </c>
      <c r="J114" s="33">
        <f t="shared" si="23"/>
        <v>0</v>
      </c>
      <c r="K114" s="4"/>
      <c r="L114" s="12"/>
      <c r="M114" s="12"/>
      <c r="N114" s="29"/>
      <c r="O114" s="29"/>
      <c r="P114" s="29"/>
      <c r="Q114" s="151"/>
      <c r="R114" s="29"/>
      <c r="S114" s="29"/>
    </row>
    <row r="115" spans="1:19">
      <c r="A115" s="69"/>
      <c r="B115" s="12" t="s">
        <v>23</v>
      </c>
      <c r="C115" s="12"/>
      <c r="D115" s="44">
        <f t="shared" si="24"/>
        <v>106.27515</v>
      </c>
      <c r="E115" s="28"/>
      <c r="F115" s="28">
        <f t="shared" si="21"/>
        <v>106.27515</v>
      </c>
      <c r="G115" s="48">
        <f>F115/F118</f>
        <v>3.2614793208084708E-3</v>
      </c>
      <c r="H115" s="47">
        <f>H75</f>
        <v>8.8200000000000001E-2</v>
      </c>
      <c r="I115" s="49">
        <f t="shared" si="22"/>
        <v>2.8766247609530711E-4</v>
      </c>
      <c r="J115" s="33">
        <f t="shared" si="23"/>
        <v>2.8805711434195559E-4</v>
      </c>
      <c r="K115" s="4"/>
      <c r="L115" s="12"/>
      <c r="M115" s="12"/>
      <c r="N115" s="29"/>
      <c r="O115" s="29"/>
      <c r="P115" s="29"/>
      <c r="Q115" s="151"/>
      <c r="R115" s="29"/>
      <c r="S115" s="29"/>
    </row>
    <row r="116" spans="1:19">
      <c r="A116" s="69"/>
      <c r="B116" s="12" t="s">
        <v>8</v>
      </c>
      <c r="C116" s="12"/>
      <c r="D116" s="71">
        <f t="shared" si="24"/>
        <v>14654.655572338814</v>
      </c>
      <c r="E116" s="50"/>
      <c r="F116" s="50">
        <f t="shared" si="21"/>
        <v>14654.655572338814</v>
      </c>
      <c r="G116" s="51">
        <f>F116/F118</f>
        <v>0.44973689618649015</v>
      </c>
      <c r="H116" s="47">
        <f>H76</f>
        <v>0.115</v>
      </c>
      <c r="I116" s="52">
        <f t="shared" si="22"/>
        <v>5.1719743061446367E-2</v>
      </c>
      <c r="J116" s="51">
        <f>+I116*1.63024</f>
        <v>8.4315593928492319E-2</v>
      </c>
      <c r="K116" s="4"/>
      <c r="L116" s="12"/>
      <c r="M116" s="12"/>
      <c r="N116" s="29"/>
      <c r="O116" s="29"/>
      <c r="P116" s="29"/>
      <c r="Q116" s="151"/>
      <c r="R116" s="29"/>
      <c r="S116" s="29"/>
    </row>
    <row r="117" spans="1:19">
      <c r="A117" s="69"/>
      <c r="B117" s="12"/>
      <c r="C117" s="12"/>
      <c r="D117" s="12"/>
      <c r="E117" s="28"/>
      <c r="F117" s="72"/>
      <c r="G117" s="73"/>
      <c r="H117" s="74"/>
      <c r="I117" s="74"/>
      <c r="J117" s="74"/>
      <c r="K117" s="4"/>
      <c r="L117" s="12"/>
      <c r="M117" s="12"/>
      <c r="N117" s="29"/>
      <c r="O117" s="29"/>
      <c r="P117" s="29"/>
      <c r="Q117" s="151"/>
      <c r="R117" s="29"/>
      <c r="S117" s="29"/>
    </row>
    <row r="118" spans="1:19" ht="13.5" thickBot="1">
      <c r="A118" s="29"/>
      <c r="B118" s="75" t="s">
        <v>9</v>
      </c>
      <c r="C118" s="75"/>
      <c r="D118" s="76">
        <f>SUM(D111:D117)</f>
        <v>32584.952883790174</v>
      </c>
      <c r="E118" s="148">
        <f>SUM(E111:E117)</f>
        <v>0</v>
      </c>
      <c r="F118" s="77">
        <f>SUM(F111:F116)</f>
        <v>32584.952883790174</v>
      </c>
      <c r="G118" s="64">
        <f>SUM(G111:G116)</f>
        <v>1</v>
      </c>
      <c r="H118" s="64"/>
      <c r="I118" s="64">
        <f>SUM(I111:I116)</f>
        <v>6.5325586043103109E-2</v>
      </c>
      <c r="J118" s="64">
        <f>SUM(J111:J117)</f>
        <v>9.7940102486874042E-2</v>
      </c>
      <c r="K118" s="4"/>
      <c r="L118" s="12"/>
      <c r="M118" s="12"/>
      <c r="N118" s="29"/>
      <c r="O118" s="29"/>
      <c r="P118" s="29"/>
      <c r="Q118" s="151"/>
      <c r="R118" s="29"/>
      <c r="S118" s="29"/>
    </row>
    <row r="119" spans="1:19" ht="13.5" thickTop="1">
      <c r="A119" s="29"/>
      <c r="B119" s="75"/>
      <c r="C119" s="75"/>
      <c r="D119" s="75"/>
      <c r="E119" s="12"/>
      <c r="F119" s="12"/>
      <c r="G119" s="33"/>
      <c r="H119" s="33"/>
      <c r="I119" s="33"/>
      <c r="J119" s="33"/>
      <c r="K119" s="4"/>
      <c r="L119" s="12"/>
      <c r="M119" s="12"/>
      <c r="N119" s="29"/>
      <c r="O119" s="29"/>
      <c r="P119" s="29"/>
      <c r="Q119" s="151"/>
      <c r="R119" s="29"/>
      <c r="S119" s="29"/>
    </row>
    <row r="120" spans="1:19">
      <c r="A120" s="69"/>
      <c r="B120" s="38" t="s">
        <v>13</v>
      </c>
      <c r="C120" s="38"/>
      <c r="D120" s="38"/>
      <c r="E120" s="12"/>
      <c r="F120" s="12"/>
      <c r="G120" s="33"/>
      <c r="H120" s="33"/>
      <c r="I120" s="33"/>
      <c r="J120" s="33">
        <f>J118-J78</f>
        <v>-4.0549078630815194E-4</v>
      </c>
      <c r="K120" s="4"/>
      <c r="L120" s="12"/>
      <c r="M120" s="12"/>
      <c r="N120" s="29"/>
      <c r="O120" s="29"/>
      <c r="P120" s="29"/>
      <c r="Q120" s="151"/>
      <c r="R120" s="29"/>
      <c r="S120" s="29"/>
    </row>
    <row r="121" spans="1:19">
      <c r="A121" s="78"/>
      <c r="B121" s="29" t="s">
        <v>12</v>
      </c>
      <c r="C121" s="29"/>
      <c r="D121" s="29"/>
      <c r="E121" s="29"/>
      <c r="F121" s="29"/>
      <c r="G121" s="29"/>
      <c r="H121" s="29"/>
      <c r="I121" s="68"/>
      <c r="J121" s="65">
        <f>'Exh. LK-27 - Page 1'!$D$25</f>
        <v>32025.420553638072</v>
      </c>
      <c r="K121" s="4"/>
      <c r="L121" s="12"/>
      <c r="M121" s="12"/>
      <c r="N121" s="29"/>
      <c r="O121" s="29"/>
      <c r="P121" s="29"/>
      <c r="Q121" s="151"/>
      <c r="R121" s="29"/>
      <c r="S121" s="29"/>
    </row>
    <row r="122" spans="1:19">
      <c r="A122" s="78"/>
      <c r="B122" s="12"/>
      <c r="C122" s="12"/>
      <c r="D122" s="12"/>
      <c r="E122" s="12"/>
      <c r="F122" s="12"/>
      <c r="G122" s="12"/>
      <c r="H122" s="39"/>
      <c r="I122" s="33"/>
      <c r="J122" s="33"/>
      <c r="K122" s="4"/>
      <c r="L122" s="12"/>
      <c r="M122" s="12"/>
      <c r="N122" s="29"/>
      <c r="O122" s="29"/>
      <c r="P122" s="29"/>
      <c r="Q122" s="151"/>
      <c r="R122" s="29"/>
      <c r="S122" s="29"/>
    </row>
    <row r="123" spans="1:19" ht="13.5" thickBot="1">
      <c r="A123" s="29"/>
      <c r="B123" s="12" t="s">
        <v>14</v>
      </c>
      <c r="C123" s="12"/>
      <c r="D123" s="12"/>
      <c r="E123" s="12"/>
      <c r="F123" s="12"/>
      <c r="G123" s="39"/>
      <c r="H123" s="39"/>
      <c r="I123" s="79"/>
      <c r="J123" s="80">
        <f>J121*J120</f>
        <v>-12.986012962143953</v>
      </c>
      <c r="K123" s="4"/>
      <c r="L123" s="12"/>
      <c r="M123" s="12"/>
      <c r="N123" s="29"/>
      <c r="O123" s="29"/>
      <c r="P123" s="29"/>
      <c r="Q123" s="151"/>
      <c r="R123" s="29"/>
      <c r="S123" s="29"/>
    </row>
    <row r="124" spans="1:19" ht="13.5" thickTop="1">
      <c r="B124" s="7"/>
      <c r="C124" s="7"/>
      <c r="D124" s="7"/>
      <c r="E124" s="4"/>
      <c r="F124" s="35"/>
      <c r="G124" s="36"/>
      <c r="H124" s="36"/>
      <c r="I124" s="36"/>
      <c r="J124" s="36"/>
      <c r="K124" s="4"/>
      <c r="L124" s="12"/>
      <c r="M124" s="12"/>
      <c r="N124" s="29"/>
      <c r="O124" s="29"/>
      <c r="P124" s="29"/>
      <c r="Q124" s="151"/>
      <c r="R124" s="29"/>
      <c r="S124" s="29"/>
    </row>
    <row r="125" spans="1:19">
      <c r="A125" s="67" t="s">
        <v>580</v>
      </c>
      <c r="B125" s="29"/>
      <c r="C125" s="29"/>
      <c r="D125" s="29"/>
      <c r="E125" s="29"/>
      <c r="F125" s="29"/>
      <c r="G125" s="29"/>
      <c r="H125" s="29"/>
      <c r="I125" s="68"/>
      <c r="J125" s="68"/>
      <c r="K125" s="4"/>
      <c r="L125" s="12"/>
      <c r="M125" s="12"/>
      <c r="N125" s="29"/>
      <c r="O125" s="29"/>
      <c r="P125" s="29"/>
      <c r="Q125" s="151"/>
      <c r="R125" s="29"/>
      <c r="S125" s="29"/>
    </row>
    <row r="126" spans="1:19">
      <c r="A126" s="69"/>
      <c r="B126" s="12"/>
      <c r="C126" s="12"/>
      <c r="D126" s="39" t="s">
        <v>20</v>
      </c>
      <c r="E126" s="12"/>
      <c r="F126" s="39" t="s">
        <v>20</v>
      </c>
      <c r="G126" s="12"/>
      <c r="H126" s="39"/>
      <c r="I126" s="12"/>
      <c r="J126" s="62" t="s">
        <v>37</v>
      </c>
      <c r="K126" s="4"/>
      <c r="L126" s="12"/>
      <c r="M126" s="12"/>
      <c r="N126" s="29"/>
      <c r="O126" s="29"/>
      <c r="P126" s="29"/>
      <c r="Q126" s="151"/>
      <c r="R126" s="29"/>
      <c r="S126" s="29"/>
    </row>
    <row r="127" spans="1:19">
      <c r="A127" s="69"/>
      <c r="B127" s="12"/>
      <c r="C127" s="12"/>
      <c r="D127" s="39" t="s">
        <v>27</v>
      </c>
      <c r="E127" s="39" t="s">
        <v>20</v>
      </c>
      <c r="F127" s="40" t="s">
        <v>25</v>
      </c>
      <c r="G127" s="40" t="s">
        <v>0</v>
      </c>
      <c r="H127" s="40" t="s">
        <v>5</v>
      </c>
      <c r="I127" s="40" t="s">
        <v>1</v>
      </c>
      <c r="J127" s="40" t="s">
        <v>2</v>
      </c>
      <c r="K127" s="4"/>
      <c r="L127" s="12"/>
      <c r="M127" s="12"/>
      <c r="N127" s="29"/>
      <c r="O127" s="29"/>
      <c r="P127" s="29"/>
      <c r="Q127" s="151"/>
      <c r="R127" s="29"/>
      <c r="S127" s="29"/>
    </row>
    <row r="128" spans="1:19">
      <c r="A128" s="69"/>
      <c r="B128" s="12"/>
      <c r="C128" s="12"/>
      <c r="D128" s="60" t="s">
        <v>28</v>
      </c>
      <c r="E128" s="60" t="s">
        <v>28</v>
      </c>
      <c r="F128" s="60" t="s">
        <v>0</v>
      </c>
      <c r="G128" s="60" t="s">
        <v>3</v>
      </c>
      <c r="H128" s="60" t="s">
        <v>24</v>
      </c>
      <c r="I128" s="60" t="s">
        <v>4</v>
      </c>
      <c r="J128" s="63" t="s">
        <v>5</v>
      </c>
      <c r="K128" s="4"/>
      <c r="L128" s="12"/>
      <c r="M128" s="12"/>
      <c r="N128" s="29"/>
      <c r="O128" s="29"/>
      <c r="P128" s="29"/>
      <c r="Q128" s="151"/>
      <c r="R128" s="29"/>
      <c r="S128" s="29"/>
    </row>
    <row r="129" spans="1:19">
      <c r="A129" s="69"/>
      <c r="B129" s="12"/>
      <c r="C129" s="12"/>
      <c r="D129" s="12"/>
      <c r="E129" s="12"/>
      <c r="F129" s="12"/>
      <c r="G129" s="12"/>
      <c r="H129" s="12"/>
      <c r="I129" s="12"/>
      <c r="J129" s="12"/>
      <c r="K129" s="4"/>
      <c r="L129" s="12"/>
      <c r="M129" s="12"/>
      <c r="N129" s="29"/>
      <c r="O129" s="29"/>
      <c r="P129" s="29"/>
      <c r="Q129" s="151"/>
      <c r="R129" s="29"/>
      <c r="S129" s="29"/>
    </row>
    <row r="130" spans="1:19">
      <c r="A130" s="69"/>
      <c r="B130" s="12" t="s">
        <v>7</v>
      </c>
      <c r="C130" s="12"/>
      <c r="D130" s="70">
        <f>F111</f>
        <v>9340.6221403946893</v>
      </c>
      <c r="E130" s="12"/>
      <c r="F130" s="28">
        <f t="shared" ref="F130:F135" si="25">D130+E130</f>
        <v>9340.6221403946893</v>
      </c>
      <c r="G130" s="47">
        <f>F130/F137</f>
        <v>0.28665446206740747</v>
      </c>
      <c r="H130" s="47">
        <f>H111</f>
        <v>4.5199999999999997E-2</v>
      </c>
      <c r="I130" s="47">
        <f t="shared" ref="I130:I135" si="26">G130*H130</f>
        <v>1.2956781685446816E-2</v>
      </c>
      <c r="J130" s="33">
        <f t="shared" ref="J130:J134" si="27">+I130*1/(1-(0.00072+0.00065))</f>
        <v>1.2974556828301589E-2</v>
      </c>
      <c r="K130" s="4"/>
      <c r="L130" s="12"/>
      <c r="M130" s="12"/>
      <c r="N130" s="29"/>
      <c r="O130" s="29"/>
      <c r="P130" s="29"/>
      <c r="Q130" s="151"/>
      <c r="R130" s="29"/>
      <c r="S130" s="29"/>
    </row>
    <row r="131" spans="1:19">
      <c r="A131" s="69"/>
      <c r="B131" s="12" t="s">
        <v>21</v>
      </c>
      <c r="C131" s="12"/>
      <c r="D131" s="70">
        <f t="shared" ref="D131:D135" si="28">F112</f>
        <v>407.32832999999999</v>
      </c>
      <c r="E131" s="12"/>
      <c r="F131" s="28">
        <f t="shared" si="25"/>
        <v>407.32832999999999</v>
      </c>
      <c r="G131" s="47">
        <f>F131/F137</f>
        <v>1.2500503881428995E-2</v>
      </c>
      <c r="H131" s="47">
        <f t="shared" ref="H131:H134" si="29">H112</f>
        <v>2.0500000000000001E-2</v>
      </c>
      <c r="I131" s="47">
        <f t="shared" si="26"/>
        <v>2.562603295692944E-4</v>
      </c>
      <c r="J131" s="33">
        <f t="shared" si="27"/>
        <v>2.5661188785565663E-4</v>
      </c>
      <c r="K131" s="4"/>
      <c r="L131" s="12"/>
      <c r="M131" s="12"/>
      <c r="N131" s="29"/>
      <c r="O131" s="29"/>
      <c r="P131" s="29"/>
      <c r="Q131" s="151"/>
      <c r="R131" s="29"/>
      <c r="S131" s="29"/>
    </row>
    <row r="132" spans="1:19">
      <c r="A132" s="69"/>
      <c r="B132" s="12" t="s">
        <v>6</v>
      </c>
      <c r="C132" s="12"/>
      <c r="D132" s="70">
        <f t="shared" si="28"/>
        <v>611.77370726649701</v>
      </c>
      <c r="E132" s="12"/>
      <c r="F132" s="28">
        <f t="shared" si="25"/>
        <v>611.77370726649701</v>
      </c>
      <c r="G132" s="47">
        <f>F132/F137</f>
        <v>1.8774730454523141E-2</v>
      </c>
      <c r="H132" s="47">
        <f t="shared" si="29"/>
        <v>5.5999999999999999E-3</v>
      </c>
      <c r="I132" s="47">
        <f t="shared" si="26"/>
        <v>1.0513849054532959E-4</v>
      </c>
      <c r="J132" s="33">
        <f t="shared" si="27"/>
        <v>1.0528272788252865E-4</v>
      </c>
      <c r="K132" s="4"/>
      <c r="L132" s="12"/>
      <c r="M132" s="12"/>
      <c r="N132" s="29"/>
      <c r="O132" s="29"/>
      <c r="P132" s="29"/>
      <c r="Q132" s="151"/>
      <c r="R132" s="29"/>
      <c r="S132" s="29"/>
    </row>
    <row r="133" spans="1:19">
      <c r="A133" s="69"/>
      <c r="B133" s="12" t="s">
        <v>22</v>
      </c>
      <c r="C133" s="12"/>
      <c r="D133" s="70">
        <f t="shared" si="28"/>
        <v>7464.2979837901748</v>
      </c>
      <c r="E133" s="12"/>
      <c r="F133" s="28">
        <f t="shared" si="25"/>
        <v>7464.2979837901748</v>
      </c>
      <c r="G133" s="47">
        <f>F133/F137</f>
        <v>0.22907192808934185</v>
      </c>
      <c r="H133" s="47">
        <f t="shared" si="29"/>
        <v>0</v>
      </c>
      <c r="I133" s="47">
        <f t="shared" si="26"/>
        <v>0</v>
      </c>
      <c r="J133" s="33">
        <f t="shared" si="27"/>
        <v>0</v>
      </c>
      <c r="K133" s="4"/>
      <c r="L133" s="12"/>
      <c r="M133" s="12"/>
      <c r="N133" s="29"/>
      <c r="O133" s="29"/>
      <c r="P133" s="29"/>
      <c r="Q133" s="151"/>
      <c r="R133" s="29"/>
      <c r="S133" s="29"/>
    </row>
    <row r="134" spans="1:19">
      <c r="A134" s="69"/>
      <c r="B134" s="12" t="s">
        <v>23</v>
      </c>
      <c r="C134" s="12"/>
      <c r="D134" s="70">
        <f t="shared" si="28"/>
        <v>106.27515</v>
      </c>
      <c r="E134" s="12"/>
      <c r="F134" s="28">
        <f t="shared" si="25"/>
        <v>106.27515</v>
      </c>
      <c r="G134" s="48">
        <f>F134/F137</f>
        <v>3.2614793208084708E-3</v>
      </c>
      <c r="H134" s="47">
        <f t="shared" si="29"/>
        <v>8.8200000000000001E-2</v>
      </c>
      <c r="I134" s="49">
        <f t="shared" si="26"/>
        <v>2.8766247609530711E-4</v>
      </c>
      <c r="J134" s="33">
        <f t="shared" si="27"/>
        <v>2.8805711434195559E-4</v>
      </c>
      <c r="K134" s="4"/>
      <c r="L134" s="12"/>
      <c r="M134" s="12"/>
      <c r="N134" s="29"/>
      <c r="O134" s="29"/>
      <c r="P134" s="29"/>
      <c r="Q134" s="151"/>
      <c r="R134" s="29"/>
      <c r="S134" s="29"/>
    </row>
    <row r="135" spans="1:19">
      <c r="A135" s="69"/>
      <c r="B135" s="12" t="s">
        <v>8</v>
      </c>
      <c r="C135" s="12"/>
      <c r="D135" s="71">
        <f t="shared" si="28"/>
        <v>14654.655572338814</v>
      </c>
      <c r="E135" s="61"/>
      <c r="F135" s="50">
        <f t="shared" si="25"/>
        <v>14654.655572338814</v>
      </c>
      <c r="G135" s="51">
        <f>F135/F137</f>
        <v>0.44973689618649015</v>
      </c>
      <c r="H135" s="52">
        <v>0.11</v>
      </c>
      <c r="I135" s="52">
        <f t="shared" si="26"/>
        <v>4.947105858051392E-2</v>
      </c>
      <c r="J135" s="51">
        <f>+I135*1.63024</f>
        <v>8.0649698540297007E-2</v>
      </c>
      <c r="K135" s="4"/>
      <c r="L135" s="12"/>
      <c r="M135" s="12"/>
      <c r="N135" s="29"/>
      <c r="O135" s="29"/>
      <c r="P135" s="29"/>
      <c r="Q135" s="151"/>
      <c r="R135" s="29"/>
      <c r="S135" s="29"/>
    </row>
    <row r="136" spans="1:19">
      <c r="A136" s="69"/>
      <c r="B136" s="12"/>
      <c r="C136" s="12"/>
      <c r="D136" s="12"/>
      <c r="E136" s="12"/>
      <c r="F136" s="72"/>
      <c r="G136" s="12"/>
      <c r="H136" s="33"/>
      <c r="I136" s="33"/>
      <c r="J136" s="33"/>
      <c r="K136" s="4"/>
      <c r="L136" s="12"/>
      <c r="M136" s="12"/>
      <c r="N136" s="29"/>
      <c r="O136" s="29"/>
      <c r="P136" s="29"/>
      <c r="Q136" s="151"/>
      <c r="R136" s="29"/>
      <c r="S136" s="29"/>
    </row>
    <row r="137" spans="1:19" ht="13.5" thickBot="1">
      <c r="A137" s="69"/>
      <c r="B137" s="75" t="s">
        <v>9</v>
      </c>
      <c r="C137" s="75"/>
      <c r="D137" s="76">
        <f>SUM(D130:D136)</f>
        <v>32584.952883790174</v>
      </c>
      <c r="E137" s="76">
        <f>SUM(E130:E136)</f>
        <v>0</v>
      </c>
      <c r="F137" s="77">
        <f>SUM(F130:F135)</f>
        <v>32584.952883790174</v>
      </c>
      <c r="G137" s="64">
        <f>SUM(G130:G135)</f>
        <v>1</v>
      </c>
      <c r="H137" s="64"/>
      <c r="I137" s="64">
        <f>SUM(I130:I135)</f>
        <v>6.3076901562170662E-2</v>
      </c>
      <c r="J137" s="64">
        <f>SUM(J130:J136)</f>
        <v>9.4274207098678731E-2</v>
      </c>
      <c r="K137" s="4"/>
      <c r="L137" s="12"/>
      <c r="M137" s="12"/>
      <c r="N137" s="29"/>
      <c r="O137" s="29"/>
      <c r="P137" s="29"/>
      <c r="Q137" s="151"/>
      <c r="R137" s="29"/>
      <c r="S137" s="29"/>
    </row>
    <row r="138" spans="1:19" ht="13.5" thickTop="1">
      <c r="A138" s="29"/>
      <c r="B138" s="75"/>
      <c r="C138" s="75"/>
      <c r="D138" s="75"/>
      <c r="E138" s="12"/>
      <c r="F138" s="12"/>
      <c r="G138" s="33"/>
      <c r="H138" s="33"/>
      <c r="I138" s="33"/>
      <c r="J138" s="33"/>
      <c r="K138" s="4"/>
      <c r="L138" s="12"/>
      <c r="M138" s="12"/>
      <c r="N138" s="29"/>
      <c r="O138" s="29"/>
      <c r="P138" s="29"/>
      <c r="Q138" s="151"/>
      <c r="R138" s="29"/>
      <c r="S138" s="29"/>
    </row>
    <row r="139" spans="1:19">
      <c r="A139" s="29"/>
      <c r="B139" s="38" t="s">
        <v>13</v>
      </c>
      <c r="C139" s="38"/>
      <c r="D139" s="38"/>
      <c r="E139" s="12"/>
      <c r="F139" s="12"/>
      <c r="G139" s="33"/>
      <c r="H139" s="33"/>
      <c r="I139" s="33"/>
      <c r="J139" s="33">
        <f>J137-J118</f>
        <v>-3.6658953881953116E-3</v>
      </c>
      <c r="K139" s="4"/>
      <c r="L139" s="12"/>
      <c r="M139" s="12"/>
      <c r="N139" s="29"/>
      <c r="O139" s="29"/>
      <c r="P139" s="29"/>
      <c r="Q139" s="151"/>
      <c r="R139" s="29"/>
      <c r="S139" s="29"/>
    </row>
    <row r="140" spans="1:19">
      <c r="A140" s="69"/>
      <c r="B140" s="29" t="s">
        <v>12</v>
      </c>
      <c r="C140" s="29"/>
      <c r="D140" s="29"/>
      <c r="E140" s="29"/>
      <c r="F140" s="29"/>
      <c r="G140" s="29"/>
      <c r="H140" s="29"/>
      <c r="I140" s="68"/>
      <c r="J140" s="65">
        <f>'Exh. LK-27 - Page 1'!$D$25</f>
        <v>32025.420553638072</v>
      </c>
      <c r="K140" s="4"/>
      <c r="L140" s="12"/>
      <c r="M140" s="12"/>
      <c r="N140" s="29"/>
      <c r="O140" s="29"/>
      <c r="P140" s="29"/>
      <c r="Q140" s="151"/>
      <c r="R140" s="29"/>
      <c r="S140" s="29"/>
    </row>
    <row r="141" spans="1:19">
      <c r="A141" s="78"/>
      <c r="B141" s="12"/>
      <c r="C141" s="12"/>
      <c r="D141" s="12"/>
      <c r="E141" s="12"/>
      <c r="F141" s="12"/>
      <c r="G141" s="12"/>
      <c r="H141" s="39"/>
      <c r="I141" s="33"/>
      <c r="J141" s="33"/>
      <c r="K141" s="4"/>
      <c r="L141" s="12"/>
      <c r="M141" s="12"/>
      <c r="N141" s="29"/>
      <c r="O141" s="29"/>
      <c r="P141" s="29"/>
      <c r="Q141" s="151"/>
      <c r="R141" s="29"/>
      <c r="S141" s="29"/>
    </row>
    <row r="142" spans="1:19" ht="13.5" thickBot="1">
      <c r="A142" s="78"/>
      <c r="B142" s="12" t="s">
        <v>14</v>
      </c>
      <c r="C142" s="12"/>
      <c r="D142" s="12"/>
      <c r="E142" s="12"/>
      <c r="F142" s="12"/>
      <c r="G142" s="39"/>
      <c r="H142" s="39"/>
      <c r="I142" s="79"/>
      <c r="J142" s="80">
        <f>J140*J139</f>
        <v>-117.40184151259714</v>
      </c>
      <c r="K142" s="4"/>
      <c r="L142" s="12"/>
      <c r="M142" s="12"/>
      <c r="N142" s="29"/>
      <c r="O142" s="29"/>
      <c r="P142" s="29"/>
      <c r="Q142" s="151"/>
      <c r="R142" s="29"/>
      <c r="S142" s="29"/>
    </row>
    <row r="143" spans="1:19" ht="13.5" thickTop="1">
      <c r="B143" s="7"/>
      <c r="C143" s="7"/>
      <c r="D143" s="7"/>
      <c r="E143" s="4"/>
      <c r="F143" s="35"/>
      <c r="G143" s="36"/>
      <c r="H143" s="36"/>
      <c r="I143" s="36"/>
      <c r="J143" s="36"/>
      <c r="K143" s="4"/>
      <c r="L143" s="12"/>
      <c r="M143" s="12"/>
      <c r="N143" s="29"/>
      <c r="O143" s="29"/>
      <c r="P143" s="29"/>
      <c r="Q143" s="151"/>
      <c r="R143" s="29"/>
      <c r="S143" s="29"/>
    </row>
    <row r="144" spans="1:19">
      <c r="A144" s="67" t="s">
        <v>581</v>
      </c>
      <c r="B144" s="29"/>
      <c r="C144" s="29"/>
      <c r="D144" s="29"/>
      <c r="E144" s="29"/>
      <c r="F144" s="29"/>
      <c r="G144" s="29"/>
      <c r="H144" s="29"/>
      <c r="I144" s="68"/>
      <c r="J144" s="68"/>
      <c r="K144" s="29"/>
      <c r="L144" s="29"/>
      <c r="M144" s="29"/>
      <c r="N144" s="29"/>
      <c r="O144" s="29"/>
      <c r="P144" s="29"/>
      <c r="Q144" s="29"/>
      <c r="R144" s="29"/>
      <c r="S144" s="29"/>
    </row>
    <row r="145" spans="1:19">
      <c r="A145" s="69"/>
      <c r="B145" s="12"/>
      <c r="C145" s="12"/>
      <c r="D145" s="39" t="s">
        <v>20</v>
      </c>
      <c r="E145" s="12"/>
      <c r="F145" s="39" t="s">
        <v>20</v>
      </c>
      <c r="G145" s="12"/>
      <c r="H145" s="39"/>
      <c r="I145" s="12"/>
      <c r="J145" s="62" t="s">
        <v>37</v>
      </c>
      <c r="K145" s="29"/>
      <c r="L145" s="29"/>
      <c r="M145" s="29"/>
      <c r="N145" s="29"/>
      <c r="O145" s="29"/>
      <c r="P145" s="29"/>
      <c r="Q145" s="29"/>
      <c r="R145" s="29"/>
      <c r="S145" s="29"/>
    </row>
    <row r="146" spans="1:19">
      <c r="A146" s="69"/>
      <c r="B146" s="12"/>
      <c r="C146" s="12"/>
      <c r="D146" s="39" t="s">
        <v>27</v>
      </c>
      <c r="E146" s="39" t="s">
        <v>20</v>
      </c>
      <c r="F146" s="40" t="s">
        <v>25</v>
      </c>
      <c r="G146" s="40" t="s">
        <v>0</v>
      </c>
      <c r="H146" s="40" t="s">
        <v>5</v>
      </c>
      <c r="I146" s="40" t="s">
        <v>1</v>
      </c>
      <c r="J146" s="40" t="s">
        <v>2</v>
      </c>
      <c r="K146" s="29"/>
      <c r="L146" s="29"/>
      <c r="M146" s="29"/>
      <c r="N146" s="29"/>
      <c r="O146" s="29"/>
      <c r="P146" s="29"/>
      <c r="Q146" s="29"/>
      <c r="R146" s="29"/>
      <c r="S146" s="29"/>
    </row>
    <row r="147" spans="1:19">
      <c r="A147" s="69"/>
      <c r="B147" s="12"/>
      <c r="C147" s="12"/>
      <c r="D147" s="60" t="s">
        <v>28</v>
      </c>
      <c r="E147" s="60" t="s">
        <v>28</v>
      </c>
      <c r="F147" s="60" t="s">
        <v>0</v>
      </c>
      <c r="G147" s="60" t="s">
        <v>3</v>
      </c>
      <c r="H147" s="60" t="s">
        <v>24</v>
      </c>
      <c r="I147" s="60" t="s">
        <v>4</v>
      </c>
      <c r="J147" s="63" t="s">
        <v>5</v>
      </c>
      <c r="K147" s="29"/>
      <c r="L147" s="29"/>
      <c r="M147" s="29"/>
      <c r="N147" s="29"/>
      <c r="O147" s="29"/>
      <c r="P147" s="29"/>
      <c r="Q147" s="29"/>
      <c r="R147" s="29"/>
      <c r="S147" s="29"/>
    </row>
    <row r="148" spans="1:19">
      <c r="A148" s="69"/>
      <c r="B148" s="12"/>
      <c r="C148" s="12"/>
      <c r="D148" s="12"/>
      <c r="E148" s="12"/>
      <c r="F148" s="12"/>
      <c r="G148" s="12"/>
      <c r="H148" s="12"/>
      <c r="I148" s="12"/>
      <c r="J148" s="12"/>
      <c r="K148" s="29"/>
      <c r="L148" s="29"/>
      <c r="M148" s="29"/>
      <c r="N148" s="29"/>
      <c r="O148" s="29"/>
      <c r="P148" s="29"/>
      <c r="Q148" s="29"/>
      <c r="R148" s="29"/>
      <c r="S148" s="29"/>
    </row>
    <row r="149" spans="1:19">
      <c r="A149" s="69"/>
      <c r="B149" s="12" t="s">
        <v>7</v>
      </c>
      <c r="C149" s="12"/>
      <c r="D149" s="70">
        <f>F130</f>
        <v>9340.6221403946893</v>
      </c>
      <c r="E149" s="12"/>
      <c r="F149" s="28">
        <f t="shared" ref="F149:F154" si="30">D149+E149</f>
        <v>9340.6221403946893</v>
      </c>
      <c r="G149" s="47">
        <f>F149/F156</f>
        <v>0.28665446206740747</v>
      </c>
      <c r="H149" s="47">
        <f>H111</f>
        <v>4.5199999999999997E-2</v>
      </c>
      <c r="I149" s="47">
        <f t="shared" ref="I149:I154" si="31">G149*H149</f>
        <v>1.2956781685446816E-2</v>
      </c>
      <c r="J149" s="33">
        <f t="shared" ref="J149:J153" si="32">+I149*1/(1-(0.00072+0.00065))</f>
        <v>1.2974556828301589E-2</v>
      </c>
      <c r="K149" s="29"/>
      <c r="L149" s="29"/>
      <c r="M149" s="29"/>
      <c r="N149" s="29"/>
      <c r="O149" s="29"/>
      <c r="P149" s="29"/>
      <c r="Q149" s="29"/>
      <c r="R149" s="29"/>
      <c r="S149" s="29"/>
    </row>
    <row r="150" spans="1:19">
      <c r="A150" s="69"/>
      <c r="B150" s="12" t="s">
        <v>21</v>
      </c>
      <c r="C150" s="12"/>
      <c r="D150" s="44">
        <f t="shared" ref="D150:D154" si="33">F131</f>
        <v>407.32832999999999</v>
      </c>
      <c r="E150" s="12"/>
      <c r="F150" s="28">
        <f t="shared" si="30"/>
        <v>407.32832999999999</v>
      </c>
      <c r="G150" s="47">
        <f>F150/F156</f>
        <v>1.2500503881428995E-2</v>
      </c>
      <c r="H150" s="47">
        <f>H112</f>
        <v>2.0500000000000001E-2</v>
      </c>
      <c r="I150" s="47">
        <f t="shared" si="31"/>
        <v>2.562603295692944E-4</v>
      </c>
      <c r="J150" s="33">
        <f t="shared" si="32"/>
        <v>2.5661188785565663E-4</v>
      </c>
      <c r="K150" s="29"/>
      <c r="L150" s="29"/>
      <c r="M150" s="29"/>
      <c r="N150" s="29"/>
      <c r="O150" s="29"/>
      <c r="P150" s="29"/>
      <c r="Q150" s="29"/>
      <c r="R150" s="29"/>
      <c r="S150" s="29"/>
    </row>
    <row r="151" spans="1:19">
      <c r="A151" s="69"/>
      <c r="B151" s="12" t="s">
        <v>6</v>
      </c>
      <c r="C151" s="12"/>
      <c r="D151" s="44">
        <f t="shared" si="33"/>
        <v>611.77370726649701</v>
      </c>
      <c r="E151" s="12"/>
      <c r="F151" s="28">
        <f t="shared" si="30"/>
        <v>611.77370726649701</v>
      </c>
      <c r="G151" s="47">
        <f>F151/F156</f>
        <v>1.8774730454523141E-2</v>
      </c>
      <c r="H151" s="47">
        <f>H113</f>
        <v>5.5999999999999999E-3</v>
      </c>
      <c r="I151" s="47">
        <f t="shared" si="31"/>
        <v>1.0513849054532959E-4</v>
      </c>
      <c r="J151" s="33">
        <f t="shared" si="32"/>
        <v>1.0528272788252865E-4</v>
      </c>
      <c r="K151" s="29"/>
      <c r="L151" s="29"/>
      <c r="M151" s="29"/>
      <c r="N151" s="29"/>
      <c r="O151" s="29"/>
      <c r="P151" s="29"/>
      <c r="Q151" s="29"/>
      <c r="R151" s="29"/>
      <c r="S151" s="29"/>
    </row>
    <row r="152" spans="1:19">
      <c r="A152" s="69"/>
      <c r="B152" s="12" t="s">
        <v>22</v>
      </c>
      <c r="C152" s="12"/>
      <c r="D152" s="44">
        <f t="shared" si="33"/>
        <v>7464.2979837901748</v>
      </c>
      <c r="E152" s="12"/>
      <c r="F152" s="28">
        <f t="shared" si="30"/>
        <v>7464.2979837901748</v>
      </c>
      <c r="G152" s="47">
        <f>F152/F156</f>
        <v>0.22907192808934185</v>
      </c>
      <c r="H152" s="47">
        <f>H114</f>
        <v>0</v>
      </c>
      <c r="I152" s="47">
        <f t="shared" si="31"/>
        <v>0</v>
      </c>
      <c r="J152" s="33">
        <f t="shared" si="32"/>
        <v>0</v>
      </c>
      <c r="K152" s="29"/>
      <c r="L152" s="29"/>
      <c r="M152" s="29"/>
      <c r="N152" s="29"/>
      <c r="O152" s="29"/>
      <c r="P152" s="29"/>
      <c r="Q152" s="29"/>
      <c r="R152" s="29"/>
      <c r="S152" s="29"/>
    </row>
    <row r="153" spans="1:19">
      <c r="A153" s="69"/>
      <c r="B153" s="12" t="s">
        <v>23</v>
      </c>
      <c r="C153" s="12"/>
      <c r="D153" s="44">
        <f t="shared" si="33"/>
        <v>106.27515</v>
      </c>
      <c r="E153" s="12"/>
      <c r="F153" s="28">
        <f t="shared" si="30"/>
        <v>106.27515</v>
      </c>
      <c r="G153" s="48">
        <f>F153/F156</f>
        <v>3.2614793208084708E-3</v>
      </c>
      <c r="H153" s="47">
        <f>H115</f>
        <v>8.8200000000000001E-2</v>
      </c>
      <c r="I153" s="49">
        <f t="shared" si="31"/>
        <v>2.8766247609530711E-4</v>
      </c>
      <c r="J153" s="33">
        <f t="shared" si="32"/>
        <v>2.8805711434195559E-4</v>
      </c>
      <c r="K153" s="29"/>
      <c r="L153" s="29"/>
      <c r="M153" s="29"/>
      <c r="N153" s="29"/>
      <c r="O153" s="29"/>
      <c r="P153" s="29"/>
      <c r="Q153" s="29"/>
      <c r="R153" s="29"/>
      <c r="S153" s="29"/>
    </row>
    <row r="154" spans="1:19">
      <c r="A154" s="69"/>
      <c r="B154" s="12" t="s">
        <v>8</v>
      </c>
      <c r="C154" s="12"/>
      <c r="D154" s="71">
        <f t="shared" si="33"/>
        <v>14654.655572338814</v>
      </c>
      <c r="E154" s="61"/>
      <c r="F154" s="50">
        <f t="shared" si="30"/>
        <v>14654.655572338814</v>
      </c>
      <c r="G154" s="51">
        <f>F154/F156</f>
        <v>0.44973689618649015</v>
      </c>
      <c r="H154" s="52">
        <v>0.09</v>
      </c>
      <c r="I154" s="52">
        <f t="shared" si="31"/>
        <v>4.0476320656784109E-2</v>
      </c>
      <c r="J154" s="51">
        <f>+I154*1.63024</f>
        <v>6.5986116987515719E-2</v>
      </c>
      <c r="K154" s="29"/>
      <c r="L154" s="29"/>
      <c r="M154" s="29"/>
      <c r="N154" s="29"/>
      <c r="O154" s="29"/>
      <c r="P154" s="29"/>
      <c r="Q154" s="29"/>
      <c r="R154" s="29"/>
      <c r="S154" s="29"/>
    </row>
    <row r="155" spans="1:19">
      <c r="A155" s="69"/>
      <c r="B155" s="12"/>
      <c r="C155" s="12"/>
      <c r="D155" s="12"/>
      <c r="E155" s="12"/>
      <c r="F155" s="72"/>
      <c r="G155" s="12"/>
      <c r="H155" s="33"/>
      <c r="I155" s="33"/>
      <c r="J155" s="33"/>
      <c r="K155" s="29"/>
      <c r="L155" s="29"/>
      <c r="M155" s="29"/>
      <c r="N155" s="29"/>
      <c r="O155" s="29"/>
      <c r="P155" s="29"/>
      <c r="Q155" s="29"/>
      <c r="R155" s="29"/>
      <c r="S155" s="29"/>
    </row>
    <row r="156" spans="1:19" ht="13.5" thickBot="1">
      <c r="A156" s="69"/>
      <c r="B156" s="75" t="s">
        <v>9</v>
      </c>
      <c r="C156" s="75"/>
      <c r="D156" s="76">
        <f>SUM(D149:D155)</f>
        <v>32584.952883790174</v>
      </c>
      <c r="E156" s="76">
        <f>SUM(E149:E155)</f>
        <v>0</v>
      </c>
      <c r="F156" s="77">
        <f>SUM(F149:F154)</f>
        <v>32584.952883790174</v>
      </c>
      <c r="G156" s="64">
        <f>SUM(G149:G154)</f>
        <v>1</v>
      </c>
      <c r="H156" s="64"/>
      <c r="I156" s="64">
        <f>SUM(I149:I154)</f>
        <v>5.4082163638440858E-2</v>
      </c>
      <c r="J156" s="64">
        <f>SUM(J149:J155)</f>
        <v>7.9610625545897457E-2</v>
      </c>
      <c r="K156" s="29"/>
      <c r="L156" s="29"/>
      <c r="M156" s="29"/>
      <c r="N156" s="29"/>
      <c r="O156" s="29"/>
      <c r="P156" s="29"/>
      <c r="Q156" s="29"/>
      <c r="R156" s="29"/>
      <c r="S156" s="29"/>
    </row>
    <row r="157" spans="1:19" ht="13.5" thickTop="1">
      <c r="A157" s="29"/>
      <c r="B157" s="75"/>
      <c r="C157" s="75"/>
      <c r="D157" s="75"/>
      <c r="E157" s="12"/>
      <c r="F157" s="12"/>
      <c r="G157" s="33"/>
      <c r="H157" s="33"/>
      <c r="I157" s="33"/>
      <c r="J157" s="33"/>
      <c r="K157" s="29"/>
      <c r="L157" s="29"/>
      <c r="M157" s="29"/>
      <c r="N157" s="29"/>
      <c r="O157" s="29"/>
      <c r="P157" s="29"/>
      <c r="Q157" s="29"/>
      <c r="R157" s="29"/>
      <c r="S157" s="29"/>
    </row>
    <row r="158" spans="1:19">
      <c r="A158" s="29"/>
      <c r="B158" s="38" t="s">
        <v>13</v>
      </c>
      <c r="C158" s="38"/>
      <c r="D158" s="38"/>
      <c r="E158" s="12"/>
      <c r="F158" s="12"/>
      <c r="G158" s="33"/>
      <c r="H158" s="33"/>
      <c r="I158" s="33"/>
      <c r="J158" s="33">
        <f>J156-J137</f>
        <v>-1.4663581552781274E-2</v>
      </c>
      <c r="K158" s="29"/>
      <c r="L158" s="29"/>
      <c r="M158" s="29"/>
      <c r="N158" s="29"/>
      <c r="O158" s="29"/>
      <c r="P158" s="29"/>
      <c r="Q158" s="29"/>
      <c r="R158" s="29"/>
      <c r="S158" s="29"/>
    </row>
    <row r="159" spans="1:19">
      <c r="A159" s="69"/>
      <c r="B159" s="29" t="s">
        <v>12</v>
      </c>
      <c r="C159" s="29"/>
      <c r="D159" s="29"/>
      <c r="E159" s="29"/>
      <c r="F159" s="29"/>
      <c r="G159" s="29"/>
      <c r="H159" s="29"/>
      <c r="I159" s="68"/>
      <c r="J159" s="65">
        <f>'Exh. LK-27 - Page 1'!$D$25</f>
        <v>32025.420553638072</v>
      </c>
      <c r="K159" s="29"/>
      <c r="L159" s="29"/>
      <c r="M159" s="29"/>
      <c r="N159" s="29"/>
      <c r="O159" s="29"/>
      <c r="P159" s="29"/>
      <c r="Q159" s="29"/>
      <c r="R159" s="29"/>
      <c r="S159" s="29"/>
    </row>
    <row r="160" spans="1:19">
      <c r="A160" s="78"/>
      <c r="B160" s="12"/>
      <c r="C160" s="12"/>
      <c r="D160" s="12"/>
      <c r="E160" s="12"/>
      <c r="F160" s="12"/>
      <c r="G160" s="12"/>
      <c r="H160" s="39"/>
      <c r="I160" s="33"/>
      <c r="J160" s="33"/>
      <c r="K160" s="29"/>
      <c r="L160" s="29"/>
      <c r="M160" s="29"/>
      <c r="N160" s="29"/>
      <c r="O160" s="29"/>
      <c r="P160" s="29"/>
      <c r="Q160" s="29"/>
      <c r="R160" s="29"/>
      <c r="S160" s="29"/>
    </row>
    <row r="161" spans="1:19" ht="13.5" thickBot="1">
      <c r="A161" s="78"/>
      <c r="B161" s="12" t="s">
        <v>14</v>
      </c>
      <c r="C161" s="12"/>
      <c r="D161" s="12"/>
      <c r="E161" s="12"/>
      <c r="F161" s="12"/>
      <c r="G161" s="39"/>
      <c r="H161" s="39"/>
      <c r="I161" s="79"/>
      <c r="J161" s="80">
        <f>J159*J158</f>
        <v>-469.60736605038949</v>
      </c>
      <c r="K161" s="29"/>
      <c r="L161" s="29"/>
      <c r="M161" s="29"/>
      <c r="N161" s="29"/>
      <c r="O161" s="29"/>
      <c r="P161" s="29"/>
      <c r="Q161" s="29"/>
      <c r="R161" s="29"/>
      <c r="S161" s="29"/>
    </row>
    <row r="162" spans="1:19" ht="14.25" thickTop="1" thickBot="1">
      <c r="A162" s="78"/>
      <c r="B162" s="12"/>
      <c r="C162" s="12"/>
      <c r="D162" s="12"/>
      <c r="E162" s="12"/>
      <c r="F162" s="91" t="s">
        <v>73</v>
      </c>
      <c r="G162" s="39"/>
      <c r="H162" s="92">
        <f>J161/2</f>
        <v>-234.80368302519474</v>
      </c>
      <c r="I162" s="79"/>
      <c r="J162" s="59"/>
      <c r="K162" s="29"/>
      <c r="L162" s="29"/>
      <c r="M162" s="29"/>
      <c r="N162" s="29"/>
      <c r="O162" s="29"/>
      <c r="P162" s="29"/>
      <c r="Q162" s="29"/>
      <c r="R162" s="29"/>
      <c r="S162" s="29"/>
    </row>
    <row r="163" spans="1:19" ht="13.5" thickTop="1">
      <c r="A163" s="78"/>
      <c r="B163" s="12"/>
      <c r="C163" s="12"/>
      <c r="D163" s="12"/>
      <c r="E163" s="12"/>
      <c r="F163" s="91"/>
      <c r="G163" s="39"/>
      <c r="H163" s="93"/>
      <c r="I163" s="79"/>
      <c r="J163" s="59"/>
      <c r="K163" s="29"/>
      <c r="L163" s="29"/>
      <c r="M163" s="29"/>
      <c r="N163" s="29"/>
      <c r="O163" s="29"/>
      <c r="P163" s="29"/>
      <c r="Q163" s="29"/>
      <c r="R163" s="29"/>
      <c r="S163" s="29"/>
    </row>
    <row r="164" spans="1:19">
      <c r="A164" s="67" t="s">
        <v>582</v>
      </c>
      <c r="B164" s="29"/>
      <c r="C164" s="29"/>
      <c r="D164" s="29"/>
      <c r="E164" s="29"/>
      <c r="F164" s="29"/>
      <c r="G164" s="29"/>
      <c r="H164" s="29"/>
      <c r="I164" s="68"/>
      <c r="J164" s="68"/>
      <c r="K164" s="29"/>
      <c r="L164" s="29"/>
      <c r="M164" s="29"/>
      <c r="N164" s="29"/>
      <c r="O164" s="29"/>
      <c r="P164" s="29"/>
      <c r="Q164" s="29"/>
      <c r="R164" s="29"/>
      <c r="S164" s="29"/>
    </row>
    <row r="165" spans="1:19">
      <c r="A165" s="69"/>
      <c r="B165" s="12"/>
      <c r="C165" s="12"/>
      <c r="D165" s="39" t="s">
        <v>20</v>
      </c>
      <c r="E165" s="12"/>
      <c r="F165" s="39" t="s">
        <v>20</v>
      </c>
      <c r="G165" s="12"/>
      <c r="H165" s="39"/>
      <c r="I165" s="12"/>
      <c r="J165" s="62" t="s">
        <v>37</v>
      </c>
      <c r="K165" s="29"/>
      <c r="L165" s="29"/>
      <c r="M165" s="29"/>
      <c r="N165" s="29"/>
      <c r="O165" s="29"/>
      <c r="P165" s="29"/>
      <c r="Q165" s="29"/>
      <c r="R165" s="29"/>
      <c r="S165" s="29"/>
    </row>
    <row r="166" spans="1:19">
      <c r="A166" s="69"/>
      <c r="B166" s="12"/>
      <c r="C166" s="12"/>
      <c r="D166" s="39" t="s">
        <v>27</v>
      </c>
      <c r="E166" s="39" t="s">
        <v>20</v>
      </c>
      <c r="F166" s="40" t="s">
        <v>25</v>
      </c>
      <c r="G166" s="40" t="s">
        <v>0</v>
      </c>
      <c r="H166" s="40" t="s">
        <v>5</v>
      </c>
      <c r="I166" s="40" t="s">
        <v>1</v>
      </c>
      <c r="J166" s="40" t="s">
        <v>2</v>
      </c>
      <c r="K166" s="29"/>
      <c r="L166" s="29"/>
      <c r="M166" s="29"/>
      <c r="N166" s="29"/>
      <c r="O166" s="29"/>
      <c r="P166" s="29"/>
      <c r="Q166" s="29"/>
      <c r="R166" s="29"/>
      <c r="S166" s="29"/>
    </row>
    <row r="167" spans="1:19">
      <c r="A167" s="69"/>
      <c r="B167" s="12"/>
      <c r="C167" s="12"/>
      <c r="D167" s="60" t="s">
        <v>28</v>
      </c>
      <c r="E167" s="60" t="s">
        <v>28</v>
      </c>
      <c r="F167" s="60" t="s">
        <v>0</v>
      </c>
      <c r="G167" s="60" t="s">
        <v>3</v>
      </c>
      <c r="H167" s="60" t="s">
        <v>24</v>
      </c>
      <c r="I167" s="60" t="s">
        <v>4</v>
      </c>
      <c r="J167" s="63" t="s">
        <v>5</v>
      </c>
      <c r="K167" s="29"/>
      <c r="L167" s="29"/>
      <c r="M167" s="29"/>
      <c r="N167" s="29"/>
      <c r="O167" s="29"/>
      <c r="P167" s="29"/>
      <c r="Q167" s="29"/>
      <c r="R167" s="29"/>
      <c r="S167" s="29"/>
    </row>
    <row r="168" spans="1:19">
      <c r="A168" s="69"/>
      <c r="B168" s="12"/>
      <c r="C168" s="12"/>
      <c r="D168" s="12"/>
      <c r="E168" s="12"/>
      <c r="F168" s="12"/>
      <c r="G168" s="12"/>
      <c r="H168" s="12"/>
      <c r="I168" s="12"/>
      <c r="J168" s="12"/>
      <c r="K168" s="29"/>
      <c r="L168" s="224" t="s">
        <v>368</v>
      </c>
      <c r="M168" s="99"/>
      <c r="N168" s="100"/>
      <c r="O168" s="100"/>
      <c r="P168" s="101" t="s">
        <v>80</v>
      </c>
      <c r="Q168" s="149"/>
      <c r="R168" s="100"/>
      <c r="S168" s="100"/>
    </row>
    <row r="169" spans="1:19">
      <c r="A169" s="69"/>
      <c r="B169" s="12" t="s">
        <v>7</v>
      </c>
      <c r="C169" s="12"/>
      <c r="D169" s="70">
        <f>F149</f>
        <v>9340.6221403946893</v>
      </c>
      <c r="E169" s="28">
        <v>502.19839999999999</v>
      </c>
      <c r="F169" s="28">
        <f t="shared" ref="F169:F174" si="34">D169+E169</f>
        <v>9842.8205403946886</v>
      </c>
      <c r="G169" s="47">
        <f>F169/F176</f>
        <v>0.30206643463618854</v>
      </c>
      <c r="H169" s="47">
        <f>H149</f>
        <v>4.5199999999999997E-2</v>
      </c>
      <c r="I169" s="47">
        <f t="shared" ref="I169:I174" si="35">G169*H169</f>
        <v>1.3653402845555721E-2</v>
      </c>
      <c r="J169" s="33">
        <f t="shared" ref="J169:J173" si="36">+I169*1/(1-(0.00072+0.00065))</f>
        <v>1.3672133668681814E-2</v>
      </c>
      <c r="K169" s="29"/>
      <c r="L169" s="99"/>
      <c r="M169" s="99"/>
      <c r="N169" s="100"/>
      <c r="O169" s="100"/>
      <c r="P169" s="100"/>
      <c r="Q169" s="149"/>
      <c r="R169" s="100"/>
      <c r="S169" s="100"/>
    </row>
    <row r="170" spans="1:19">
      <c r="A170" s="69"/>
      <c r="B170" s="12" t="s">
        <v>21</v>
      </c>
      <c r="C170" s="12"/>
      <c r="D170" s="70">
        <f t="shared" ref="D170:D174" si="37">F150</f>
        <v>407.32832999999999</v>
      </c>
      <c r="E170" s="28"/>
      <c r="F170" s="28">
        <f t="shared" si="34"/>
        <v>407.32832999999999</v>
      </c>
      <c r="G170" s="47">
        <f>F170/F176</f>
        <v>1.2500503881428995E-2</v>
      </c>
      <c r="H170" s="47">
        <f t="shared" ref="H170:H174" si="38">H150</f>
        <v>2.0500000000000001E-2</v>
      </c>
      <c r="I170" s="47">
        <f t="shared" si="35"/>
        <v>2.562603295692944E-4</v>
      </c>
      <c r="J170" s="33">
        <f t="shared" si="36"/>
        <v>2.5661188785565663E-4</v>
      </c>
      <c r="K170" s="29"/>
      <c r="L170" s="101" t="s">
        <v>76</v>
      </c>
      <c r="M170" s="102">
        <f>D171</f>
        <v>611.77370726649701</v>
      </c>
      <c r="N170" s="103">
        <f>M170/M173</f>
        <v>2.4861723447664377E-2</v>
      </c>
      <c r="O170" s="100"/>
      <c r="P170" s="149">
        <f>(M173*0.05)-M170</f>
        <v>618.57886373350311</v>
      </c>
      <c r="Q170" s="149">
        <f>M170+P170</f>
        <v>1230.3525710000001</v>
      </c>
      <c r="R170" s="103">
        <f>Q170/Q173</f>
        <v>0.05</v>
      </c>
      <c r="S170" s="100"/>
    </row>
    <row r="171" spans="1:19">
      <c r="A171" s="69"/>
      <c r="B171" s="12" t="s">
        <v>6</v>
      </c>
      <c r="C171" s="12"/>
      <c r="D171" s="70">
        <f t="shared" si="37"/>
        <v>611.77370726649701</v>
      </c>
      <c r="E171" s="28">
        <v>618.57899999999995</v>
      </c>
      <c r="F171" s="28">
        <f t="shared" si="34"/>
        <v>1230.352707266497</v>
      </c>
      <c r="G171" s="47">
        <f>F171/F176</f>
        <v>3.7758308617305156E-2</v>
      </c>
      <c r="H171" s="47">
        <f t="shared" si="38"/>
        <v>5.5999999999999999E-3</v>
      </c>
      <c r="I171" s="47">
        <f t="shared" si="35"/>
        <v>2.1144652825690887E-4</v>
      </c>
      <c r="J171" s="33">
        <f t="shared" si="36"/>
        <v>2.1173660740905927E-4</v>
      </c>
      <c r="K171" s="29"/>
      <c r="L171" s="101" t="s">
        <v>77</v>
      </c>
      <c r="M171" s="102">
        <f>D169</f>
        <v>9340.6221403946893</v>
      </c>
      <c r="N171" s="103">
        <f>M171/M173</f>
        <v>0.37959127979075397</v>
      </c>
      <c r="O171" s="100"/>
      <c r="P171" s="150">
        <f>-P172-P170</f>
        <v>502.19842760530946</v>
      </c>
      <c r="Q171" s="149">
        <f t="shared" ref="Q171:Q172" si="39">M171+P171</f>
        <v>9842.8205679999992</v>
      </c>
      <c r="R171" s="103">
        <f>Q171/Q173</f>
        <v>0.39999999999999997</v>
      </c>
      <c r="S171" s="100"/>
    </row>
    <row r="172" spans="1:19">
      <c r="A172" s="69"/>
      <c r="B172" s="12" t="s">
        <v>22</v>
      </c>
      <c r="C172" s="12"/>
      <c r="D172" s="70">
        <f t="shared" si="37"/>
        <v>7464.2979837901748</v>
      </c>
      <c r="E172" s="28"/>
      <c r="F172" s="28">
        <f t="shared" si="34"/>
        <v>7464.2979837901748</v>
      </c>
      <c r="G172" s="47">
        <f>F172/F176</f>
        <v>0.22907192808934185</v>
      </c>
      <c r="H172" s="47">
        <f t="shared" si="38"/>
        <v>0</v>
      </c>
      <c r="I172" s="47">
        <f t="shared" si="35"/>
        <v>0</v>
      </c>
      <c r="J172" s="33">
        <f t="shared" si="36"/>
        <v>0</v>
      </c>
      <c r="K172" s="29"/>
      <c r="L172" s="101" t="s">
        <v>78</v>
      </c>
      <c r="M172" s="102">
        <f>D174</f>
        <v>14654.655572338814</v>
      </c>
      <c r="N172" s="103">
        <f>M172/M173</f>
        <v>0.59554699676158163</v>
      </c>
      <c r="O172" s="100"/>
      <c r="P172" s="149">
        <f>(M173*0.55)-M172</f>
        <v>-1120.7772913388126</v>
      </c>
      <c r="Q172" s="149">
        <f t="shared" si="39"/>
        <v>13533.878281000001</v>
      </c>
      <c r="R172" s="103">
        <f>Q172/Q173</f>
        <v>0.55000000000000004</v>
      </c>
      <c r="S172" s="100"/>
    </row>
    <row r="173" spans="1:19">
      <c r="A173" s="69"/>
      <c r="B173" s="12" t="s">
        <v>23</v>
      </c>
      <c r="C173" s="12"/>
      <c r="D173" s="70">
        <f t="shared" si="37"/>
        <v>106.27515</v>
      </c>
      <c r="E173" s="28"/>
      <c r="F173" s="28">
        <f t="shared" si="34"/>
        <v>106.27515</v>
      </c>
      <c r="G173" s="48">
        <f>F173/F176</f>
        <v>3.2614793208084708E-3</v>
      </c>
      <c r="H173" s="47">
        <f t="shared" si="38"/>
        <v>8.8200000000000001E-2</v>
      </c>
      <c r="I173" s="49">
        <f t="shared" si="35"/>
        <v>2.8766247609530711E-4</v>
      </c>
      <c r="J173" s="33">
        <f t="shared" si="36"/>
        <v>2.8805711434195559E-4</v>
      </c>
      <c r="K173" s="29"/>
      <c r="L173" s="99"/>
      <c r="M173" s="102">
        <f>SUM(M170:M172)</f>
        <v>24607.05142</v>
      </c>
      <c r="N173" s="100"/>
      <c r="O173" s="100"/>
      <c r="P173" s="100"/>
      <c r="Q173" s="149">
        <f>SUM(Q170:Q172)</f>
        <v>24607.05142</v>
      </c>
      <c r="R173" s="100"/>
      <c r="S173" s="100"/>
    </row>
    <row r="174" spans="1:19">
      <c r="A174" s="69"/>
      <c r="B174" s="12" t="s">
        <v>8</v>
      </c>
      <c r="C174" s="12"/>
      <c r="D174" s="71">
        <f t="shared" si="37"/>
        <v>14654.655572338814</v>
      </c>
      <c r="E174" s="50">
        <v>-1120.7773999999999</v>
      </c>
      <c r="F174" s="50">
        <f t="shared" si="34"/>
        <v>13533.878172338813</v>
      </c>
      <c r="G174" s="51">
        <f>F174/F176</f>
        <v>0.41534134545492696</v>
      </c>
      <c r="H174" s="47">
        <f t="shared" si="38"/>
        <v>0.09</v>
      </c>
      <c r="I174" s="52">
        <f t="shared" si="35"/>
        <v>3.7380721090943425E-2</v>
      </c>
      <c r="J174" s="51">
        <f>+I174*1.63024</f>
        <v>6.0939546751299603E-2</v>
      </c>
      <c r="K174" s="29"/>
      <c r="L174" s="99"/>
      <c r="M174" s="99"/>
      <c r="N174" s="100"/>
      <c r="O174" s="100"/>
      <c r="P174" s="100"/>
      <c r="Q174" s="100"/>
      <c r="R174" s="100"/>
      <c r="S174" s="100"/>
    </row>
    <row r="175" spans="1:19">
      <c r="A175" s="69"/>
      <c r="B175" s="12"/>
      <c r="C175" s="12"/>
      <c r="D175" s="12"/>
      <c r="E175" s="28"/>
      <c r="F175" s="72"/>
      <c r="G175" s="73"/>
      <c r="H175" s="74"/>
      <c r="I175" s="74"/>
      <c r="J175" s="74"/>
      <c r="K175" s="29"/>
      <c r="L175" s="99"/>
      <c r="M175" s="99"/>
      <c r="N175" s="100"/>
      <c r="O175" s="100"/>
      <c r="P175" s="100"/>
      <c r="Q175" s="100"/>
      <c r="R175" s="100"/>
      <c r="S175" s="100"/>
    </row>
    <row r="176" spans="1:19" ht="13.5" thickBot="1">
      <c r="A176" s="29"/>
      <c r="B176" s="75" t="s">
        <v>9</v>
      </c>
      <c r="C176" s="75"/>
      <c r="D176" s="76">
        <f>SUM(D169:D175)</f>
        <v>32584.952883790174</v>
      </c>
      <c r="E176" s="148">
        <f>SUM(E169:E175)</f>
        <v>0</v>
      </c>
      <c r="F176" s="77">
        <f>SUM(F169:F174)</f>
        <v>32584.952883790174</v>
      </c>
      <c r="G176" s="64">
        <f>SUM(G169:G174)</f>
        <v>1</v>
      </c>
      <c r="H176" s="64"/>
      <c r="I176" s="64">
        <f>SUM(I169:I174)</f>
        <v>5.1789493270420657E-2</v>
      </c>
      <c r="J176" s="64">
        <f>SUM(J169:J175)</f>
        <v>7.5368086029588083E-2</v>
      </c>
      <c r="K176" s="29"/>
      <c r="L176" s="29"/>
      <c r="M176" s="29"/>
      <c r="N176" s="29"/>
      <c r="O176" s="29"/>
      <c r="P176" s="29"/>
      <c r="Q176" s="29"/>
      <c r="R176" s="29"/>
      <c r="S176" s="29"/>
    </row>
    <row r="177" spans="1:19" ht="13.5" thickTop="1">
      <c r="A177" s="29"/>
      <c r="B177" s="75"/>
      <c r="C177" s="75"/>
      <c r="D177" s="75"/>
      <c r="E177" s="12"/>
      <c r="F177" s="12"/>
      <c r="G177" s="33"/>
      <c r="H177" s="33"/>
      <c r="I177" s="33"/>
      <c r="J177" s="33"/>
      <c r="K177" s="29"/>
      <c r="L177" s="29"/>
      <c r="M177" s="29"/>
      <c r="N177" s="29"/>
      <c r="O177" s="29"/>
      <c r="P177" s="29"/>
      <c r="Q177" s="29"/>
      <c r="R177" s="29"/>
      <c r="S177" s="29"/>
    </row>
    <row r="178" spans="1:19">
      <c r="A178" s="69"/>
      <c r="B178" s="38" t="s">
        <v>13</v>
      </c>
      <c r="C178" s="38"/>
      <c r="D178" s="38"/>
      <c r="E178" s="12"/>
      <c r="F178" s="12"/>
      <c r="G178" s="33"/>
      <c r="H178" s="33"/>
      <c r="I178" s="33"/>
      <c r="J178" s="33">
        <f>J176-J156</f>
        <v>-4.2425395163093738E-3</v>
      </c>
      <c r="K178" s="29"/>
      <c r="L178" s="29"/>
      <c r="M178" s="29"/>
      <c r="N178" s="29"/>
      <c r="O178" s="29"/>
      <c r="P178" s="29"/>
      <c r="Q178" s="29"/>
      <c r="R178" s="29"/>
      <c r="S178" s="29"/>
    </row>
    <row r="179" spans="1:19">
      <c r="A179" s="78"/>
      <c r="B179" s="29" t="s">
        <v>12</v>
      </c>
      <c r="C179" s="29"/>
      <c r="D179" s="29"/>
      <c r="E179" s="29"/>
      <c r="F179" s="29"/>
      <c r="G179" s="29"/>
      <c r="H179" s="29"/>
      <c r="I179" s="68"/>
      <c r="J179" s="65">
        <f>'Exh. LK-27 - Page 1'!$D$25</f>
        <v>32025.420553638072</v>
      </c>
      <c r="K179" s="29"/>
      <c r="L179" s="29"/>
      <c r="M179" s="29"/>
      <c r="N179" s="29"/>
      <c r="O179" s="29"/>
      <c r="P179" s="29"/>
      <c r="Q179" s="29"/>
      <c r="R179" s="29"/>
      <c r="S179" s="29"/>
    </row>
    <row r="180" spans="1:19">
      <c r="A180" s="78"/>
      <c r="B180" s="12"/>
      <c r="C180" s="12"/>
      <c r="D180" s="12"/>
      <c r="E180" s="12"/>
      <c r="F180" s="12"/>
      <c r="G180" s="12"/>
      <c r="H180" s="39"/>
      <c r="I180" s="33"/>
      <c r="J180" s="33"/>
      <c r="K180" s="29"/>
      <c r="L180" s="29"/>
      <c r="M180" s="29"/>
      <c r="N180" s="29"/>
      <c r="O180" s="29"/>
      <c r="P180" s="29"/>
      <c r="Q180" s="29"/>
      <c r="R180" s="29"/>
      <c r="S180" s="29"/>
    </row>
    <row r="181" spans="1:19" ht="13.5" thickBot="1">
      <c r="A181" s="29"/>
      <c r="B181" s="12" t="s">
        <v>14</v>
      </c>
      <c r="C181" s="12"/>
      <c r="D181" s="12"/>
      <c r="E181" s="12"/>
      <c r="F181" s="12"/>
      <c r="G181" s="39"/>
      <c r="H181" s="39"/>
      <c r="I181" s="79"/>
      <c r="J181" s="80">
        <f>J179*J178</f>
        <v>-135.86911222523594</v>
      </c>
      <c r="K181" s="29"/>
      <c r="L181" s="29"/>
      <c r="M181" s="29"/>
      <c r="N181" s="29"/>
      <c r="O181" s="29"/>
      <c r="P181" s="29"/>
      <c r="Q181" s="29"/>
      <c r="R181" s="29"/>
      <c r="S181" s="29"/>
    </row>
    <row r="182" spans="1:19" ht="13.5" thickTop="1">
      <c r="B182" s="7"/>
      <c r="C182" s="7"/>
      <c r="D182" s="7"/>
      <c r="E182" s="4"/>
      <c r="F182" s="35"/>
      <c r="G182" s="36"/>
      <c r="H182" s="36"/>
      <c r="I182" s="36"/>
      <c r="J182" s="36"/>
      <c r="K182" s="29"/>
      <c r="L182" s="29"/>
      <c r="M182" s="29"/>
      <c r="N182" s="29"/>
      <c r="O182" s="29"/>
      <c r="P182" s="29"/>
      <c r="Q182" s="29"/>
      <c r="R182" s="29"/>
      <c r="S182" s="29"/>
    </row>
    <row r="183" spans="1:19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</row>
    <row r="184" spans="1:19">
      <c r="A184" s="62" t="s">
        <v>37</v>
      </c>
      <c r="B184" s="83" t="s">
        <v>42</v>
      </c>
      <c r="C184" s="83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</row>
    <row r="185" spans="1:19">
      <c r="A185" s="29"/>
      <c r="B185" s="83" t="s">
        <v>38</v>
      </c>
      <c r="C185" s="83"/>
      <c r="D185" s="83"/>
      <c r="E185" s="84">
        <v>0.35</v>
      </c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</row>
    <row r="186" spans="1:19">
      <c r="A186" s="29"/>
      <c r="B186" s="83" t="s">
        <v>39</v>
      </c>
      <c r="C186" s="83"/>
      <c r="D186" s="83"/>
      <c r="E186" s="84">
        <v>5.5E-2</v>
      </c>
      <c r="F186" s="29"/>
      <c r="G186" s="85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</row>
    <row r="187" spans="1:19">
      <c r="A187" s="29"/>
      <c r="B187" s="83" t="s">
        <v>40</v>
      </c>
      <c r="C187" s="83"/>
      <c r="D187" s="83"/>
      <c r="E187" s="84">
        <v>6.4999999999999997E-4</v>
      </c>
      <c r="F187" s="29"/>
      <c r="G187" s="29"/>
      <c r="H187" s="85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</row>
    <row r="188" spans="1:19">
      <c r="A188" s="29"/>
      <c r="B188" s="83" t="s">
        <v>41</v>
      </c>
      <c r="C188" s="83"/>
      <c r="D188" s="83"/>
      <c r="E188" s="84">
        <v>7.2000000000000005E-4</v>
      </c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</row>
    <row r="189" spans="1:19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</row>
    <row r="190" spans="1:19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</row>
    <row r="191" spans="1:19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</row>
    <row r="192" spans="1:19">
      <c r="A192" s="29"/>
      <c r="B192" s="29"/>
      <c r="C192" s="29"/>
      <c r="D192" s="29"/>
      <c r="E192" s="29"/>
      <c r="F192" s="29"/>
      <c r="G192" s="29"/>
      <c r="H192" s="29"/>
      <c r="I192" s="29"/>
      <c r="J192" s="151">
        <f>J181+J161+J142+J123+J83+J63+J39</f>
        <v>-750.55512715627685</v>
      </c>
      <c r="K192" s="29"/>
      <c r="L192" s="29"/>
      <c r="M192" s="29"/>
      <c r="N192" s="29"/>
      <c r="O192" s="29"/>
      <c r="P192" s="29"/>
      <c r="Q192" s="29"/>
      <c r="R192" s="29"/>
      <c r="S192" s="29"/>
    </row>
    <row r="193" spans="1:19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</row>
    <row r="194" spans="1:19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</row>
    <row r="195" spans="1:19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</row>
    <row r="196" spans="1:19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</row>
    <row r="197" spans="1:19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</row>
    <row r="198" spans="1:19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</row>
    <row r="199" spans="1:19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</row>
    <row r="200" spans="1:19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</row>
  </sheetData>
  <mergeCells count="4">
    <mergeCell ref="A1:J1"/>
    <mergeCell ref="A3:J3"/>
    <mergeCell ref="A4:J4"/>
    <mergeCell ref="A2:J2"/>
  </mergeCells>
  <phoneticPr fontId="29" type="noConversion"/>
  <pageMargins left="0.39" right="0.25" top="1" bottom="1" header="0.5" footer="0.5"/>
  <pageSetup orientation="landscape" r:id="rId1"/>
  <headerFooter alignWithMargins="0">
    <oddHeader>&amp;R&amp;8Docket No. 160021-EI, &amp;"Arial,Italic"et al&amp;"Arial,Regular".
FPL POD No. 5
Attachment A
Page &amp;P of &amp;N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3"/>
  <sheetViews>
    <sheetView tabSelected="1" view="pageLayout" zoomScaleNormal="100" workbookViewId="0">
      <selection activeCell="G9" sqref="G9"/>
    </sheetView>
  </sheetViews>
  <sheetFormatPr defaultRowHeight="12.75"/>
  <cols>
    <col min="1" max="1" width="5.85546875" customWidth="1"/>
    <col min="2" max="2" width="19.28515625" customWidth="1"/>
    <col min="3" max="3" width="3.140625" customWidth="1"/>
    <col min="4" max="4" width="14.5703125" customWidth="1"/>
    <col min="5" max="5" width="11.28515625" customWidth="1"/>
    <col min="6" max="6" width="16.42578125" customWidth="1"/>
    <col min="7" max="9" width="12.7109375" customWidth="1"/>
    <col min="10" max="10" width="15" customWidth="1"/>
    <col min="11" max="11" width="17.28515625" customWidth="1"/>
    <col min="12" max="12" width="11.85546875" customWidth="1"/>
    <col min="13" max="13" width="11" customWidth="1"/>
    <col min="14" max="14" width="9.85546875" bestFit="1" customWidth="1"/>
    <col min="16" max="16" width="11.42578125" customWidth="1"/>
    <col min="17" max="17" width="12.5703125" customWidth="1"/>
  </cols>
  <sheetData>
    <row r="1" spans="1:19">
      <c r="A1" s="377" t="s">
        <v>10</v>
      </c>
      <c r="B1" s="377"/>
      <c r="C1" s="377"/>
      <c r="D1" s="377"/>
      <c r="E1" s="377"/>
      <c r="F1" s="377"/>
      <c r="G1" s="377"/>
      <c r="H1" s="377"/>
      <c r="I1" s="377"/>
      <c r="J1" s="377"/>
    </row>
    <row r="2" spans="1:19">
      <c r="A2" s="376" t="s">
        <v>65</v>
      </c>
      <c r="B2" s="376"/>
      <c r="C2" s="376"/>
      <c r="D2" s="376"/>
      <c r="E2" s="376"/>
      <c r="F2" s="376"/>
      <c r="G2" s="376"/>
      <c r="H2" s="376"/>
      <c r="I2" s="376"/>
      <c r="J2" s="376"/>
    </row>
    <row r="3" spans="1:19">
      <c r="A3" s="376" t="s">
        <v>67</v>
      </c>
      <c r="B3" s="377"/>
      <c r="C3" s="377"/>
      <c r="D3" s="377"/>
      <c r="E3" s="377"/>
      <c r="F3" s="377"/>
      <c r="G3" s="377"/>
      <c r="H3" s="377"/>
      <c r="I3" s="377"/>
      <c r="J3" s="377"/>
    </row>
    <row r="4" spans="1:19">
      <c r="A4" s="377" t="s">
        <v>19</v>
      </c>
      <c r="B4" s="377"/>
      <c r="C4" s="377"/>
      <c r="D4" s="377"/>
      <c r="E4" s="377"/>
      <c r="F4" s="377"/>
      <c r="G4" s="377"/>
      <c r="H4" s="377"/>
      <c r="I4" s="377"/>
      <c r="J4" s="377"/>
    </row>
    <row r="6" spans="1:19" ht="4.5" customHeight="1"/>
    <row r="7" spans="1:19">
      <c r="A7" s="2" t="s">
        <v>11</v>
      </c>
    </row>
    <row r="8" spans="1:19">
      <c r="A8" s="3"/>
      <c r="B8" s="4"/>
      <c r="C8" s="4"/>
      <c r="D8" s="4"/>
      <c r="E8" s="4"/>
      <c r="F8" s="5" t="s">
        <v>20</v>
      </c>
      <c r="G8" s="4"/>
      <c r="H8" s="5"/>
      <c r="I8" s="4"/>
      <c r="J8" s="30" t="s">
        <v>37</v>
      </c>
      <c r="K8" s="4"/>
      <c r="L8" s="4"/>
      <c r="M8" s="4"/>
    </row>
    <row r="9" spans="1:19">
      <c r="A9" s="3"/>
      <c r="B9" s="4"/>
      <c r="C9" s="4"/>
      <c r="D9" s="4"/>
      <c r="E9" s="4"/>
      <c r="F9" s="19" t="s">
        <v>25</v>
      </c>
      <c r="G9" s="19" t="s">
        <v>0</v>
      </c>
      <c r="H9" s="19" t="s">
        <v>5</v>
      </c>
      <c r="I9" s="19" t="s">
        <v>1</v>
      </c>
      <c r="J9" s="19" t="s">
        <v>2</v>
      </c>
      <c r="K9" s="4"/>
      <c r="L9" s="155"/>
      <c r="M9" s="12"/>
      <c r="N9" s="29"/>
      <c r="O9" s="29"/>
      <c r="P9" s="152"/>
      <c r="Q9" s="29"/>
      <c r="R9" s="29"/>
      <c r="S9" s="29"/>
    </row>
    <row r="10" spans="1:19">
      <c r="A10" s="3"/>
      <c r="B10" s="4"/>
      <c r="C10" s="4"/>
      <c r="D10" s="4"/>
      <c r="E10" s="4"/>
      <c r="F10" s="20" t="s">
        <v>0</v>
      </c>
      <c r="G10" s="20" t="s">
        <v>3</v>
      </c>
      <c r="H10" s="20" t="s">
        <v>24</v>
      </c>
      <c r="I10" s="20" t="s">
        <v>4</v>
      </c>
      <c r="J10" s="21" t="s">
        <v>5</v>
      </c>
      <c r="K10" s="4"/>
      <c r="L10" s="12"/>
      <c r="M10" s="12"/>
      <c r="N10" s="29"/>
      <c r="O10" s="29"/>
      <c r="P10" s="29"/>
      <c r="Q10" s="29"/>
      <c r="R10" s="29"/>
      <c r="S10" s="29"/>
    </row>
    <row r="11" spans="1:19">
      <c r="B11" s="4"/>
      <c r="C11" s="4"/>
      <c r="D11" s="4"/>
      <c r="E11" s="4"/>
      <c r="F11" s="4"/>
      <c r="G11" s="4"/>
      <c r="H11" s="4"/>
      <c r="I11" s="4"/>
      <c r="J11" s="4"/>
      <c r="K11" s="4"/>
      <c r="L11" s="152"/>
      <c r="M11" s="70"/>
      <c r="N11" s="153"/>
      <c r="O11" s="29"/>
      <c r="P11" s="154"/>
      <c r="Q11" s="151"/>
      <c r="R11" s="153"/>
      <c r="S11" s="29"/>
    </row>
    <row r="12" spans="1:19">
      <c r="B12" s="4" t="s">
        <v>7</v>
      </c>
      <c r="C12" s="4"/>
      <c r="D12" s="4"/>
      <c r="E12" s="4"/>
      <c r="F12" s="95">
        <v>10024.107</v>
      </c>
      <c r="G12" s="47">
        <f>F12/F19</f>
        <v>0.2959504438279269</v>
      </c>
      <c r="H12" s="94">
        <v>4.87E-2</v>
      </c>
      <c r="I12" s="47">
        <f t="shared" ref="I12:I17" si="0">G12*H12</f>
        <v>1.4412786614420039E-2</v>
      </c>
      <c r="J12" s="33">
        <f>+I12*1/(1-(0.00072+0.00065))</f>
        <v>1.4432559220552196E-2</v>
      </c>
      <c r="K12" s="12" t="s">
        <v>45</v>
      </c>
      <c r="L12" s="155"/>
      <c r="M12" s="12"/>
      <c r="N12" s="29"/>
      <c r="O12" s="29"/>
      <c r="P12" s="152"/>
      <c r="Q12" s="151"/>
      <c r="R12" s="29"/>
      <c r="S12" s="29"/>
    </row>
    <row r="13" spans="1:19">
      <c r="B13" s="4" t="s">
        <v>21</v>
      </c>
      <c r="C13" s="4"/>
      <c r="D13" s="4"/>
      <c r="E13" s="4"/>
      <c r="F13" s="95">
        <v>386.36</v>
      </c>
      <c r="G13" s="47">
        <f>F13/F19</f>
        <v>1.1406842871625158E-2</v>
      </c>
      <c r="H13" s="94">
        <v>2.0400000000000001E-2</v>
      </c>
      <c r="I13" s="47">
        <f t="shared" si="0"/>
        <v>2.3269959458115325E-4</v>
      </c>
      <c r="J13" s="33">
        <f>+I13*1/(1-(0.00072+0.00065))</f>
        <v>2.3301883037877216E-4</v>
      </c>
      <c r="K13" s="12" t="s">
        <v>45</v>
      </c>
      <c r="L13" s="12"/>
      <c r="M13" s="12"/>
      <c r="N13" s="29"/>
      <c r="O13" s="29"/>
      <c r="P13" s="29"/>
      <c r="Q13" s="151"/>
      <c r="R13" s="29"/>
      <c r="S13" s="29"/>
    </row>
    <row r="14" spans="1:19">
      <c r="B14" s="4" t="s">
        <v>6</v>
      </c>
      <c r="C14" s="4"/>
      <c r="D14" s="4"/>
      <c r="E14" s="4"/>
      <c r="F14" s="95">
        <v>321.61099999999999</v>
      </c>
      <c r="G14" s="47">
        <f>F14/F19</f>
        <v>9.4952017361689574E-3</v>
      </c>
      <c r="H14" s="94">
        <v>2.6800000000000001E-2</v>
      </c>
      <c r="I14" s="47">
        <f t="shared" si="0"/>
        <v>2.5447140652932809E-4</v>
      </c>
      <c r="J14" s="33">
        <f>+I14*1/(1-(0.00072+0.00065))</f>
        <v>2.5482051062888965E-4</v>
      </c>
      <c r="K14" s="12" t="s">
        <v>45</v>
      </c>
      <c r="L14" s="152"/>
      <c r="M14" s="70"/>
      <c r="N14" s="153"/>
      <c r="O14" s="29"/>
      <c r="P14" s="151"/>
      <c r="Q14" s="151"/>
      <c r="R14" s="153"/>
      <c r="S14" s="29"/>
    </row>
    <row r="15" spans="1:19">
      <c r="B15" s="4" t="s">
        <v>22</v>
      </c>
      <c r="C15" s="4"/>
      <c r="D15" s="4"/>
      <c r="E15" s="4"/>
      <c r="F15" s="95">
        <v>7753.7380000000003</v>
      </c>
      <c r="G15" s="47">
        <f>F15/F19</f>
        <v>0.22892036192605111</v>
      </c>
      <c r="H15" s="94">
        <v>0</v>
      </c>
      <c r="I15" s="47">
        <f t="shared" si="0"/>
        <v>0</v>
      </c>
      <c r="J15" s="33">
        <f>+I15*1/(1-(0.00072+0.00065))</f>
        <v>0</v>
      </c>
      <c r="K15" s="12" t="s">
        <v>45</v>
      </c>
      <c r="L15" s="152"/>
      <c r="M15" s="70"/>
      <c r="N15" s="153"/>
      <c r="O15" s="29"/>
      <c r="P15" s="156"/>
      <c r="Q15" s="151"/>
      <c r="R15" s="153"/>
      <c r="S15" s="29"/>
    </row>
    <row r="16" spans="1:19">
      <c r="B16" s="4" t="s">
        <v>23</v>
      </c>
      <c r="C16" s="4"/>
      <c r="D16" s="4"/>
      <c r="E16" s="4"/>
      <c r="F16" s="96">
        <v>100.559</v>
      </c>
      <c r="G16" s="48">
        <f>F16/F19</f>
        <v>2.9688909626456005E-3</v>
      </c>
      <c r="H16" s="48">
        <v>8.8700000000000001E-2</v>
      </c>
      <c r="I16" s="49">
        <f t="shared" si="0"/>
        <v>2.6334062838666479E-4</v>
      </c>
      <c r="J16" s="33">
        <f>+I16*1/(1-(0.00072+0.00065))</f>
        <v>2.637018999896506E-4</v>
      </c>
      <c r="K16" s="12" t="s">
        <v>45</v>
      </c>
      <c r="L16" s="152"/>
      <c r="M16" s="70"/>
      <c r="N16" s="153"/>
      <c r="O16" s="29"/>
      <c r="P16" s="151"/>
      <c r="Q16" s="151"/>
      <c r="R16" s="153"/>
      <c r="S16" s="29"/>
    </row>
    <row r="17" spans="1:19">
      <c r="B17" s="4" t="s">
        <v>8</v>
      </c>
      <c r="C17" s="4"/>
      <c r="D17" s="4"/>
      <c r="E17" s="4"/>
      <c r="F17" s="97">
        <v>15284.522000000001</v>
      </c>
      <c r="G17" s="51">
        <f>F17/F19</f>
        <v>0.45125825867558211</v>
      </c>
      <c r="H17" s="51">
        <v>0.115</v>
      </c>
      <c r="I17" s="52">
        <f t="shared" si="0"/>
        <v>5.1894699747691946E-2</v>
      </c>
      <c r="J17" s="51">
        <f>+I17*1.63024</f>
        <v>8.4600815316677319E-2</v>
      </c>
      <c r="K17" s="12" t="s">
        <v>26</v>
      </c>
      <c r="L17" s="12"/>
      <c r="M17" s="70"/>
      <c r="N17" s="29"/>
      <c r="O17" s="29"/>
      <c r="P17" s="29"/>
      <c r="Q17" s="151"/>
      <c r="R17" s="29"/>
      <c r="S17" s="29"/>
    </row>
    <row r="18" spans="1:19">
      <c r="B18" s="4"/>
      <c r="C18" s="4"/>
      <c r="D18" s="4"/>
      <c r="E18" s="4"/>
      <c r="F18" s="18"/>
      <c r="G18" s="4"/>
      <c r="H18" s="6"/>
      <c r="I18" s="6"/>
      <c r="J18" s="6"/>
      <c r="K18" s="4"/>
      <c r="L18" s="12"/>
      <c r="M18" s="12"/>
      <c r="N18" s="29"/>
      <c r="O18" s="29"/>
      <c r="P18" s="29"/>
      <c r="Q18" s="29"/>
      <c r="R18" s="29"/>
      <c r="S18" s="29"/>
    </row>
    <row r="19" spans="1:19" ht="13.5" thickBot="1">
      <c r="B19" s="7" t="s">
        <v>9</v>
      </c>
      <c r="C19" s="7"/>
      <c r="D19" s="7"/>
      <c r="E19" s="4"/>
      <c r="F19" s="23">
        <f>SUM(F12:F17)</f>
        <v>33870.897000000004</v>
      </c>
      <c r="G19" s="24">
        <f>SUM(G12:G17)</f>
        <v>0.99999999999999989</v>
      </c>
      <c r="H19" s="24"/>
      <c r="I19" s="24">
        <f>SUM(I12:I17)</f>
        <v>6.7057997991609136E-2</v>
      </c>
      <c r="J19" s="24">
        <f>SUM(J12:J18)</f>
        <v>9.9784915778226832E-2</v>
      </c>
      <c r="K19" s="4"/>
      <c r="L19" s="155"/>
      <c r="M19" s="12"/>
      <c r="N19" s="29"/>
      <c r="O19" s="29"/>
      <c r="P19" s="152"/>
      <c r="Q19" s="151"/>
      <c r="R19" s="29"/>
      <c r="S19" s="29"/>
    </row>
    <row r="20" spans="1:19" ht="13.5" thickTop="1">
      <c r="B20" s="7"/>
      <c r="C20" s="7"/>
      <c r="D20" s="7"/>
      <c r="E20" s="4"/>
      <c r="F20" s="35"/>
      <c r="G20" s="36"/>
      <c r="H20" s="36"/>
      <c r="I20" s="36"/>
      <c r="J20" s="36"/>
      <c r="K20" s="4"/>
      <c r="L20" s="12"/>
      <c r="M20" s="12"/>
      <c r="N20" s="29"/>
      <c r="O20" s="29"/>
      <c r="P20" s="29"/>
      <c r="Q20" s="151"/>
      <c r="R20" s="29"/>
      <c r="S20" s="29"/>
    </row>
    <row r="21" spans="1:19">
      <c r="B21" s="7"/>
      <c r="C21" s="7"/>
      <c r="D21" s="7"/>
      <c r="E21" s="4"/>
      <c r="F21" s="35"/>
      <c r="G21" s="36"/>
      <c r="H21" s="36"/>
      <c r="I21" s="36"/>
      <c r="J21" s="36"/>
      <c r="K21" s="4"/>
      <c r="L21" s="152"/>
      <c r="M21" s="70"/>
      <c r="N21" s="153"/>
      <c r="O21" s="29"/>
      <c r="P21" s="151"/>
      <c r="Q21" s="151"/>
      <c r="R21" s="153"/>
      <c r="S21" s="29"/>
    </row>
    <row r="22" spans="1:19">
      <c r="A22" s="67" t="s">
        <v>281</v>
      </c>
      <c r="B22" s="29"/>
      <c r="C22" s="29"/>
      <c r="D22" s="29"/>
      <c r="E22" s="29"/>
      <c r="F22" s="29"/>
      <c r="G22" s="29"/>
      <c r="H22" s="29"/>
      <c r="I22" s="68"/>
      <c r="J22" s="68"/>
      <c r="K22" s="12"/>
      <c r="L22" s="152"/>
      <c r="M22" s="70"/>
      <c r="N22" s="153"/>
      <c r="O22" s="29"/>
      <c r="P22" s="156"/>
      <c r="Q22" s="151"/>
      <c r="R22" s="153"/>
      <c r="S22" s="29"/>
    </row>
    <row r="23" spans="1:19">
      <c r="A23" s="69"/>
      <c r="B23" s="12"/>
      <c r="C23" s="12"/>
      <c r="D23" s="39" t="s">
        <v>20</v>
      </c>
      <c r="E23" s="12"/>
      <c r="F23" s="39" t="s">
        <v>20</v>
      </c>
      <c r="G23" s="12"/>
      <c r="H23" s="39"/>
      <c r="I23" s="12"/>
      <c r="J23" s="62" t="s">
        <v>37</v>
      </c>
      <c r="K23" s="40"/>
      <c r="L23" s="152"/>
      <c r="M23" s="70"/>
      <c r="N23" s="153"/>
      <c r="O23" s="29"/>
      <c r="P23" s="151"/>
      <c r="Q23" s="151"/>
      <c r="R23" s="153"/>
      <c r="S23" s="29"/>
    </row>
    <row r="24" spans="1:19">
      <c r="A24" s="69"/>
      <c r="B24" s="12"/>
      <c r="C24" s="12"/>
      <c r="D24" s="39" t="s">
        <v>27</v>
      </c>
      <c r="E24" s="39" t="s">
        <v>20</v>
      </c>
      <c r="F24" s="40" t="s">
        <v>25</v>
      </c>
      <c r="G24" s="40" t="s">
        <v>0</v>
      </c>
      <c r="H24" s="40" t="s">
        <v>5</v>
      </c>
      <c r="I24" s="40" t="s">
        <v>1</v>
      </c>
      <c r="J24" s="40" t="s">
        <v>2</v>
      </c>
      <c r="K24" s="40"/>
      <c r="L24" s="12"/>
      <c r="M24" s="70"/>
      <c r="N24" s="29"/>
      <c r="O24" s="29"/>
      <c r="P24" s="29"/>
      <c r="Q24" s="151"/>
      <c r="R24" s="29"/>
      <c r="S24" s="29"/>
    </row>
    <row r="25" spans="1:19">
      <c r="A25" s="69"/>
      <c r="B25" s="12"/>
      <c r="C25" s="12"/>
      <c r="D25" s="60" t="s">
        <v>28</v>
      </c>
      <c r="E25" s="60" t="s">
        <v>28</v>
      </c>
      <c r="F25" s="60" t="s">
        <v>0</v>
      </c>
      <c r="G25" s="60" t="s">
        <v>3</v>
      </c>
      <c r="H25" s="60" t="s">
        <v>24</v>
      </c>
      <c r="I25" s="60" t="s">
        <v>4</v>
      </c>
      <c r="J25" s="63" t="s">
        <v>5</v>
      </c>
      <c r="K25" s="41"/>
      <c r="L25" s="12"/>
      <c r="M25" s="12"/>
      <c r="N25" s="29"/>
      <c r="O25" s="29"/>
      <c r="P25" s="29"/>
      <c r="Q25" s="29"/>
      <c r="R25" s="29"/>
      <c r="S25" s="29"/>
    </row>
    <row r="26" spans="1:19">
      <c r="A26" s="69"/>
      <c r="B26" s="12"/>
      <c r="C26" s="12"/>
      <c r="D26" s="12"/>
      <c r="E26" s="12"/>
      <c r="F26" s="12"/>
      <c r="G26" s="12"/>
      <c r="H26" s="12"/>
      <c r="I26" s="12"/>
      <c r="J26" s="12"/>
      <c r="K26" s="49"/>
      <c r="L26" s="48"/>
      <c r="M26" s="41"/>
      <c r="N26" s="41"/>
      <c r="O26" s="48"/>
      <c r="P26" s="41"/>
      <c r="Q26" s="41"/>
      <c r="R26" s="29"/>
      <c r="S26" s="29"/>
    </row>
    <row r="27" spans="1:19">
      <c r="A27" s="69"/>
      <c r="B27" s="12" t="s">
        <v>7</v>
      </c>
      <c r="C27" s="12"/>
      <c r="D27" s="70">
        <f t="shared" ref="D27:D32" si="1">F12</f>
        <v>10024.107</v>
      </c>
      <c r="E27" s="28"/>
      <c r="F27" s="28">
        <f t="shared" ref="F27:F32" si="2">D27+E27</f>
        <v>10024.107</v>
      </c>
      <c r="G27" s="47">
        <f>F27/F34</f>
        <v>0.29462884660956218</v>
      </c>
      <c r="H27" s="47">
        <f t="shared" ref="H27:H32" si="3">H12</f>
        <v>4.87E-2</v>
      </c>
      <c r="I27" s="47">
        <f t="shared" ref="I27:I32" si="4">G27*H27</f>
        <v>1.4348424829885678E-2</v>
      </c>
      <c r="J27" s="33">
        <f t="shared" ref="J27:J31" si="5">+I27*1/(1-(0.00072+0.00065))</f>
        <v>1.4368109139406665E-2</v>
      </c>
      <c r="K27" s="49"/>
      <c r="L27" s="48"/>
      <c r="M27" s="41"/>
      <c r="N27" s="41"/>
      <c r="O27" s="48"/>
      <c r="P27" s="41"/>
      <c r="Q27" s="41"/>
      <c r="R27" s="29"/>
    </row>
    <row r="28" spans="1:19">
      <c r="A28" s="69"/>
      <c r="B28" s="12" t="s">
        <v>21</v>
      </c>
      <c r="C28" s="12"/>
      <c r="D28" s="70">
        <f t="shared" si="1"/>
        <v>386.36</v>
      </c>
      <c r="E28" s="28"/>
      <c r="F28" s="28">
        <f t="shared" si="2"/>
        <v>386.36</v>
      </c>
      <c r="G28" s="47">
        <f>F28/F34</f>
        <v>1.1355904438776487E-2</v>
      </c>
      <c r="H28" s="47">
        <f t="shared" si="3"/>
        <v>2.0400000000000001E-2</v>
      </c>
      <c r="I28" s="47">
        <f t="shared" si="4"/>
        <v>2.3166045055104037E-4</v>
      </c>
      <c r="J28" s="33">
        <f t="shared" si="5"/>
        <v>2.3197826076829293E-4</v>
      </c>
      <c r="K28" s="49"/>
      <c r="L28" s="48"/>
      <c r="M28" s="41"/>
      <c r="N28" s="41"/>
      <c r="O28" s="48"/>
      <c r="P28" s="41"/>
      <c r="Q28" s="41"/>
      <c r="R28" s="29"/>
    </row>
    <row r="29" spans="1:19">
      <c r="A29" s="69"/>
      <c r="B29" s="12" t="s">
        <v>6</v>
      </c>
      <c r="C29" s="12"/>
      <c r="D29" s="70">
        <f t="shared" si="1"/>
        <v>321.61099999999999</v>
      </c>
      <c r="E29" s="28"/>
      <c r="F29" s="28">
        <f t="shared" si="2"/>
        <v>321.61099999999999</v>
      </c>
      <c r="G29" s="47">
        <f>F29/F34</f>
        <v>9.4527999338941526E-3</v>
      </c>
      <c r="H29" s="47">
        <f t="shared" si="3"/>
        <v>2.6800000000000001E-2</v>
      </c>
      <c r="I29" s="47">
        <f t="shared" si="4"/>
        <v>2.5333503822836328E-4</v>
      </c>
      <c r="J29" s="33">
        <f t="shared" si="5"/>
        <v>2.5368258336757688E-4</v>
      </c>
      <c r="K29" s="49"/>
      <c r="L29" s="48"/>
      <c r="M29" s="41"/>
      <c r="N29" s="41"/>
      <c r="O29" s="48"/>
      <c r="P29" s="41"/>
      <c r="Q29" s="41"/>
      <c r="R29" s="29"/>
    </row>
    <row r="30" spans="1:19">
      <c r="A30" s="69"/>
      <c r="B30" s="12" t="s">
        <v>22</v>
      </c>
      <c r="C30" s="12"/>
      <c r="D30" s="70">
        <f t="shared" si="1"/>
        <v>7753.7380000000003</v>
      </c>
      <c r="E30" s="28">
        <f>'ADIT Changes - Cap Struct'!E26</f>
        <v>151.93245255458362</v>
      </c>
      <c r="F30" s="28">
        <f t="shared" si="2"/>
        <v>7905.6704525545838</v>
      </c>
      <c r="G30" s="47">
        <f>F30/F34</f>
        <v>0.2323636975454724</v>
      </c>
      <c r="H30" s="47">
        <f t="shared" si="3"/>
        <v>0</v>
      </c>
      <c r="I30" s="47">
        <f t="shared" si="4"/>
        <v>0</v>
      </c>
      <c r="J30" s="33">
        <f t="shared" si="5"/>
        <v>0</v>
      </c>
      <c r="K30" s="49"/>
      <c r="L30" s="152"/>
      <c r="M30" s="12"/>
      <c r="N30" s="29"/>
      <c r="O30" s="29"/>
      <c r="P30" s="29"/>
      <c r="Q30" s="41"/>
      <c r="R30" s="29"/>
    </row>
    <row r="31" spans="1:19">
      <c r="A31" s="69"/>
      <c r="B31" s="12" t="s">
        <v>23</v>
      </c>
      <c r="C31" s="12"/>
      <c r="D31" s="70">
        <f t="shared" si="1"/>
        <v>100.559</v>
      </c>
      <c r="E31" s="28"/>
      <c r="F31" s="28">
        <f t="shared" si="2"/>
        <v>100.559</v>
      </c>
      <c r="G31" s="48">
        <f>F31/F34</f>
        <v>2.9556330739696777E-3</v>
      </c>
      <c r="H31" s="47">
        <f t="shared" si="3"/>
        <v>8.8700000000000001E-2</v>
      </c>
      <c r="I31" s="49">
        <f t="shared" si="4"/>
        <v>2.6216465366111043E-4</v>
      </c>
      <c r="J31" s="33">
        <f t="shared" si="5"/>
        <v>2.6252431196850727E-4</v>
      </c>
      <c r="K31" s="49"/>
      <c r="L31" s="48"/>
      <c r="M31" s="41"/>
      <c r="N31" s="41"/>
      <c r="O31" s="48"/>
      <c r="P31" s="41"/>
      <c r="Q31" s="41"/>
      <c r="R31" s="29"/>
    </row>
    <row r="32" spans="1:19">
      <c r="A32" s="69"/>
      <c r="B32" s="12" t="s">
        <v>8</v>
      </c>
      <c r="C32" s="12"/>
      <c r="D32" s="71">
        <f t="shared" si="1"/>
        <v>15284.522000000001</v>
      </c>
      <c r="E32" s="50"/>
      <c r="F32" s="50">
        <f t="shared" si="2"/>
        <v>15284.522000000001</v>
      </c>
      <c r="G32" s="51">
        <f>F32/F34</f>
        <v>0.44924311839832504</v>
      </c>
      <c r="H32" s="47">
        <f t="shared" si="3"/>
        <v>0.115</v>
      </c>
      <c r="I32" s="52">
        <f t="shared" si="4"/>
        <v>5.1662958615807379E-2</v>
      </c>
      <c r="J32" s="51">
        <f>+I32*1.63024</f>
        <v>8.4223021653833816E-2</v>
      </c>
      <c r="K32" s="48"/>
      <c r="L32" s="48"/>
      <c r="M32" s="41"/>
      <c r="N32" s="41"/>
      <c r="O32" s="48"/>
      <c r="P32" s="41"/>
      <c r="Q32" s="41"/>
      <c r="R32" s="29"/>
    </row>
    <row r="33" spans="1:19">
      <c r="A33" s="69"/>
      <c r="B33" s="12"/>
      <c r="C33" s="12"/>
      <c r="D33" s="12"/>
      <c r="E33" s="28"/>
      <c r="F33" s="72"/>
      <c r="G33" s="73"/>
      <c r="H33" s="74"/>
      <c r="I33" s="74"/>
      <c r="J33" s="74"/>
      <c r="K33" s="48"/>
      <c r="L33" s="48"/>
      <c r="M33" s="41"/>
      <c r="N33" s="41"/>
      <c r="O33" s="48"/>
      <c r="P33" s="41"/>
      <c r="Q33" s="41"/>
      <c r="R33" s="29"/>
    </row>
    <row r="34" spans="1:19" ht="13.5" thickBot="1">
      <c r="A34" s="29"/>
      <c r="B34" s="75" t="s">
        <v>9</v>
      </c>
      <c r="C34" s="75"/>
      <c r="D34" s="76">
        <f>SUM(D27:D33)</f>
        <v>33870.897000000004</v>
      </c>
      <c r="E34" s="148">
        <f>SUM(E27:E33)</f>
        <v>151.93245255458362</v>
      </c>
      <c r="F34" s="77">
        <f>SUM(F27:F32)</f>
        <v>34022.829452554586</v>
      </c>
      <c r="G34" s="64">
        <f>SUM(G27:G32)</f>
        <v>1</v>
      </c>
      <c r="H34" s="64"/>
      <c r="I34" s="64">
        <f>SUM(I27:I32)</f>
        <v>6.6758543588133573E-2</v>
      </c>
      <c r="J34" s="64">
        <f>SUM(J27:J33)</f>
        <v>9.9339315949344864E-2</v>
      </c>
      <c r="K34" s="48"/>
      <c r="L34" s="48"/>
      <c r="M34" s="41"/>
      <c r="N34" s="41"/>
      <c r="O34" s="48"/>
      <c r="P34" s="41"/>
      <c r="Q34" s="41"/>
      <c r="R34" s="29"/>
    </row>
    <row r="35" spans="1:19" ht="13.5" thickTop="1">
      <c r="A35" s="29"/>
      <c r="B35" s="75"/>
      <c r="C35" s="75"/>
      <c r="D35" s="75"/>
      <c r="E35" s="12"/>
      <c r="F35" s="12"/>
      <c r="G35" s="33"/>
      <c r="H35" s="33"/>
      <c r="I35" s="33"/>
      <c r="J35" s="33"/>
      <c r="K35" s="48"/>
      <c r="L35" s="48"/>
      <c r="M35" s="41"/>
      <c r="N35" s="41"/>
      <c r="O35" s="48"/>
      <c r="P35" s="41"/>
      <c r="Q35" s="41"/>
      <c r="R35" s="29"/>
    </row>
    <row r="36" spans="1:19">
      <c r="A36" s="69"/>
      <c r="B36" s="38" t="s">
        <v>13</v>
      </c>
      <c r="C36" s="38"/>
      <c r="D36" s="38"/>
      <c r="E36" s="12"/>
      <c r="F36" s="12"/>
      <c r="G36" s="33"/>
      <c r="H36" s="33"/>
      <c r="I36" s="33"/>
      <c r="J36" s="222">
        <f>J34-J19</f>
        <v>-4.4559982888196792E-4</v>
      </c>
      <c r="K36" s="81"/>
      <c r="L36" s="66"/>
      <c r="M36" s="41"/>
      <c r="N36" s="41"/>
      <c r="O36" s="66"/>
      <c r="P36" s="41"/>
      <c r="Q36" s="41"/>
      <c r="R36" s="29"/>
    </row>
    <row r="37" spans="1:19">
      <c r="A37" s="78"/>
      <c r="B37" s="29" t="s">
        <v>12</v>
      </c>
      <c r="C37" s="29"/>
      <c r="D37" s="29"/>
      <c r="E37" s="29"/>
      <c r="F37" s="29"/>
      <c r="G37" s="29"/>
      <c r="H37" s="29"/>
      <c r="I37" s="68"/>
      <c r="J37" s="65">
        <f>'Exh. LK-27 - Page 2'!D25</f>
        <v>33622.827068319071</v>
      </c>
      <c r="K37" s="41"/>
      <c r="L37" s="41"/>
      <c r="M37" s="42"/>
      <c r="N37" s="42"/>
      <c r="O37" s="41"/>
      <c r="P37" s="42"/>
      <c r="Q37" s="42"/>
      <c r="R37" s="29"/>
    </row>
    <row r="38" spans="1:19">
      <c r="A38" s="78"/>
      <c r="B38" s="12"/>
      <c r="C38" s="12"/>
      <c r="D38" s="12"/>
      <c r="E38" s="12"/>
      <c r="F38" s="12"/>
      <c r="G38" s="12"/>
      <c r="H38" s="39"/>
      <c r="I38" s="33"/>
      <c r="J38" s="33"/>
      <c r="K38" s="40"/>
      <c r="L38" s="82"/>
      <c r="M38" s="59"/>
      <c r="N38" s="41"/>
      <c r="O38" s="41"/>
      <c r="P38" s="42"/>
      <c r="Q38" s="42"/>
      <c r="R38" s="29"/>
    </row>
    <row r="39" spans="1:19" ht="13.5" thickBot="1">
      <c r="A39" s="29"/>
      <c r="B39" s="12" t="s">
        <v>14</v>
      </c>
      <c r="C39" s="12"/>
      <c r="D39" s="12"/>
      <c r="E39" s="12"/>
      <c r="F39" s="12"/>
      <c r="G39" s="39"/>
      <c r="H39" s="39"/>
      <c r="I39" s="79"/>
      <c r="J39" s="80">
        <f>J37*J36</f>
        <v>-14.982325988170977</v>
      </c>
      <c r="K39" s="12"/>
      <c r="L39" s="12"/>
      <c r="M39" s="12"/>
      <c r="N39" s="29"/>
      <c r="O39" s="29"/>
      <c r="P39" s="29"/>
      <c r="Q39" s="29"/>
      <c r="R39" s="29"/>
    </row>
    <row r="40" spans="1:19" ht="13.5" thickTop="1">
      <c r="A40" s="29"/>
      <c r="B40" s="12"/>
      <c r="C40" s="12"/>
      <c r="D40" s="12"/>
      <c r="E40" s="12"/>
      <c r="F40" s="12"/>
      <c r="G40" s="39"/>
      <c r="H40" s="39"/>
      <c r="I40" s="79"/>
      <c r="J40" s="59"/>
      <c r="K40" s="4"/>
      <c r="L40" s="4"/>
      <c r="M40" s="4"/>
    </row>
    <row r="41" spans="1:19">
      <c r="A41" s="29"/>
      <c r="B41" s="12"/>
      <c r="C41" s="12"/>
      <c r="D41" s="12"/>
      <c r="E41" s="12"/>
      <c r="F41" s="12"/>
      <c r="G41" s="39"/>
      <c r="H41" s="39"/>
      <c r="I41" s="79"/>
      <c r="J41" s="59"/>
      <c r="K41" s="4"/>
      <c r="L41" s="4"/>
      <c r="M41" s="4"/>
    </row>
    <row r="42" spans="1:19">
      <c r="A42" s="29"/>
      <c r="B42" s="12"/>
      <c r="C42" s="12"/>
      <c r="D42" s="12"/>
      <c r="E42" s="12"/>
      <c r="F42" s="12"/>
      <c r="G42" s="39"/>
      <c r="H42" s="39"/>
      <c r="I42" s="79"/>
      <c r="J42" s="59"/>
      <c r="K42" s="4"/>
      <c r="L42" s="4"/>
      <c r="M42" s="4"/>
    </row>
    <row r="43" spans="1:19">
      <c r="A43" s="29"/>
      <c r="B43" s="12"/>
      <c r="C43" s="12"/>
      <c r="D43" s="12"/>
      <c r="E43" s="12"/>
      <c r="F43" s="12"/>
      <c r="G43" s="39"/>
      <c r="H43" s="39"/>
      <c r="I43" s="79"/>
      <c r="J43" s="59"/>
      <c r="K43" s="4"/>
      <c r="L43" s="4"/>
      <c r="M43" s="4"/>
    </row>
    <row r="44" spans="1:19">
      <c r="A44" s="29"/>
      <c r="B44" s="12"/>
      <c r="C44" s="12"/>
      <c r="D44" s="12"/>
      <c r="E44" s="12"/>
      <c r="F44" s="12"/>
      <c r="G44" s="39"/>
      <c r="H44" s="39"/>
      <c r="I44" s="79"/>
      <c r="J44" s="59"/>
      <c r="K44" s="4"/>
      <c r="L44" s="4"/>
      <c r="M44" s="4"/>
    </row>
    <row r="45" spans="1:19">
      <c r="B45" s="7"/>
      <c r="C45" s="7"/>
      <c r="D45" s="7"/>
      <c r="E45" s="4"/>
      <c r="F45" s="35"/>
      <c r="G45" s="36"/>
      <c r="H45" s="36"/>
      <c r="I45" s="36"/>
      <c r="J45" s="36"/>
      <c r="K45" s="4"/>
      <c r="L45" s="4"/>
      <c r="M45" s="4"/>
    </row>
    <row r="46" spans="1:19">
      <c r="A46" s="67" t="s">
        <v>365</v>
      </c>
      <c r="B46" s="29"/>
      <c r="C46" s="29"/>
      <c r="D46" s="29"/>
      <c r="E46" s="29"/>
      <c r="F46" s="29"/>
      <c r="G46" s="29"/>
      <c r="H46" s="29"/>
      <c r="I46" s="68"/>
      <c r="J46" s="68"/>
      <c r="K46" s="4"/>
      <c r="L46" s="4"/>
      <c r="M46" s="4"/>
    </row>
    <row r="47" spans="1:19">
      <c r="A47" s="69"/>
      <c r="B47" s="12"/>
      <c r="C47" s="12"/>
      <c r="D47" s="39" t="s">
        <v>20</v>
      </c>
      <c r="E47" s="12"/>
      <c r="F47" s="39" t="s">
        <v>20</v>
      </c>
      <c r="G47" s="12"/>
      <c r="H47" s="39"/>
      <c r="I47" s="12"/>
      <c r="J47" s="62" t="s">
        <v>37</v>
      </c>
      <c r="K47" s="4"/>
      <c r="L47" s="4"/>
      <c r="M47" s="4"/>
    </row>
    <row r="48" spans="1:19">
      <c r="A48" s="69"/>
      <c r="B48" s="12"/>
      <c r="C48" s="12"/>
      <c r="D48" s="39" t="s">
        <v>27</v>
      </c>
      <c r="E48" s="39" t="s">
        <v>20</v>
      </c>
      <c r="F48" s="40" t="s">
        <v>25</v>
      </c>
      <c r="G48" s="40" t="s">
        <v>0</v>
      </c>
      <c r="H48" s="40" t="s">
        <v>5</v>
      </c>
      <c r="I48" s="40" t="s">
        <v>1</v>
      </c>
      <c r="J48" s="40" t="s">
        <v>2</v>
      </c>
      <c r="K48" s="4"/>
      <c r="L48" s="155"/>
      <c r="M48" s="12"/>
      <c r="N48" s="29"/>
      <c r="O48" s="29"/>
      <c r="P48" s="152"/>
      <c r="Q48" s="151"/>
      <c r="R48" s="151"/>
      <c r="S48" s="29"/>
    </row>
    <row r="49" spans="1:19">
      <c r="A49" s="69"/>
      <c r="B49" s="12"/>
      <c r="C49" s="12"/>
      <c r="D49" s="60" t="s">
        <v>28</v>
      </c>
      <c r="E49" s="60" t="s">
        <v>28</v>
      </c>
      <c r="F49" s="60" t="s">
        <v>0</v>
      </c>
      <c r="G49" s="60" t="s">
        <v>3</v>
      </c>
      <c r="H49" s="60" t="s">
        <v>24</v>
      </c>
      <c r="I49" s="60" t="s">
        <v>4</v>
      </c>
      <c r="J49" s="63" t="s">
        <v>5</v>
      </c>
      <c r="K49" s="4"/>
      <c r="L49" s="98" t="s">
        <v>79</v>
      </c>
      <c r="M49" s="99"/>
      <c r="N49" s="100"/>
      <c r="O49" s="100"/>
      <c r="P49" s="101" t="s">
        <v>367</v>
      </c>
      <c r="Q49" s="149"/>
      <c r="R49" s="149">
        <f>E54</f>
        <v>37.685000000000002</v>
      </c>
      <c r="S49" s="100"/>
    </row>
    <row r="50" spans="1:19">
      <c r="A50" s="69"/>
      <c r="B50" s="12"/>
      <c r="C50" s="12"/>
      <c r="D50" s="12"/>
      <c r="E50" s="12"/>
      <c r="F50" s="12"/>
      <c r="G50" s="12"/>
      <c r="H50" s="12"/>
      <c r="I50" s="12"/>
      <c r="J50" s="12"/>
      <c r="K50" s="4"/>
      <c r="L50" s="99"/>
      <c r="M50" s="99"/>
      <c r="N50" s="100"/>
      <c r="O50" s="100"/>
      <c r="P50" s="100"/>
      <c r="Q50" s="149"/>
      <c r="R50" s="100"/>
      <c r="S50" s="100"/>
    </row>
    <row r="51" spans="1:19">
      <c r="A51" s="69"/>
      <c r="B51" s="12" t="s">
        <v>7</v>
      </c>
      <c r="C51" s="12"/>
      <c r="D51" s="70">
        <f t="shared" ref="D51:D56" si="6">F27</f>
        <v>10024.107</v>
      </c>
      <c r="E51" s="28">
        <f>-P52</f>
        <v>-14.738780139983083</v>
      </c>
      <c r="F51" s="28">
        <f t="shared" ref="F51:F56" si="7">D51+E51</f>
        <v>10009.368219860016</v>
      </c>
      <c r="G51" s="47">
        <f>F51/F58</f>
        <v>0.29419564395190151</v>
      </c>
      <c r="H51" s="47">
        <f t="shared" ref="H51:H56" si="8">H27</f>
        <v>4.87E-2</v>
      </c>
      <c r="I51" s="47">
        <f t="shared" ref="I51:I56" si="9">G51*H51</f>
        <v>1.4327327860457604E-2</v>
      </c>
      <c r="J51" s="33">
        <f t="shared" ref="J51:J55" si="10">+I51*1/(1-(0.00072+0.00065))</f>
        <v>1.434698322747925E-2</v>
      </c>
      <c r="K51" s="4"/>
      <c r="L51" s="101" t="s">
        <v>76</v>
      </c>
      <c r="M51" s="102">
        <f>D53</f>
        <v>321.61099999999999</v>
      </c>
      <c r="N51" s="103">
        <f>M51/M54</f>
        <v>1.2548107235827678E-2</v>
      </c>
      <c r="O51" s="100"/>
      <c r="P51" s="223">
        <f>$R$49*N51</f>
        <v>0.47287542118216608</v>
      </c>
      <c r="Q51" s="149"/>
      <c r="R51" s="103"/>
      <c r="S51" s="100"/>
    </row>
    <row r="52" spans="1:19">
      <c r="A52" s="69"/>
      <c r="B52" s="12" t="s">
        <v>21</v>
      </c>
      <c r="C52" s="12"/>
      <c r="D52" s="44">
        <f t="shared" si="6"/>
        <v>386.36</v>
      </c>
      <c r="E52" s="28"/>
      <c r="F52" s="28">
        <f t="shared" si="7"/>
        <v>386.36</v>
      </c>
      <c r="G52" s="47">
        <f>F52/F58</f>
        <v>1.1355904438776487E-2</v>
      </c>
      <c r="H52" s="47">
        <f t="shared" si="8"/>
        <v>2.0400000000000001E-2</v>
      </c>
      <c r="I52" s="47">
        <f t="shared" si="9"/>
        <v>2.3166045055104037E-4</v>
      </c>
      <c r="J52" s="33">
        <f t="shared" si="10"/>
        <v>2.3197826076829293E-4</v>
      </c>
      <c r="K52" s="4"/>
      <c r="L52" s="101" t="s">
        <v>77</v>
      </c>
      <c r="M52" s="102">
        <f>D51</f>
        <v>10024.107</v>
      </c>
      <c r="N52" s="103">
        <f>M52/M54</f>
        <v>0.39110468727565562</v>
      </c>
      <c r="O52" s="100"/>
      <c r="P52" s="223">
        <f>$R$49*N52</f>
        <v>14.738780139983083</v>
      </c>
      <c r="Q52" s="149"/>
      <c r="R52" s="103"/>
      <c r="S52" s="100"/>
    </row>
    <row r="53" spans="1:19">
      <c r="A53" s="69"/>
      <c r="B53" s="12" t="s">
        <v>6</v>
      </c>
      <c r="C53" s="12"/>
      <c r="D53" s="44">
        <f t="shared" si="6"/>
        <v>321.61099999999999</v>
      </c>
      <c r="E53" s="28">
        <f>-P51</f>
        <v>-0.47287542118216608</v>
      </c>
      <c r="F53" s="28">
        <f t="shared" si="7"/>
        <v>321.13812457881784</v>
      </c>
      <c r="G53" s="47">
        <f>F53/F58</f>
        <v>9.438901165661439E-3</v>
      </c>
      <c r="H53" s="47">
        <f t="shared" si="8"/>
        <v>2.6800000000000001E-2</v>
      </c>
      <c r="I53" s="47">
        <f t="shared" si="9"/>
        <v>2.5296255123972658E-4</v>
      </c>
      <c r="J53" s="33">
        <f t="shared" si="10"/>
        <v>2.5330958537168576E-4</v>
      </c>
      <c r="K53" s="4"/>
      <c r="L53" s="101" t="s">
        <v>78</v>
      </c>
      <c r="M53" s="102">
        <f>D56</f>
        <v>15284.522000000001</v>
      </c>
      <c r="N53" s="103">
        <f>M53/M54</f>
        <v>0.59634720548851672</v>
      </c>
      <c r="O53" s="100"/>
      <c r="P53" s="223">
        <f>$R$49*N53</f>
        <v>22.473344438834754</v>
      </c>
      <c r="Q53" s="149"/>
      <c r="R53" s="103"/>
      <c r="S53" s="100"/>
    </row>
    <row r="54" spans="1:19">
      <c r="A54" s="69"/>
      <c r="B54" s="12" t="s">
        <v>22</v>
      </c>
      <c r="C54" s="12"/>
      <c r="D54" s="44">
        <f t="shared" si="6"/>
        <v>7905.6704525545838</v>
      </c>
      <c r="E54" s="28">
        <v>37.685000000000002</v>
      </c>
      <c r="F54" s="28">
        <f t="shared" si="7"/>
        <v>7943.3554525545842</v>
      </c>
      <c r="G54" s="47">
        <f>F54/F58</f>
        <v>0.23347133616948962</v>
      </c>
      <c r="H54" s="47">
        <f t="shared" si="8"/>
        <v>0</v>
      </c>
      <c r="I54" s="47">
        <f t="shared" si="9"/>
        <v>0</v>
      </c>
      <c r="J54" s="33">
        <f t="shared" si="10"/>
        <v>0</v>
      </c>
      <c r="K54" s="4"/>
      <c r="L54" s="99"/>
      <c r="M54" s="102">
        <f>SUM(M51:M53)</f>
        <v>25630.240000000002</v>
      </c>
      <c r="N54" s="100"/>
      <c r="O54" s="100"/>
      <c r="P54" s="223">
        <f>SUM(P51:P53)</f>
        <v>37.685000000000002</v>
      </c>
      <c r="Q54" s="149"/>
      <c r="R54" s="100"/>
      <c r="S54" s="100"/>
    </row>
    <row r="55" spans="1:19">
      <c r="A55" s="69"/>
      <c r="B55" s="12" t="s">
        <v>23</v>
      </c>
      <c r="C55" s="12"/>
      <c r="D55" s="44">
        <f t="shared" si="6"/>
        <v>100.559</v>
      </c>
      <c r="E55" s="28"/>
      <c r="F55" s="28">
        <f t="shared" si="7"/>
        <v>100.559</v>
      </c>
      <c r="G55" s="48">
        <f>F55/F58</f>
        <v>2.9556330739696777E-3</v>
      </c>
      <c r="H55" s="47">
        <f t="shared" si="8"/>
        <v>8.8700000000000001E-2</v>
      </c>
      <c r="I55" s="49">
        <f t="shared" si="9"/>
        <v>2.6216465366111043E-4</v>
      </c>
      <c r="J55" s="33">
        <f t="shared" si="10"/>
        <v>2.6252431196850727E-4</v>
      </c>
      <c r="K55" s="4"/>
      <c r="L55" s="99"/>
      <c r="M55" s="99"/>
      <c r="N55" s="100"/>
      <c r="O55" s="100"/>
      <c r="P55" s="100"/>
      <c r="Q55" s="100"/>
      <c r="R55" s="100"/>
      <c r="S55" s="100"/>
    </row>
    <row r="56" spans="1:19">
      <c r="A56" s="69"/>
      <c r="B56" s="12" t="s">
        <v>8</v>
      </c>
      <c r="C56" s="12"/>
      <c r="D56" s="71">
        <f t="shared" si="6"/>
        <v>15284.522000000001</v>
      </c>
      <c r="E56" s="50">
        <f>-P53</f>
        <v>-22.473344438834754</v>
      </c>
      <c r="F56" s="50">
        <f t="shared" si="7"/>
        <v>15262.048655561166</v>
      </c>
      <c r="G56" s="51">
        <f>F56/F58</f>
        <v>0.44858258120020122</v>
      </c>
      <c r="H56" s="47">
        <f t="shared" si="8"/>
        <v>0.115</v>
      </c>
      <c r="I56" s="52">
        <f t="shared" si="9"/>
        <v>5.158699683802314E-2</v>
      </c>
      <c r="J56" s="51">
        <f>+I56*1.63024</f>
        <v>8.4099185725218836E-2</v>
      </c>
      <c r="K56" s="4"/>
      <c r="L56" s="99"/>
      <c r="M56" s="99"/>
      <c r="N56" s="100"/>
      <c r="O56" s="100"/>
      <c r="P56" s="100"/>
      <c r="Q56" s="100"/>
      <c r="R56" s="100"/>
      <c r="S56" s="100"/>
    </row>
    <row r="57" spans="1:19">
      <c r="A57" s="69"/>
      <c r="B57" s="12"/>
      <c r="C57" s="12"/>
      <c r="D57" s="12"/>
      <c r="E57" s="28"/>
      <c r="F57" s="72"/>
      <c r="G57" s="73"/>
      <c r="H57" s="74"/>
      <c r="I57" s="74"/>
      <c r="J57" s="74"/>
      <c r="K57" s="4"/>
      <c r="L57" s="4"/>
      <c r="M57" s="4"/>
    </row>
    <row r="58" spans="1:19" ht="13.5" thickBot="1">
      <c r="A58" s="29"/>
      <c r="B58" s="75" t="s">
        <v>9</v>
      </c>
      <c r="C58" s="75"/>
      <c r="D58" s="76">
        <f>SUM(D51:D57)</f>
        <v>34022.829452554586</v>
      </c>
      <c r="E58" s="148">
        <f>SUM(E51:E57)</f>
        <v>0</v>
      </c>
      <c r="F58" s="77">
        <f>SUM(F51:F56)</f>
        <v>34022.829452554586</v>
      </c>
      <c r="G58" s="64">
        <f>SUM(G51:G56)</f>
        <v>1</v>
      </c>
      <c r="H58" s="64"/>
      <c r="I58" s="64">
        <f>SUM(I51:I56)</f>
        <v>6.6661112353932628E-2</v>
      </c>
      <c r="J58" s="64">
        <f>SUM(J51:J57)</f>
        <v>9.9193981110806573E-2</v>
      </c>
      <c r="K58" s="4"/>
      <c r="L58" s="4"/>
      <c r="M58" s="4"/>
    </row>
    <row r="59" spans="1:19" ht="13.5" thickTop="1">
      <c r="A59" s="29"/>
      <c r="B59" s="75"/>
      <c r="C59" s="75"/>
      <c r="D59" s="75"/>
      <c r="E59" s="12"/>
      <c r="F59" s="12"/>
      <c r="G59" s="33"/>
      <c r="H59" s="33"/>
      <c r="I59" s="33"/>
      <c r="J59" s="33"/>
      <c r="K59" s="4"/>
      <c r="L59" s="4"/>
      <c r="M59" s="4"/>
    </row>
    <row r="60" spans="1:19">
      <c r="A60" s="69"/>
      <c r="B60" s="38" t="s">
        <v>13</v>
      </c>
      <c r="C60" s="38"/>
      <c r="D60" s="38"/>
      <c r="E60" s="12"/>
      <c r="F60" s="12"/>
      <c r="G60" s="33"/>
      <c r="H60" s="33"/>
      <c r="I60" s="33"/>
      <c r="J60" s="222">
        <f>J58-J34</f>
        <v>-1.4533483853829132E-4</v>
      </c>
      <c r="K60" s="4"/>
      <c r="L60" s="4"/>
      <c r="M60" s="4"/>
    </row>
    <row r="61" spans="1:19">
      <c r="A61" s="78"/>
      <c r="B61" s="29" t="s">
        <v>12</v>
      </c>
      <c r="C61" s="29"/>
      <c r="D61" s="29"/>
      <c r="E61" s="29"/>
      <c r="F61" s="29"/>
      <c r="G61" s="29"/>
      <c r="H61" s="29"/>
      <c r="I61" s="68"/>
      <c r="J61" s="65">
        <f>'Exh. LK-27 - Page 2'!D25</f>
        <v>33622.827068319071</v>
      </c>
      <c r="K61" s="4"/>
      <c r="L61" s="4"/>
      <c r="M61" s="4"/>
    </row>
    <row r="62" spans="1:19">
      <c r="A62" s="78"/>
      <c r="B62" s="12"/>
      <c r="C62" s="12"/>
      <c r="D62" s="12"/>
      <c r="E62" s="12"/>
      <c r="F62" s="12"/>
      <c r="G62" s="12"/>
      <c r="H62" s="39"/>
      <c r="I62" s="33"/>
      <c r="J62" s="33"/>
      <c r="K62" s="4"/>
      <c r="L62" s="4"/>
      <c r="M62" s="4"/>
    </row>
    <row r="63" spans="1:19" ht="13.5" thickBot="1">
      <c r="A63" s="29"/>
      <c r="B63" s="12" t="s">
        <v>14</v>
      </c>
      <c r="C63" s="12"/>
      <c r="D63" s="12"/>
      <c r="E63" s="12"/>
      <c r="F63" s="12"/>
      <c r="G63" s="39"/>
      <c r="H63" s="39"/>
      <c r="I63" s="79"/>
      <c r="J63" s="80">
        <f>J61*J60</f>
        <v>-4.886568143175043</v>
      </c>
      <c r="K63" s="4"/>
      <c r="L63" s="4"/>
      <c r="M63" s="4"/>
    </row>
    <row r="64" spans="1:19" ht="13.5" thickTop="1">
      <c r="B64" s="7"/>
      <c r="C64" s="7"/>
      <c r="D64" s="7"/>
      <c r="E64" s="4"/>
      <c r="F64" s="35"/>
      <c r="G64" s="36"/>
      <c r="H64" s="36"/>
      <c r="I64" s="36"/>
      <c r="J64" s="36"/>
      <c r="K64" s="4"/>
      <c r="L64" s="4"/>
      <c r="M64" s="4"/>
    </row>
    <row r="65" spans="1:13">
      <c r="B65" s="7"/>
      <c r="C65" s="7"/>
      <c r="D65" s="7"/>
      <c r="E65" s="4"/>
      <c r="F65" s="35"/>
      <c r="G65" s="36"/>
      <c r="H65" s="36"/>
      <c r="I65" s="36"/>
      <c r="J65" s="36"/>
      <c r="K65" s="4"/>
      <c r="L65" s="4"/>
      <c r="M65" s="4"/>
    </row>
    <row r="66" spans="1:13">
      <c r="B66" s="7"/>
      <c r="C66" s="7"/>
      <c r="D66" s="7"/>
      <c r="E66" s="4"/>
      <c r="F66" s="35"/>
      <c r="G66" s="36"/>
      <c r="H66" s="36"/>
      <c r="I66" s="36"/>
      <c r="J66" s="36"/>
      <c r="K66" s="4"/>
      <c r="L66" s="4"/>
      <c r="M66" s="4"/>
    </row>
    <row r="67" spans="1:13">
      <c r="A67" s="67" t="s">
        <v>369</v>
      </c>
      <c r="B67" s="29"/>
      <c r="C67" s="29"/>
      <c r="D67" s="29"/>
      <c r="E67" s="29"/>
      <c r="F67" s="29"/>
      <c r="G67" s="29"/>
      <c r="H67" s="29"/>
      <c r="I67" s="68"/>
      <c r="J67" s="68"/>
      <c r="K67" s="4"/>
      <c r="L67" s="4"/>
      <c r="M67" s="4"/>
    </row>
    <row r="68" spans="1:13">
      <c r="A68" s="69"/>
      <c r="B68" s="12"/>
      <c r="C68" s="12"/>
      <c r="D68" s="39" t="s">
        <v>20</v>
      </c>
      <c r="E68" s="12"/>
      <c r="F68" s="39" t="s">
        <v>20</v>
      </c>
      <c r="G68" s="12"/>
      <c r="H68" s="39"/>
      <c r="I68" s="12"/>
      <c r="J68" s="62" t="s">
        <v>37</v>
      </c>
      <c r="K68" s="4"/>
      <c r="L68" s="4"/>
      <c r="M68" s="4"/>
    </row>
    <row r="69" spans="1:13">
      <c r="A69" s="69"/>
      <c r="B69" s="12"/>
      <c r="C69" s="12"/>
      <c r="D69" s="39" t="s">
        <v>27</v>
      </c>
      <c r="E69" s="39" t="s">
        <v>20</v>
      </c>
      <c r="F69" s="40" t="s">
        <v>25</v>
      </c>
      <c r="G69" s="40" t="s">
        <v>0</v>
      </c>
      <c r="H69" s="40" t="s">
        <v>5</v>
      </c>
      <c r="I69" s="40" t="s">
        <v>1</v>
      </c>
      <c r="J69" s="40" t="s">
        <v>2</v>
      </c>
      <c r="K69" s="4"/>
      <c r="L69" s="4"/>
      <c r="M69" s="4"/>
    </row>
    <row r="70" spans="1:13">
      <c r="A70" s="69"/>
      <c r="B70" s="12"/>
      <c r="C70" s="12"/>
      <c r="D70" s="60" t="s">
        <v>28</v>
      </c>
      <c r="E70" s="60" t="s">
        <v>28</v>
      </c>
      <c r="F70" s="60" t="s">
        <v>0</v>
      </c>
      <c r="G70" s="60" t="s">
        <v>3</v>
      </c>
      <c r="H70" s="60" t="s">
        <v>24</v>
      </c>
      <c r="I70" s="60" t="s">
        <v>4</v>
      </c>
      <c r="J70" s="63" t="s">
        <v>5</v>
      </c>
      <c r="K70" s="4"/>
      <c r="L70" s="4"/>
      <c r="M70" s="4"/>
    </row>
    <row r="71" spans="1:13">
      <c r="A71" s="69"/>
      <c r="B71" s="12"/>
      <c r="C71" s="12"/>
      <c r="D71" s="12"/>
      <c r="E71" s="12"/>
      <c r="F71" s="12"/>
      <c r="G71" s="12"/>
      <c r="H71" s="12"/>
      <c r="I71" s="12"/>
      <c r="J71" s="12"/>
      <c r="K71" s="4"/>
      <c r="L71" s="4"/>
      <c r="M71" s="4"/>
    </row>
    <row r="72" spans="1:13">
      <c r="A72" s="69"/>
      <c r="B72" s="12" t="s">
        <v>7</v>
      </c>
      <c r="C72" s="12"/>
      <c r="D72" s="70">
        <f>F51</f>
        <v>10009.368219860016</v>
      </c>
      <c r="E72" s="28"/>
      <c r="F72" s="28">
        <f t="shared" ref="F72:F77" si="11">D72+E72</f>
        <v>10009.368219860016</v>
      </c>
      <c r="G72" s="47">
        <f>F72/F79</f>
        <v>0.29419564395190151</v>
      </c>
      <c r="H72" s="47">
        <f>H51</f>
        <v>4.87E-2</v>
      </c>
      <c r="I72" s="47">
        <f t="shared" ref="I72:I77" si="12">G72*H72</f>
        <v>1.4327327860457604E-2</v>
      </c>
      <c r="J72" s="33">
        <f t="shared" ref="J72:J76" si="13">+I72*1/(1-(0.00072+0.00065))</f>
        <v>1.434698322747925E-2</v>
      </c>
      <c r="K72" s="4"/>
      <c r="L72" s="4"/>
      <c r="M72" s="4"/>
    </row>
    <row r="73" spans="1:13">
      <c r="A73" s="69"/>
      <c r="B73" s="12" t="s">
        <v>21</v>
      </c>
      <c r="C73" s="12"/>
      <c r="D73" s="44">
        <f t="shared" ref="D73:D77" si="14">F52</f>
        <v>386.36</v>
      </c>
      <c r="E73" s="28"/>
      <c r="F73" s="28">
        <f t="shared" si="11"/>
        <v>386.36</v>
      </c>
      <c r="G73" s="47">
        <f>F73/F79</f>
        <v>1.1355904438776487E-2</v>
      </c>
      <c r="H73" s="47">
        <f>H52</f>
        <v>2.0400000000000001E-2</v>
      </c>
      <c r="I73" s="47">
        <f t="shared" si="12"/>
        <v>2.3166045055104037E-4</v>
      </c>
      <c r="J73" s="33">
        <f t="shared" si="13"/>
        <v>2.3197826076829293E-4</v>
      </c>
      <c r="K73" s="4"/>
      <c r="L73" s="4"/>
      <c r="M73" s="4"/>
    </row>
    <row r="74" spans="1:13">
      <c r="A74" s="69"/>
      <c r="B74" s="12" t="s">
        <v>6</v>
      </c>
      <c r="C74" s="12"/>
      <c r="D74" s="44">
        <f t="shared" si="14"/>
        <v>321.13812457881784</v>
      </c>
      <c r="E74" s="28"/>
      <c r="F74" s="28">
        <f t="shared" si="11"/>
        <v>321.13812457881784</v>
      </c>
      <c r="G74" s="47">
        <f>F74/F79</f>
        <v>9.438901165661439E-3</v>
      </c>
      <c r="H74" s="47">
        <f>'Exh. LK-28'!H73</f>
        <v>1.1900000000000001E-2</v>
      </c>
      <c r="I74" s="47">
        <f t="shared" si="12"/>
        <v>1.1232292387137113E-4</v>
      </c>
      <c r="J74" s="33">
        <f t="shared" si="13"/>
        <v>1.1247701738518883E-4</v>
      </c>
      <c r="K74" s="4"/>
      <c r="L74" s="4"/>
      <c r="M74" s="4"/>
    </row>
    <row r="75" spans="1:13">
      <c r="A75" s="69"/>
      <c r="B75" s="12" t="s">
        <v>22</v>
      </c>
      <c r="C75" s="12"/>
      <c r="D75" s="44">
        <f t="shared" si="14"/>
        <v>7943.3554525545842</v>
      </c>
      <c r="E75" s="28"/>
      <c r="F75" s="28">
        <f t="shared" si="11"/>
        <v>7943.3554525545842</v>
      </c>
      <c r="G75" s="47">
        <f>F75/F79</f>
        <v>0.23347133616948962</v>
      </c>
      <c r="H75" s="47">
        <f>H54</f>
        <v>0</v>
      </c>
      <c r="I75" s="47">
        <f t="shared" si="12"/>
        <v>0</v>
      </c>
      <c r="J75" s="33">
        <f t="shared" si="13"/>
        <v>0</v>
      </c>
      <c r="K75" s="4"/>
      <c r="L75" s="4"/>
      <c r="M75" s="4"/>
    </row>
    <row r="76" spans="1:13">
      <c r="A76" s="69"/>
      <c r="B76" s="12" t="s">
        <v>23</v>
      </c>
      <c r="C76" s="12"/>
      <c r="D76" s="44">
        <f t="shared" si="14"/>
        <v>100.559</v>
      </c>
      <c r="E76" s="28"/>
      <c r="F76" s="28">
        <f t="shared" si="11"/>
        <v>100.559</v>
      </c>
      <c r="G76" s="48">
        <f>F76/F79</f>
        <v>2.9556330739696777E-3</v>
      </c>
      <c r="H76" s="47">
        <f>H55</f>
        <v>8.8700000000000001E-2</v>
      </c>
      <c r="I76" s="49">
        <f t="shared" si="12"/>
        <v>2.6216465366111043E-4</v>
      </c>
      <c r="J76" s="33">
        <f t="shared" si="13"/>
        <v>2.6252431196850727E-4</v>
      </c>
      <c r="K76" s="4"/>
      <c r="L76" s="4"/>
      <c r="M76" s="4"/>
    </row>
    <row r="77" spans="1:13">
      <c r="A77" s="69"/>
      <c r="B77" s="12" t="s">
        <v>8</v>
      </c>
      <c r="C77" s="12"/>
      <c r="D77" s="71">
        <f t="shared" si="14"/>
        <v>15262.048655561166</v>
      </c>
      <c r="E77" s="50"/>
      <c r="F77" s="50">
        <f t="shared" si="11"/>
        <v>15262.048655561166</v>
      </c>
      <c r="G77" s="51">
        <f>F77/F79</f>
        <v>0.44858258120020122</v>
      </c>
      <c r="H77" s="47">
        <f>H56</f>
        <v>0.115</v>
      </c>
      <c r="I77" s="52">
        <f t="shared" si="12"/>
        <v>5.158699683802314E-2</v>
      </c>
      <c r="J77" s="51">
        <f>+I77*1.63024</f>
        <v>8.4099185725218836E-2</v>
      </c>
      <c r="K77" s="4"/>
      <c r="L77" s="4"/>
      <c r="M77" s="4"/>
    </row>
    <row r="78" spans="1:13">
      <c r="A78" s="69"/>
      <c r="B78" s="12"/>
      <c r="C78" s="12"/>
      <c r="D78" s="12"/>
      <c r="E78" s="28"/>
      <c r="F78" s="72"/>
      <c r="G78" s="73"/>
      <c r="H78" s="74"/>
      <c r="I78" s="74"/>
      <c r="J78" s="74"/>
      <c r="K78" s="4"/>
      <c r="L78" s="4"/>
      <c r="M78" s="4"/>
    </row>
    <row r="79" spans="1:13" ht="13.5" thickBot="1">
      <c r="A79" s="29"/>
      <c r="B79" s="75" t="s">
        <v>9</v>
      </c>
      <c r="C79" s="75"/>
      <c r="D79" s="76">
        <f>SUM(D72:D78)</f>
        <v>34022.829452554586</v>
      </c>
      <c r="E79" s="148">
        <f>SUM(E72:E78)</f>
        <v>0</v>
      </c>
      <c r="F79" s="77">
        <f>SUM(F72:F77)</f>
        <v>34022.829452554586</v>
      </c>
      <c r="G79" s="64">
        <f>SUM(G72:G77)</f>
        <v>1</v>
      </c>
      <c r="H79" s="64"/>
      <c r="I79" s="64">
        <f>SUM(I72:I77)</f>
        <v>6.6520472726564264E-2</v>
      </c>
      <c r="J79" s="64">
        <f>SUM(J72:J78)</f>
        <v>9.9053148542820074E-2</v>
      </c>
      <c r="K79" s="4"/>
      <c r="L79" s="4"/>
      <c r="M79" s="4"/>
    </row>
    <row r="80" spans="1:13" ht="13.5" thickTop="1">
      <c r="A80" s="29"/>
      <c r="B80" s="75"/>
      <c r="C80" s="75"/>
      <c r="D80" s="75"/>
      <c r="E80" s="12"/>
      <c r="F80" s="12"/>
      <c r="G80" s="33"/>
      <c r="H80" s="33"/>
      <c r="I80" s="33"/>
      <c r="J80" s="33"/>
      <c r="K80" s="4"/>
      <c r="L80" s="4"/>
      <c r="M80" s="4"/>
    </row>
    <row r="81" spans="1:13">
      <c r="A81" s="69"/>
      <c r="B81" s="38" t="s">
        <v>13</v>
      </c>
      <c r="C81" s="38"/>
      <c r="D81" s="38"/>
      <c r="E81" s="12"/>
      <c r="F81" s="12"/>
      <c r="G81" s="33"/>
      <c r="H81" s="33"/>
      <c r="I81" s="33"/>
      <c r="J81" s="33">
        <f>J79-J58</f>
        <v>-1.4083256798649857E-4</v>
      </c>
      <c r="K81" s="4"/>
      <c r="L81" s="4"/>
      <c r="M81" s="4"/>
    </row>
    <row r="82" spans="1:13">
      <c r="A82" s="78"/>
      <c r="B82" s="29" t="s">
        <v>12</v>
      </c>
      <c r="C82" s="29"/>
      <c r="D82" s="29"/>
      <c r="E82" s="29"/>
      <c r="F82" s="29"/>
      <c r="G82" s="29"/>
      <c r="H82" s="29"/>
      <c r="I82" s="68"/>
      <c r="J82" s="65">
        <f>'Exh. LK-27 - Page 2'!D25</f>
        <v>33622.827068319071</v>
      </c>
      <c r="K82" s="4"/>
      <c r="L82" s="4"/>
      <c r="M82" s="4"/>
    </row>
    <row r="83" spans="1:13">
      <c r="A83" s="78"/>
      <c r="B83" s="12"/>
      <c r="C83" s="12"/>
      <c r="D83" s="12"/>
      <c r="E83" s="12"/>
      <c r="F83" s="12"/>
      <c r="G83" s="12"/>
      <c r="H83" s="39"/>
      <c r="I83" s="33"/>
      <c r="J83" s="33"/>
      <c r="K83" s="4"/>
      <c r="L83" s="4"/>
      <c r="M83" s="4"/>
    </row>
    <row r="84" spans="1:13" ht="13.5" thickBot="1">
      <c r="A84" s="29"/>
      <c r="B84" s="12" t="s">
        <v>14</v>
      </c>
      <c r="C84" s="12"/>
      <c r="D84" s="12"/>
      <c r="E84" s="12"/>
      <c r="F84" s="12"/>
      <c r="G84" s="39"/>
      <c r="H84" s="39"/>
      <c r="I84" s="79"/>
      <c r="J84" s="80">
        <f>J82*J81</f>
        <v>-4.7351890789973297</v>
      </c>
      <c r="K84" s="4"/>
      <c r="L84" s="4"/>
      <c r="M84" s="4"/>
    </row>
    <row r="85" spans="1:13" ht="13.5" thickTop="1">
      <c r="B85" s="7"/>
      <c r="C85" s="7"/>
      <c r="D85" s="7"/>
      <c r="E85" s="4"/>
      <c r="F85" s="35"/>
      <c r="G85" s="36"/>
      <c r="H85" s="36"/>
      <c r="I85" s="36"/>
      <c r="J85" s="36"/>
      <c r="K85" s="4"/>
      <c r="L85" s="4"/>
      <c r="M85" s="4"/>
    </row>
    <row r="86" spans="1:13">
      <c r="B86" s="7"/>
      <c r="C86" s="7"/>
      <c r="D86" s="7"/>
      <c r="E86" s="4"/>
      <c r="F86" s="35"/>
      <c r="G86" s="36"/>
      <c r="H86" s="36"/>
      <c r="I86" s="36"/>
      <c r="J86" s="36"/>
      <c r="K86" s="4"/>
      <c r="L86" s="4"/>
      <c r="M86" s="4"/>
    </row>
    <row r="87" spans="1:13">
      <c r="A87" s="67" t="s">
        <v>583</v>
      </c>
      <c r="B87" s="29"/>
      <c r="C87" s="29"/>
      <c r="D87" s="29"/>
      <c r="E87" s="29"/>
      <c r="F87" s="29"/>
      <c r="G87" s="29"/>
      <c r="H87" s="29"/>
      <c r="I87" s="68"/>
      <c r="J87" s="68"/>
      <c r="K87" s="4"/>
      <c r="L87" s="4"/>
      <c r="M87" s="4"/>
    </row>
    <row r="88" spans="1:13">
      <c r="A88" s="69"/>
      <c r="B88" s="12"/>
      <c r="C88" s="12"/>
      <c r="D88" s="39" t="s">
        <v>20</v>
      </c>
      <c r="E88" s="12"/>
      <c r="F88" s="39" t="s">
        <v>20</v>
      </c>
      <c r="G88" s="12"/>
      <c r="H88" s="39"/>
      <c r="I88" s="12"/>
      <c r="J88" s="62" t="s">
        <v>37</v>
      </c>
      <c r="K88" s="4"/>
      <c r="L88" s="4"/>
      <c r="M88" s="4"/>
    </row>
    <row r="89" spans="1:13">
      <c r="A89" s="69"/>
      <c r="B89" s="12"/>
      <c r="C89" s="12"/>
      <c r="D89" s="39" t="s">
        <v>27</v>
      </c>
      <c r="E89" s="39" t="s">
        <v>20</v>
      </c>
      <c r="F89" s="40" t="s">
        <v>25</v>
      </c>
      <c r="G89" s="40" t="s">
        <v>0</v>
      </c>
      <c r="H89" s="40" t="s">
        <v>5</v>
      </c>
      <c r="I89" s="40" t="s">
        <v>1</v>
      </c>
      <c r="J89" s="40" t="s">
        <v>2</v>
      </c>
      <c r="K89" s="4"/>
      <c r="L89" s="4"/>
      <c r="M89" s="4"/>
    </row>
    <row r="90" spans="1:13">
      <c r="A90" s="69"/>
      <c r="B90" s="12"/>
      <c r="C90" s="12"/>
      <c r="D90" s="60" t="s">
        <v>28</v>
      </c>
      <c r="E90" s="60" t="s">
        <v>28</v>
      </c>
      <c r="F90" s="60" t="s">
        <v>0</v>
      </c>
      <c r="G90" s="60" t="s">
        <v>3</v>
      </c>
      <c r="H90" s="60" t="s">
        <v>24</v>
      </c>
      <c r="I90" s="60" t="s">
        <v>4</v>
      </c>
      <c r="J90" s="63" t="s">
        <v>5</v>
      </c>
      <c r="K90" s="4"/>
      <c r="L90" s="4"/>
      <c r="M90" s="4"/>
    </row>
    <row r="91" spans="1:13">
      <c r="A91" s="69"/>
      <c r="B91" s="12"/>
      <c r="C91" s="12"/>
      <c r="D91" s="12"/>
      <c r="E91" s="12"/>
      <c r="F91" s="12"/>
      <c r="G91" s="12"/>
      <c r="H91" s="12"/>
      <c r="I91" s="12"/>
      <c r="J91" s="12"/>
      <c r="K91" s="4"/>
      <c r="L91" s="4"/>
      <c r="M91" s="4"/>
    </row>
    <row r="92" spans="1:13">
      <c r="A92" s="69"/>
      <c r="B92" s="12" t="s">
        <v>7</v>
      </c>
      <c r="C92" s="12"/>
      <c r="D92" s="70">
        <f>F72</f>
        <v>10009.368219860016</v>
      </c>
      <c r="E92" s="28"/>
      <c r="F92" s="28">
        <f t="shared" ref="F92:F97" si="15">D92+E92</f>
        <v>10009.368219860016</v>
      </c>
      <c r="G92" s="47">
        <f>F92/F99</f>
        <v>0.29419564395190151</v>
      </c>
      <c r="H92" s="47">
        <f>H72</f>
        <v>4.87E-2</v>
      </c>
      <c r="I92" s="47">
        <f t="shared" ref="I92:I97" si="16">G92*H92</f>
        <v>1.4327327860457604E-2</v>
      </c>
      <c r="J92" s="33">
        <f t="shared" ref="J92:J96" si="17">+I92*1/(1-(0.00072+0.00065))</f>
        <v>1.434698322747925E-2</v>
      </c>
      <c r="K92" s="4"/>
      <c r="L92" s="4"/>
      <c r="M92" s="4"/>
    </row>
    <row r="93" spans="1:13">
      <c r="A93" s="69"/>
      <c r="B93" s="12" t="s">
        <v>21</v>
      </c>
      <c r="C93" s="12"/>
      <c r="D93" s="70">
        <f t="shared" ref="D93:D97" si="18">F73</f>
        <v>386.36</v>
      </c>
      <c r="E93" s="28"/>
      <c r="F93" s="28">
        <f t="shared" si="15"/>
        <v>386.36</v>
      </c>
      <c r="G93" s="47">
        <f>F93/F99</f>
        <v>1.1355904438776487E-2</v>
      </c>
      <c r="H93" s="49">
        <f t="shared" ref="H93:H97" si="19">H73</f>
        <v>2.0400000000000001E-2</v>
      </c>
      <c r="I93" s="47">
        <f t="shared" si="16"/>
        <v>2.3166045055104037E-4</v>
      </c>
      <c r="J93" s="33">
        <f t="shared" si="17"/>
        <v>2.3197826076829293E-4</v>
      </c>
      <c r="K93" s="4"/>
      <c r="L93" s="4"/>
      <c r="M93" s="4"/>
    </row>
    <row r="94" spans="1:13">
      <c r="A94" s="69"/>
      <c r="B94" s="12" t="s">
        <v>6</v>
      </c>
      <c r="C94" s="12"/>
      <c r="D94" s="70">
        <f t="shared" si="18"/>
        <v>321.13812457881784</v>
      </c>
      <c r="E94" s="28"/>
      <c r="F94" s="28">
        <f t="shared" si="15"/>
        <v>321.13812457881784</v>
      </c>
      <c r="G94" s="47">
        <f>F94/F99</f>
        <v>9.438901165661439E-3</v>
      </c>
      <c r="H94" s="49">
        <v>5.5999999999999999E-3</v>
      </c>
      <c r="I94" s="47">
        <f t="shared" si="16"/>
        <v>5.285784652770406E-5</v>
      </c>
      <c r="J94" s="33">
        <f t="shared" si="17"/>
        <v>5.2930361122441801E-5</v>
      </c>
      <c r="K94" s="4"/>
      <c r="L94" s="4"/>
      <c r="M94" s="4"/>
    </row>
    <row r="95" spans="1:13">
      <c r="A95" s="69"/>
      <c r="B95" s="12" t="s">
        <v>22</v>
      </c>
      <c r="C95" s="12"/>
      <c r="D95" s="70">
        <f t="shared" si="18"/>
        <v>7943.3554525545842</v>
      </c>
      <c r="E95" s="28"/>
      <c r="F95" s="28">
        <f t="shared" si="15"/>
        <v>7943.3554525545842</v>
      </c>
      <c r="G95" s="47">
        <f>F95/F99</f>
        <v>0.23347133616948962</v>
      </c>
      <c r="H95" s="49">
        <f t="shared" si="19"/>
        <v>0</v>
      </c>
      <c r="I95" s="47">
        <f t="shared" si="16"/>
        <v>0</v>
      </c>
      <c r="J95" s="33">
        <f t="shared" si="17"/>
        <v>0</v>
      </c>
      <c r="K95" s="4"/>
      <c r="L95" s="4"/>
      <c r="M95" s="4"/>
    </row>
    <row r="96" spans="1:13">
      <c r="A96" s="69"/>
      <c r="B96" s="12" t="s">
        <v>23</v>
      </c>
      <c r="C96" s="12"/>
      <c r="D96" s="70">
        <f t="shared" si="18"/>
        <v>100.559</v>
      </c>
      <c r="E96" s="28"/>
      <c r="F96" s="28">
        <f t="shared" si="15"/>
        <v>100.559</v>
      </c>
      <c r="G96" s="48">
        <f>F96/F99</f>
        <v>2.9556330739696777E-3</v>
      </c>
      <c r="H96" s="49">
        <f t="shared" si="19"/>
        <v>8.8700000000000001E-2</v>
      </c>
      <c r="I96" s="49">
        <f t="shared" si="16"/>
        <v>2.6216465366111043E-4</v>
      </c>
      <c r="J96" s="33">
        <f t="shared" si="17"/>
        <v>2.6252431196850727E-4</v>
      </c>
      <c r="K96" s="4"/>
      <c r="L96" s="4"/>
      <c r="M96" s="4"/>
    </row>
    <row r="97" spans="1:19">
      <c r="A97" s="69"/>
      <c r="B97" s="12" t="s">
        <v>8</v>
      </c>
      <c r="C97" s="12"/>
      <c r="D97" s="71">
        <f t="shared" si="18"/>
        <v>15262.048655561166</v>
      </c>
      <c r="E97" s="50"/>
      <c r="F97" s="50">
        <f t="shared" si="15"/>
        <v>15262.048655561166</v>
      </c>
      <c r="G97" s="51">
        <f>F97/F99</f>
        <v>0.44858258120020122</v>
      </c>
      <c r="H97" s="52">
        <f t="shared" si="19"/>
        <v>0.115</v>
      </c>
      <c r="I97" s="52">
        <f t="shared" si="16"/>
        <v>5.158699683802314E-2</v>
      </c>
      <c r="J97" s="51">
        <f>+I97*1.63024</f>
        <v>8.4099185725218836E-2</v>
      </c>
      <c r="K97" s="4"/>
      <c r="L97" s="4"/>
      <c r="M97" s="4"/>
    </row>
    <row r="98" spans="1:19">
      <c r="A98" s="69"/>
      <c r="B98" s="12"/>
      <c r="C98" s="12"/>
      <c r="D98" s="12"/>
      <c r="E98" s="28"/>
      <c r="F98" s="72"/>
      <c r="G98" s="73"/>
      <c r="H98" s="74"/>
      <c r="I98" s="74"/>
      <c r="J98" s="74"/>
      <c r="K98" s="4"/>
      <c r="L98" s="4"/>
      <c r="M98" s="4"/>
    </row>
    <row r="99" spans="1:19" ht="13.5" thickBot="1">
      <c r="A99" s="29"/>
      <c r="B99" s="75" t="s">
        <v>9</v>
      </c>
      <c r="C99" s="75"/>
      <c r="D99" s="76">
        <f>SUM(D92:D98)</f>
        <v>34022.829452554586</v>
      </c>
      <c r="E99" s="148">
        <f>SUM(E92:E98)</f>
        <v>0</v>
      </c>
      <c r="F99" s="77">
        <f>SUM(F92:F97)</f>
        <v>34022.829452554586</v>
      </c>
      <c r="G99" s="64">
        <f>SUM(G92:G97)</f>
        <v>1</v>
      </c>
      <c r="H99" s="64"/>
      <c r="I99" s="64">
        <f>SUM(I92:I97)</f>
        <v>6.6461007649220596E-2</v>
      </c>
      <c r="J99" s="64">
        <f>SUM(J92:J98)</f>
        <v>9.8993601886557328E-2</v>
      </c>
      <c r="K99" s="4"/>
      <c r="L99" s="4"/>
      <c r="M99" s="4"/>
    </row>
    <row r="100" spans="1:19" ht="13.5" thickTop="1">
      <c r="A100" s="29"/>
      <c r="B100" s="75"/>
      <c r="C100" s="75"/>
      <c r="D100" s="75"/>
      <c r="E100" s="12"/>
      <c r="F100" s="12"/>
      <c r="G100" s="33"/>
      <c r="H100" s="33"/>
      <c r="I100" s="33"/>
      <c r="J100" s="33"/>
      <c r="K100" s="4"/>
      <c r="L100" s="4"/>
      <c r="M100" s="4"/>
    </row>
    <row r="101" spans="1:19">
      <c r="A101" s="69"/>
      <c r="B101" s="38" t="s">
        <v>13</v>
      </c>
      <c r="C101" s="38"/>
      <c r="D101" s="38"/>
      <c r="E101" s="12"/>
      <c r="F101" s="12"/>
      <c r="G101" s="33"/>
      <c r="H101" s="33"/>
      <c r="I101" s="33"/>
      <c r="J101" s="33">
        <f>J99-J79</f>
        <v>-5.9546656262746134E-5</v>
      </c>
      <c r="K101" s="4"/>
      <c r="L101" s="4"/>
      <c r="M101" s="4"/>
    </row>
    <row r="102" spans="1:19">
      <c r="A102" s="78"/>
      <c r="B102" s="29" t="s">
        <v>12</v>
      </c>
      <c r="C102" s="29"/>
      <c r="D102" s="29"/>
      <c r="E102" s="29"/>
      <c r="F102" s="29"/>
      <c r="G102" s="29"/>
      <c r="H102" s="29"/>
      <c r="I102" s="68"/>
      <c r="J102" s="65">
        <f>'Exh. LK-27 - Page 2'!D25</f>
        <v>33622.827068319071</v>
      </c>
      <c r="K102" s="4"/>
      <c r="L102" s="4"/>
      <c r="M102" s="4"/>
    </row>
    <row r="103" spans="1:19">
      <c r="A103" s="78"/>
      <c r="B103" s="12"/>
      <c r="C103" s="12"/>
      <c r="D103" s="12"/>
      <c r="E103" s="12"/>
      <c r="F103" s="12"/>
      <c r="G103" s="12"/>
      <c r="H103" s="39"/>
      <c r="I103" s="33"/>
      <c r="J103" s="33"/>
      <c r="K103" s="4"/>
      <c r="L103" s="4"/>
      <c r="M103" s="4"/>
    </row>
    <row r="104" spans="1:19" ht="13.5" thickBot="1">
      <c r="A104" s="29"/>
      <c r="B104" s="12" t="s">
        <v>14</v>
      </c>
      <c r="C104" s="12"/>
      <c r="D104" s="12"/>
      <c r="E104" s="12"/>
      <c r="F104" s="12"/>
      <c r="G104" s="39"/>
      <c r="H104" s="39"/>
      <c r="I104" s="79"/>
      <c r="J104" s="80">
        <f>J102*J101</f>
        <v>-2.0021269260189523</v>
      </c>
      <c r="K104" s="4"/>
      <c r="L104" s="4"/>
      <c r="M104" s="4"/>
    </row>
    <row r="105" spans="1:19" ht="13.5" thickTop="1">
      <c r="B105" s="7"/>
      <c r="C105" s="7"/>
      <c r="D105" s="7"/>
      <c r="E105" s="4"/>
      <c r="F105" s="35"/>
      <c r="G105" s="36"/>
      <c r="H105" s="36"/>
      <c r="I105" s="36"/>
      <c r="J105" s="36"/>
      <c r="K105" s="4"/>
      <c r="L105" s="4"/>
      <c r="M105" s="4"/>
    </row>
    <row r="106" spans="1:19">
      <c r="A106" s="67" t="s">
        <v>598</v>
      </c>
      <c r="B106" s="29"/>
      <c r="C106" s="29"/>
      <c r="D106" s="29"/>
      <c r="E106" s="29"/>
      <c r="F106" s="29"/>
      <c r="G106" s="29"/>
      <c r="H106" s="29"/>
      <c r="I106" s="68"/>
      <c r="J106" s="68"/>
      <c r="K106" s="4"/>
      <c r="L106" s="4"/>
      <c r="M106" s="4"/>
    </row>
    <row r="107" spans="1:19">
      <c r="A107" s="69"/>
      <c r="B107" s="12"/>
      <c r="C107" s="12"/>
      <c r="D107" s="39" t="s">
        <v>20</v>
      </c>
      <c r="E107" s="12"/>
      <c r="F107" s="39" t="s">
        <v>20</v>
      </c>
      <c r="G107" s="12"/>
      <c r="H107" s="39"/>
      <c r="I107" s="12"/>
      <c r="J107" s="62" t="s">
        <v>37</v>
      </c>
      <c r="K107" s="4"/>
      <c r="L107" s="4"/>
      <c r="M107" s="4"/>
    </row>
    <row r="108" spans="1:19">
      <c r="A108" s="69"/>
      <c r="B108" s="12"/>
      <c r="C108" s="12"/>
      <c r="D108" s="39" t="s">
        <v>27</v>
      </c>
      <c r="E108" s="39" t="s">
        <v>20</v>
      </c>
      <c r="F108" s="40" t="s">
        <v>25</v>
      </c>
      <c r="G108" s="40" t="s">
        <v>0</v>
      </c>
      <c r="H108" s="40" t="s">
        <v>5</v>
      </c>
      <c r="I108" s="40" t="s">
        <v>1</v>
      </c>
      <c r="J108" s="40" t="s">
        <v>2</v>
      </c>
      <c r="K108" s="4"/>
      <c r="L108" s="4"/>
      <c r="M108" s="4"/>
    </row>
    <row r="109" spans="1:19">
      <c r="A109" s="69"/>
      <c r="B109" s="12"/>
      <c r="C109" s="12"/>
      <c r="D109" s="60" t="s">
        <v>28</v>
      </c>
      <c r="E109" s="60" t="s">
        <v>28</v>
      </c>
      <c r="F109" s="60" t="s">
        <v>0</v>
      </c>
      <c r="G109" s="60" t="s">
        <v>3</v>
      </c>
      <c r="H109" s="60" t="s">
        <v>24</v>
      </c>
      <c r="I109" s="60" t="s">
        <v>4</v>
      </c>
      <c r="J109" s="63" t="s">
        <v>5</v>
      </c>
      <c r="K109" s="4"/>
      <c r="L109" s="4"/>
      <c r="M109" s="4"/>
    </row>
    <row r="110" spans="1:19">
      <c r="A110" s="69"/>
      <c r="B110" s="12"/>
      <c r="C110" s="12"/>
      <c r="D110" s="12"/>
      <c r="E110" s="12"/>
      <c r="F110" s="12"/>
      <c r="G110" s="12"/>
      <c r="H110" s="12"/>
      <c r="I110" s="12"/>
      <c r="J110" s="12"/>
      <c r="K110" s="4"/>
      <c r="L110" s="4"/>
      <c r="M110" s="4"/>
    </row>
    <row r="111" spans="1:19">
      <c r="A111" s="69"/>
      <c r="B111" s="12" t="s">
        <v>7</v>
      </c>
      <c r="C111" s="12"/>
      <c r="D111" s="70">
        <f>F92</f>
        <v>10009.368219860016</v>
      </c>
      <c r="E111" s="28"/>
      <c r="F111" s="28">
        <f t="shared" ref="F111:F116" si="20">D111+E111</f>
        <v>10009.368219860016</v>
      </c>
      <c r="G111" s="47">
        <f>F111/F118</f>
        <v>0.29419564395190151</v>
      </c>
      <c r="H111" s="47">
        <f>ROUND('As Adjusted MFR Sch. D-4 (2018)'!G78,4)</f>
        <v>4.53E-2</v>
      </c>
      <c r="I111" s="47">
        <f t="shared" ref="I111:I116" si="21">G111*H111</f>
        <v>1.3327062671021139E-2</v>
      </c>
      <c r="J111" s="33">
        <f t="shared" ref="J111:J115" si="22">+I111*1/(1-(0.00072+0.00065))</f>
        <v>1.3345345794759959E-2</v>
      </c>
      <c r="K111" s="29"/>
      <c r="L111" s="29"/>
      <c r="M111" s="29"/>
      <c r="N111" s="29"/>
      <c r="O111" s="29"/>
      <c r="P111" s="29"/>
      <c r="Q111" s="29"/>
      <c r="R111" s="29"/>
      <c r="S111" s="29"/>
    </row>
    <row r="112" spans="1:19">
      <c r="A112" s="69"/>
      <c r="B112" s="12" t="s">
        <v>21</v>
      </c>
      <c r="C112" s="12"/>
      <c r="D112" s="44">
        <f t="shared" ref="D112:D116" si="23">F93</f>
        <v>386.36</v>
      </c>
      <c r="E112" s="28"/>
      <c r="F112" s="28">
        <f t="shared" si="20"/>
        <v>386.36</v>
      </c>
      <c r="G112" s="47">
        <f>F112/F118</f>
        <v>1.1355904438776487E-2</v>
      </c>
      <c r="H112" s="47">
        <f>H73</f>
        <v>2.0400000000000001E-2</v>
      </c>
      <c r="I112" s="47">
        <f t="shared" si="21"/>
        <v>2.3166045055104037E-4</v>
      </c>
      <c r="J112" s="33">
        <f t="shared" si="22"/>
        <v>2.3197826076829293E-4</v>
      </c>
      <c r="K112" s="29"/>
      <c r="L112" s="29"/>
      <c r="M112" s="29"/>
      <c r="N112" s="29"/>
      <c r="O112" s="29"/>
      <c r="P112" s="29"/>
      <c r="Q112" s="29"/>
      <c r="R112" s="29"/>
      <c r="S112" s="29"/>
    </row>
    <row r="113" spans="1:19">
      <c r="A113" s="69"/>
      <c r="B113" s="12" t="s">
        <v>6</v>
      </c>
      <c r="C113" s="12"/>
      <c r="D113" s="44">
        <f t="shared" si="23"/>
        <v>321.13812457881784</v>
      </c>
      <c r="E113" s="28"/>
      <c r="F113" s="28">
        <f t="shared" si="20"/>
        <v>321.13812457881784</v>
      </c>
      <c r="G113" s="47">
        <f>F113/F118</f>
        <v>9.438901165661439E-3</v>
      </c>
      <c r="H113" s="47">
        <f>H94</f>
        <v>5.5999999999999999E-3</v>
      </c>
      <c r="I113" s="47">
        <f t="shared" si="21"/>
        <v>5.285784652770406E-5</v>
      </c>
      <c r="J113" s="33">
        <f t="shared" si="22"/>
        <v>5.2930361122441801E-5</v>
      </c>
      <c r="K113" s="29"/>
      <c r="L113" s="29"/>
      <c r="M113" s="29"/>
      <c r="N113" s="29"/>
      <c r="O113" s="29"/>
      <c r="P113" s="29"/>
      <c r="Q113" s="29"/>
      <c r="R113" s="29"/>
      <c r="S113" s="29"/>
    </row>
    <row r="114" spans="1:19">
      <c r="A114" s="69"/>
      <c r="B114" s="12" t="s">
        <v>22</v>
      </c>
      <c r="C114" s="12"/>
      <c r="D114" s="44">
        <f t="shared" si="23"/>
        <v>7943.3554525545842</v>
      </c>
      <c r="E114" s="28"/>
      <c r="F114" s="28">
        <f t="shared" si="20"/>
        <v>7943.3554525545842</v>
      </c>
      <c r="G114" s="47">
        <f>F114/F118</f>
        <v>0.23347133616948962</v>
      </c>
      <c r="H114" s="47">
        <f>H75</f>
        <v>0</v>
      </c>
      <c r="I114" s="47">
        <f t="shared" si="21"/>
        <v>0</v>
      </c>
      <c r="J114" s="33">
        <f t="shared" si="22"/>
        <v>0</v>
      </c>
      <c r="K114" s="29"/>
      <c r="L114" s="29"/>
      <c r="M114" s="29"/>
      <c r="N114" s="29"/>
      <c r="O114" s="29"/>
      <c r="P114" s="29"/>
      <c r="Q114" s="29"/>
      <c r="R114" s="29"/>
      <c r="S114" s="29"/>
    </row>
    <row r="115" spans="1:19">
      <c r="A115" s="69"/>
      <c r="B115" s="12" t="s">
        <v>23</v>
      </c>
      <c r="C115" s="12"/>
      <c r="D115" s="44">
        <f t="shared" si="23"/>
        <v>100.559</v>
      </c>
      <c r="E115" s="28"/>
      <c r="F115" s="28">
        <f t="shared" si="20"/>
        <v>100.559</v>
      </c>
      <c r="G115" s="48">
        <f>F115/F118</f>
        <v>2.9556330739696777E-3</v>
      </c>
      <c r="H115" s="47">
        <f>H76</f>
        <v>8.8700000000000001E-2</v>
      </c>
      <c r="I115" s="49">
        <f t="shared" si="21"/>
        <v>2.6216465366111043E-4</v>
      </c>
      <c r="J115" s="33">
        <f t="shared" si="22"/>
        <v>2.6252431196850727E-4</v>
      </c>
      <c r="K115" s="29"/>
      <c r="L115" s="29"/>
      <c r="M115" s="29"/>
      <c r="N115" s="29"/>
      <c r="O115" s="29"/>
      <c r="P115" s="29"/>
      <c r="Q115" s="29"/>
      <c r="R115" s="29"/>
      <c r="S115" s="29"/>
    </row>
    <row r="116" spans="1:19">
      <c r="A116" s="69"/>
      <c r="B116" s="12" t="s">
        <v>8</v>
      </c>
      <c r="C116" s="12"/>
      <c r="D116" s="71">
        <f t="shared" si="23"/>
        <v>15262.048655561166</v>
      </c>
      <c r="E116" s="50"/>
      <c r="F116" s="50">
        <f t="shared" si="20"/>
        <v>15262.048655561166</v>
      </c>
      <c r="G116" s="51">
        <f>F116/F118</f>
        <v>0.44858258120020122</v>
      </c>
      <c r="H116" s="47">
        <f>H77</f>
        <v>0.115</v>
      </c>
      <c r="I116" s="52">
        <f t="shared" si="21"/>
        <v>5.158699683802314E-2</v>
      </c>
      <c r="J116" s="51">
        <f>+I116*1.63024</f>
        <v>8.4099185725218836E-2</v>
      </c>
      <c r="K116" s="29"/>
      <c r="L116" s="29"/>
      <c r="M116" s="29"/>
      <c r="N116" s="29"/>
      <c r="O116" s="29"/>
      <c r="P116" s="29"/>
      <c r="Q116" s="29"/>
      <c r="R116" s="29"/>
      <c r="S116" s="29"/>
    </row>
    <row r="117" spans="1:19">
      <c r="A117" s="69"/>
      <c r="B117" s="12"/>
      <c r="C117" s="12"/>
      <c r="D117" s="12"/>
      <c r="E117" s="28"/>
      <c r="F117" s="72"/>
      <c r="G117" s="73"/>
      <c r="H117" s="74"/>
      <c r="I117" s="74"/>
      <c r="J117" s="74"/>
      <c r="K117" s="29"/>
      <c r="L117" s="29"/>
      <c r="M117" s="29"/>
      <c r="N117" s="29"/>
      <c r="O117" s="29"/>
      <c r="P117" s="29"/>
      <c r="Q117" s="29"/>
      <c r="R117" s="29"/>
      <c r="S117" s="29"/>
    </row>
    <row r="118" spans="1:19" ht="13.5" thickBot="1">
      <c r="A118" s="29"/>
      <c r="B118" s="75" t="s">
        <v>9</v>
      </c>
      <c r="C118" s="75"/>
      <c r="D118" s="76">
        <f>SUM(D111:D117)</f>
        <v>34022.829452554586</v>
      </c>
      <c r="E118" s="148">
        <f>SUM(E111:E117)</f>
        <v>0</v>
      </c>
      <c r="F118" s="77">
        <f>SUM(F111:F116)</f>
        <v>34022.829452554586</v>
      </c>
      <c r="G118" s="64">
        <f>SUM(G111:G116)</f>
        <v>1</v>
      </c>
      <c r="H118" s="64"/>
      <c r="I118" s="64">
        <f>SUM(I111:I116)</f>
        <v>6.546074245978413E-2</v>
      </c>
      <c r="J118" s="64">
        <f>SUM(J111:J117)</f>
        <v>9.7991964453838037E-2</v>
      </c>
      <c r="K118" s="29"/>
      <c r="L118" s="29"/>
      <c r="M118" s="29"/>
      <c r="N118" s="29"/>
      <c r="O118" s="29"/>
      <c r="P118" s="29"/>
      <c r="Q118" s="29"/>
      <c r="R118" s="29"/>
      <c r="S118" s="29"/>
    </row>
    <row r="119" spans="1:19" ht="13.5" thickTop="1">
      <c r="A119" s="29"/>
      <c r="B119" s="75"/>
      <c r="C119" s="75"/>
      <c r="D119" s="75"/>
      <c r="E119" s="12"/>
      <c r="F119" s="12"/>
      <c r="G119" s="33"/>
      <c r="H119" s="33"/>
      <c r="I119" s="33"/>
      <c r="J119" s="33"/>
      <c r="K119" s="29"/>
      <c r="L119" s="29"/>
      <c r="M119" s="29"/>
      <c r="N119" s="29"/>
      <c r="O119" s="29"/>
      <c r="P119" s="29"/>
      <c r="Q119" s="29"/>
      <c r="R119" s="29"/>
      <c r="S119" s="29"/>
    </row>
    <row r="120" spans="1:19">
      <c r="A120" s="69"/>
      <c r="B120" s="38" t="s">
        <v>13</v>
      </c>
      <c r="C120" s="38"/>
      <c r="D120" s="38"/>
      <c r="E120" s="12"/>
      <c r="F120" s="12"/>
      <c r="G120" s="33"/>
      <c r="H120" s="33"/>
      <c r="I120" s="33"/>
      <c r="J120" s="33">
        <f>J118-J79</f>
        <v>-1.0611840889820368E-3</v>
      </c>
      <c r="K120" s="29"/>
      <c r="L120" s="29"/>
      <c r="M120" s="29"/>
      <c r="N120" s="29"/>
      <c r="O120" s="29"/>
      <c r="P120" s="29"/>
      <c r="Q120" s="29"/>
      <c r="R120" s="29"/>
      <c r="S120" s="29"/>
    </row>
    <row r="121" spans="1:19">
      <c r="A121" s="78"/>
      <c r="B121" s="29" t="s">
        <v>12</v>
      </c>
      <c r="C121" s="29"/>
      <c r="D121" s="29"/>
      <c r="E121" s="29"/>
      <c r="F121" s="29"/>
      <c r="G121" s="29"/>
      <c r="H121" s="29"/>
      <c r="I121" s="68"/>
      <c r="J121" s="65">
        <f>'Exh. LK-27 - Page 2'!D25</f>
        <v>33622.827068319071</v>
      </c>
      <c r="K121" s="29"/>
      <c r="L121" s="29"/>
      <c r="M121" s="29"/>
      <c r="N121" s="29"/>
      <c r="O121" s="29"/>
      <c r="P121" s="29"/>
      <c r="Q121" s="29"/>
      <c r="R121" s="29"/>
      <c r="S121" s="29"/>
    </row>
    <row r="122" spans="1:19">
      <c r="A122" s="78"/>
      <c r="B122" s="12"/>
      <c r="C122" s="12"/>
      <c r="D122" s="12"/>
      <c r="E122" s="12"/>
      <c r="F122" s="12"/>
      <c r="G122" s="12"/>
      <c r="H122" s="39"/>
      <c r="I122" s="33"/>
      <c r="J122" s="33"/>
      <c r="K122" s="29"/>
      <c r="L122" s="29"/>
      <c r="M122" s="29"/>
      <c r="N122" s="29"/>
      <c r="O122" s="29"/>
      <c r="P122" s="29"/>
      <c r="Q122" s="29"/>
      <c r="R122" s="29"/>
      <c r="S122" s="29"/>
    </row>
    <row r="123" spans="1:19" ht="13.5" thickBot="1">
      <c r="A123" s="29"/>
      <c r="B123" s="12" t="s">
        <v>14</v>
      </c>
      <c r="C123" s="12"/>
      <c r="D123" s="12"/>
      <c r="E123" s="12"/>
      <c r="F123" s="12"/>
      <c r="G123" s="39"/>
      <c r="H123" s="39"/>
      <c r="I123" s="79"/>
      <c r="J123" s="80">
        <f>J121*J120</f>
        <v>-35.680009111494741</v>
      </c>
      <c r="K123" s="29"/>
      <c r="L123" s="29"/>
      <c r="M123" s="29"/>
      <c r="N123" s="29"/>
      <c r="O123" s="29"/>
      <c r="P123" s="29"/>
      <c r="Q123" s="29"/>
      <c r="R123" s="29"/>
      <c r="S123" s="29"/>
    </row>
    <row r="124" spans="1:19" ht="13.5" thickTop="1">
      <c r="A124" s="29"/>
      <c r="B124" s="12"/>
      <c r="C124" s="12"/>
      <c r="D124" s="12"/>
      <c r="E124" s="12"/>
      <c r="F124" s="12"/>
      <c r="G124" s="39"/>
      <c r="H124" s="39"/>
      <c r="I124" s="79"/>
      <c r="J124" s="59"/>
      <c r="K124" s="29"/>
      <c r="L124" s="29"/>
      <c r="M124" s="29"/>
      <c r="N124" s="29"/>
      <c r="O124" s="29"/>
      <c r="P124" s="29"/>
      <c r="Q124" s="29"/>
      <c r="R124" s="29"/>
      <c r="S124" s="29"/>
    </row>
    <row r="125" spans="1:19">
      <c r="A125" s="67" t="s">
        <v>580</v>
      </c>
      <c r="B125" s="29"/>
      <c r="C125" s="29"/>
      <c r="D125" s="29"/>
      <c r="E125" s="29"/>
      <c r="F125" s="29"/>
      <c r="G125" s="29"/>
      <c r="H125" s="29"/>
      <c r="I125" s="68"/>
      <c r="J125" s="68"/>
      <c r="K125" s="29"/>
      <c r="L125" s="29"/>
      <c r="M125" s="29"/>
      <c r="N125" s="29"/>
      <c r="O125" s="29"/>
      <c r="P125" s="29"/>
      <c r="Q125" s="29"/>
      <c r="R125" s="29"/>
      <c r="S125" s="29"/>
    </row>
    <row r="126" spans="1:19">
      <c r="A126" s="69"/>
      <c r="B126" s="12"/>
      <c r="C126" s="12"/>
      <c r="D126" s="39" t="s">
        <v>20</v>
      </c>
      <c r="E126" s="12"/>
      <c r="F126" s="39" t="s">
        <v>20</v>
      </c>
      <c r="G126" s="12"/>
      <c r="H126" s="39"/>
      <c r="I126" s="12"/>
      <c r="J126" s="62" t="s">
        <v>37</v>
      </c>
      <c r="K126" s="29"/>
      <c r="L126" s="29"/>
      <c r="M126" s="29"/>
      <c r="N126" s="29"/>
      <c r="O126" s="29"/>
      <c r="P126" s="29"/>
      <c r="Q126" s="29"/>
      <c r="R126" s="29"/>
      <c r="S126" s="29"/>
    </row>
    <row r="127" spans="1:19">
      <c r="A127" s="69"/>
      <c r="B127" s="12"/>
      <c r="C127" s="12"/>
      <c r="D127" s="39" t="s">
        <v>27</v>
      </c>
      <c r="E127" s="39" t="s">
        <v>20</v>
      </c>
      <c r="F127" s="40" t="s">
        <v>25</v>
      </c>
      <c r="G127" s="40" t="s">
        <v>0</v>
      </c>
      <c r="H127" s="40" t="s">
        <v>5</v>
      </c>
      <c r="I127" s="40" t="s">
        <v>1</v>
      </c>
      <c r="J127" s="40" t="s">
        <v>2</v>
      </c>
      <c r="K127" s="29"/>
      <c r="L127" s="29"/>
      <c r="M127" s="29"/>
      <c r="N127" s="29"/>
      <c r="O127" s="29"/>
      <c r="P127" s="29"/>
      <c r="Q127" s="29"/>
      <c r="R127" s="29"/>
      <c r="S127" s="29"/>
    </row>
    <row r="128" spans="1:19">
      <c r="A128" s="69"/>
      <c r="B128" s="12"/>
      <c r="C128" s="12"/>
      <c r="D128" s="60" t="s">
        <v>28</v>
      </c>
      <c r="E128" s="60" t="s">
        <v>28</v>
      </c>
      <c r="F128" s="60" t="s">
        <v>0</v>
      </c>
      <c r="G128" s="60" t="s">
        <v>3</v>
      </c>
      <c r="H128" s="60" t="s">
        <v>24</v>
      </c>
      <c r="I128" s="60" t="s">
        <v>4</v>
      </c>
      <c r="J128" s="63" t="s">
        <v>5</v>
      </c>
      <c r="K128" s="29"/>
      <c r="L128" s="29"/>
      <c r="M128" s="29"/>
      <c r="N128" s="29"/>
      <c r="O128" s="29"/>
      <c r="P128" s="29"/>
      <c r="Q128" s="29"/>
      <c r="R128" s="29"/>
      <c r="S128" s="29"/>
    </row>
    <row r="129" spans="1:19">
      <c r="A129" s="69"/>
      <c r="B129" s="12"/>
      <c r="C129" s="12"/>
      <c r="D129" s="12"/>
      <c r="E129" s="12"/>
      <c r="F129" s="12"/>
      <c r="G129" s="12"/>
      <c r="H129" s="12"/>
      <c r="I129" s="12"/>
      <c r="J129" s="12"/>
      <c r="K129" s="29"/>
      <c r="L129" s="29"/>
      <c r="M129" s="29"/>
      <c r="N129" s="29"/>
      <c r="O129" s="29"/>
      <c r="P129" s="29"/>
      <c r="Q129" s="29"/>
      <c r="R129" s="29"/>
      <c r="S129" s="29"/>
    </row>
    <row r="130" spans="1:19">
      <c r="A130" s="69"/>
      <c r="B130" s="12" t="s">
        <v>7</v>
      </c>
      <c r="C130" s="12"/>
      <c r="D130" s="70">
        <f t="shared" ref="D130:D135" si="24">F111</f>
        <v>10009.368219860016</v>
      </c>
      <c r="E130" s="12"/>
      <c r="F130" s="28">
        <f t="shared" ref="F130:F135" si="25">D130+E130</f>
        <v>10009.368219860016</v>
      </c>
      <c r="G130" s="47">
        <f>F130/F137</f>
        <v>0.29419564395190151</v>
      </c>
      <c r="H130" s="47">
        <f>H111</f>
        <v>4.53E-2</v>
      </c>
      <c r="I130" s="47">
        <f t="shared" ref="I130:I135" si="26">G130*H130</f>
        <v>1.3327062671021139E-2</v>
      </c>
      <c r="J130" s="33">
        <f t="shared" ref="J130:J134" si="27">+I130*1/(1-(0.00072+0.00065))</f>
        <v>1.3345345794759959E-2</v>
      </c>
      <c r="K130" s="29"/>
      <c r="L130" s="29"/>
      <c r="M130" s="29"/>
      <c r="N130" s="29"/>
      <c r="O130" s="29"/>
      <c r="P130" s="29"/>
      <c r="Q130" s="29"/>
      <c r="R130" s="29"/>
      <c r="S130" s="29"/>
    </row>
    <row r="131" spans="1:19">
      <c r="A131" s="69"/>
      <c r="B131" s="12" t="s">
        <v>21</v>
      </c>
      <c r="C131" s="12"/>
      <c r="D131" s="44">
        <f t="shared" si="24"/>
        <v>386.36</v>
      </c>
      <c r="E131" s="12"/>
      <c r="F131" s="28">
        <f t="shared" si="25"/>
        <v>386.36</v>
      </c>
      <c r="G131" s="47">
        <f>F131/F137</f>
        <v>1.1355904438776487E-2</v>
      </c>
      <c r="H131" s="49">
        <f>H112</f>
        <v>2.0400000000000001E-2</v>
      </c>
      <c r="I131" s="47">
        <f t="shared" si="26"/>
        <v>2.3166045055104037E-4</v>
      </c>
      <c r="J131" s="33">
        <f t="shared" si="27"/>
        <v>2.3197826076829293E-4</v>
      </c>
      <c r="K131" s="29"/>
      <c r="L131" s="29"/>
      <c r="M131" s="29"/>
      <c r="N131" s="29"/>
      <c r="O131" s="29"/>
      <c r="P131" s="29"/>
      <c r="Q131" s="29"/>
      <c r="R131" s="29"/>
      <c r="S131" s="29"/>
    </row>
    <row r="132" spans="1:19">
      <c r="A132" s="69"/>
      <c r="B132" s="12" t="s">
        <v>6</v>
      </c>
      <c r="C132" s="12"/>
      <c r="D132" s="44">
        <f t="shared" si="24"/>
        <v>321.13812457881784</v>
      </c>
      <c r="E132" s="12"/>
      <c r="F132" s="28">
        <f t="shared" si="25"/>
        <v>321.13812457881784</v>
      </c>
      <c r="G132" s="47">
        <f>F132/F137</f>
        <v>9.438901165661439E-3</v>
      </c>
      <c r="H132" s="49">
        <f>H113</f>
        <v>5.5999999999999999E-3</v>
      </c>
      <c r="I132" s="47">
        <f t="shared" si="26"/>
        <v>5.285784652770406E-5</v>
      </c>
      <c r="J132" s="33">
        <f t="shared" si="27"/>
        <v>5.2930361122441801E-5</v>
      </c>
      <c r="K132" s="29"/>
      <c r="L132" s="29"/>
      <c r="M132" s="29"/>
      <c r="N132" s="29"/>
      <c r="O132" s="29"/>
      <c r="P132" s="29"/>
      <c r="Q132" s="29"/>
      <c r="R132" s="29"/>
      <c r="S132" s="29"/>
    </row>
    <row r="133" spans="1:19">
      <c r="A133" s="69"/>
      <c r="B133" s="12" t="s">
        <v>22</v>
      </c>
      <c r="C133" s="12"/>
      <c r="D133" s="44">
        <f t="shared" si="24"/>
        <v>7943.3554525545842</v>
      </c>
      <c r="E133" s="12"/>
      <c r="F133" s="28">
        <f t="shared" si="25"/>
        <v>7943.3554525545842</v>
      </c>
      <c r="G133" s="47">
        <f>F133/F137</f>
        <v>0.23347133616948962</v>
      </c>
      <c r="H133" s="49">
        <f>H114</f>
        <v>0</v>
      </c>
      <c r="I133" s="47">
        <f t="shared" si="26"/>
        <v>0</v>
      </c>
      <c r="J133" s="33">
        <f t="shared" si="27"/>
        <v>0</v>
      </c>
      <c r="K133" s="29"/>
      <c r="L133" s="29"/>
      <c r="M133" s="29"/>
      <c r="N133" s="29"/>
      <c r="O133" s="29"/>
      <c r="P133" s="29"/>
      <c r="Q133" s="29"/>
      <c r="R133" s="29"/>
      <c r="S133" s="29"/>
    </row>
    <row r="134" spans="1:19">
      <c r="A134" s="69"/>
      <c r="B134" s="12" t="s">
        <v>23</v>
      </c>
      <c r="C134" s="12"/>
      <c r="D134" s="44">
        <f t="shared" si="24"/>
        <v>100.559</v>
      </c>
      <c r="E134" s="12"/>
      <c r="F134" s="28">
        <f t="shared" si="25"/>
        <v>100.559</v>
      </c>
      <c r="G134" s="48">
        <f>F134/F137</f>
        <v>2.9556330739696777E-3</v>
      </c>
      <c r="H134" s="49">
        <f>H115</f>
        <v>8.8700000000000001E-2</v>
      </c>
      <c r="I134" s="49">
        <f t="shared" si="26"/>
        <v>2.6216465366111043E-4</v>
      </c>
      <c r="J134" s="33">
        <f t="shared" si="27"/>
        <v>2.6252431196850727E-4</v>
      </c>
      <c r="K134" s="29"/>
      <c r="L134" s="29"/>
      <c r="M134" s="29"/>
      <c r="N134" s="29"/>
      <c r="O134" s="29"/>
      <c r="P134" s="29"/>
      <c r="Q134" s="29"/>
      <c r="R134" s="29"/>
      <c r="S134" s="29"/>
    </row>
    <row r="135" spans="1:19">
      <c r="A135" s="69"/>
      <c r="B135" s="12" t="s">
        <v>8</v>
      </c>
      <c r="C135" s="12"/>
      <c r="D135" s="71">
        <f t="shared" si="24"/>
        <v>15262.048655561166</v>
      </c>
      <c r="E135" s="61"/>
      <c r="F135" s="50">
        <f t="shared" si="25"/>
        <v>15262.048655561166</v>
      </c>
      <c r="G135" s="51">
        <f>F135/F137</f>
        <v>0.44858258120020122</v>
      </c>
      <c r="H135" s="52">
        <v>0.11</v>
      </c>
      <c r="I135" s="52">
        <f t="shared" si="26"/>
        <v>4.9344083932022137E-2</v>
      </c>
      <c r="J135" s="51">
        <f>+I135*1.63024</f>
        <v>8.0442699389339761E-2</v>
      </c>
      <c r="K135" s="29"/>
      <c r="L135" s="29"/>
      <c r="M135" s="29"/>
      <c r="N135" s="29"/>
      <c r="O135" s="29"/>
      <c r="P135" s="29"/>
      <c r="Q135" s="29"/>
      <c r="R135" s="29"/>
      <c r="S135" s="29"/>
    </row>
    <row r="136" spans="1:19">
      <c r="A136" s="69"/>
      <c r="B136" s="12"/>
      <c r="C136" s="12"/>
      <c r="D136" s="12"/>
      <c r="E136" s="12"/>
      <c r="F136" s="72"/>
      <c r="G136" s="12"/>
      <c r="H136" s="33"/>
      <c r="I136" s="33"/>
      <c r="J136" s="33"/>
      <c r="K136" s="29"/>
      <c r="L136" s="29"/>
      <c r="M136" s="29"/>
      <c r="N136" s="29"/>
      <c r="O136" s="29"/>
      <c r="P136" s="29"/>
      <c r="Q136" s="29"/>
      <c r="R136" s="29"/>
      <c r="S136" s="29"/>
    </row>
    <row r="137" spans="1:19" ht="13.5" thickBot="1">
      <c r="A137" s="69"/>
      <c r="B137" s="75" t="s">
        <v>9</v>
      </c>
      <c r="C137" s="75"/>
      <c r="D137" s="76">
        <f>SUM(D130:D136)</f>
        <v>34022.829452554586</v>
      </c>
      <c r="E137" s="76">
        <f>SUM(E130:E136)</f>
        <v>0</v>
      </c>
      <c r="F137" s="77">
        <f>SUM(F130:F135)</f>
        <v>34022.829452554586</v>
      </c>
      <c r="G137" s="64">
        <f>SUM(G130:G135)</f>
        <v>1</v>
      </c>
      <c r="H137" s="64"/>
      <c r="I137" s="64">
        <f>SUM(I130:I135)</f>
        <v>6.3217829553783134E-2</v>
      </c>
      <c r="J137" s="64">
        <f>SUM(J130:J136)</f>
        <v>9.4335478117958962E-2</v>
      </c>
      <c r="K137" s="29"/>
      <c r="L137" s="29"/>
      <c r="M137" s="29"/>
      <c r="N137" s="29"/>
      <c r="O137" s="29"/>
      <c r="P137" s="29"/>
      <c r="Q137" s="29"/>
      <c r="R137" s="29"/>
      <c r="S137" s="29"/>
    </row>
    <row r="138" spans="1:19" ht="13.5" thickTop="1">
      <c r="A138" s="29"/>
      <c r="B138" s="75"/>
      <c r="C138" s="75"/>
      <c r="D138" s="75"/>
      <c r="E138" s="12"/>
      <c r="F138" s="12"/>
      <c r="G138" s="33"/>
      <c r="H138" s="33"/>
      <c r="I138" s="33"/>
      <c r="J138" s="33"/>
      <c r="K138" s="29"/>
      <c r="L138" s="29"/>
      <c r="M138" s="29"/>
      <c r="N138" s="29"/>
      <c r="O138" s="29"/>
      <c r="P138" s="29"/>
      <c r="Q138" s="29"/>
      <c r="R138" s="29"/>
      <c r="S138" s="29"/>
    </row>
    <row r="139" spans="1:19">
      <c r="A139" s="29"/>
      <c r="B139" s="38" t="s">
        <v>13</v>
      </c>
      <c r="C139" s="38"/>
      <c r="D139" s="38"/>
      <c r="E139" s="12"/>
      <c r="F139" s="12"/>
      <c r="G139" s="33"/>
      <c r="H139" s="33"/>
      <c r="I139" s="33"/>
      <c r="J139" s="33">
        <f>J137-J118</f>
        <v>-3.656486335879075E-3</v>
      </c>
      <c r="K139" s="29"/>
      <c r="L139" s="29"/>
      <c r="M139" s="29"/>
      <c r="N139" s="29"/>
      <c r="O139" s="29"/>
      <c r="P139" s="29"/>
      <c r="Q139" s="29"/>
      <c r="R139" s="29"/>
      <c r="S139" s="29"/>
    </row>
    <row r="140" spans="1:19">
      <c r="A140" s="69"/>
      <c r="B140" s="29" t="s">
        <v>12</v>
      </c>
      <c r="C140" s="29"/>
      <c r="D140" s="29"/>
      <c r="E140" s="29"/>
      <c r="F140" s="29"/>
      <c r="G140" s="29"/>
      <c r="H140" s="29"/>
      <c r="I140" s="68"/>
      <c r="J140" s="65">
        <f>'Exh. LK-27 - Page 2'!D25</f>
        <v>33622.827068319071</v>
      </c>
      <c r="K140" s="29"/>
      <c r="L140" s="29"/>
      <c r="M140" s="29"/>
      <c r="N140" s="29"/>
      <c r="O140" s="29"/>
      <c r="P140" s="29"/>
      <c r="Q140" s="29"/>
      <c r="R140" s="29"/>
      <c r="S140" s="29"/>
    </row>
    <row r="141" spans="1:19">
      <c r="A141" s="78"/>
      <c r="B141" s="12"/>
      <c r="C141" s="12"/>
      <c r="D141" s="12"/>
      <c r="E141" s="12"/>
      <c r="F141" s="12"/>
      <c r="G141" s="12"/>
      <c r="H141" s="39"/>
      <c r="I141" s="33"/>
      <c r="J141" s="33"/>
      <c r="K141" s="29"/>
      <c r="L141" s="29"/>
      <c r="M141" s="29"/>
      <c r="N141" s="29"/>
      <c r="O141" s="29"/>
      <c r="P141" s="29"/>
      <c r="Q141" s="29"/>
      <c r="R141" s="29"/>
      <c r="S141" s="29"/>
    </row>
    <row r="142" spans="1:19" ht="13.5" thickBot="1">
      <c r="A142" s="78"/>
      <c r="B142" s="12" t="s">
        <v>14</v>
      </c>
      <c r="C142" s="12"/>
      <c r="D142" s="12"/>
      <c r="E142" s="12"/>
      <c r="F142" s="12"/>
      <c r="G142" s="39"/>
      <c r="H142" s="39"/>
      <c r="I142" s="79"/>
      <c r="J142" s="80">
        <f>J140*J139</f>
        <v>-122.94140774893378</v>
      </c>
      <c r="K142" s="29"/>
      <c r="L142" s="29"/>
      <c r="M142" s="29"/>
      <c r="N142" s="29"/>
      <c r="O142" s="29"/>
      <c r="P142" s="29"/>
      <c r="Q142" s="29"/>
      <c r="R142" s="29"/>
      <c r="S142" s="29"/>
    </row>
    <row r="143" spans="1:19" ht="13.5" thickTop="1">
      <c r="A143" s="78"/>
      <c r="B143" s="12"/>
      <c r="C143" s="12"/>
      <c r="D143" s="12"/>
      <c r="E143" s="12"/>
      <c r="F143" s="12"/>
      <c r="G143" s="39"/>
      <c r="H143" s="39"/>
      <c r="I143" s="79"/>
      <c r="J143" s="59"/>
      <c r="K143" s="29"/>
      <c r="L143" s="29"/>
      <c r="M143" s="29"/>
      <c r="N143" s="29"/>
      <c r="O143" s="29"/>
      <c r="P143" s="29"/>
      <c r="Q143" s="29"/>
      <c r="R143" s="29"/>
      <c r="S143" s="29"/>
    </row>
    <row r="144" spans="1:19">
      <c r="A144" s="67" t="s">
        <v>581</v>
      </c>
      <c r="B144" s="29"/>
      <c r="C144" s="29"/>
      <c r="D144" s="29"/>
      <c r="E144" s="29"/>
      <c r="F144" s="29"/>
      <c r="G144" s="29"/>
      <c r="H144" s="29"/>
      <c r="I144" s="68"/>
      <c r="J144" s="68"/>
      <c r="K144" s="29"/>
      <c r="L144" s="29"/>
      <c r="M144" s="29"/>
      <c r="N144" s="29"/>
      <c r="O144" s="29"/>
      <c r="P144" s="29"/>
      <c r="Q144" s="29"/>
      <c r="R144" s="29"/>
      <c r="S144" s="29"/>
    </row>
    <row r="145" spans="1:19">
      <c r="A145" s="69"/>
      <c r="B145" s="12"/>
      <c r="C145" s="12"/>
      <c r="D145" s="39" t="s">
        <v>20</v>
      </c>
      <c r="E145" s="12"/>
      <c r="F145" s="39" t="s">
        <v>20</v>
      </c>
      <c r="G145" s="12"/>
      <c r="H145" s="39"/>
      <c r="I145" s="12"/>
      <c r="J145" s="62" t="s">
        <v>37</v>
      </c>
      <c r="K145" s="29"/>
      <c r="L145" s="29"/>
      <c r="M145" s="29"/>
      <c r="N145" s="29"/>
      <c r="O145" s="29"/>
      <c r="P145" s="29"/>
      <c r="Q145" s="29"/>
      <c r="R145" s="29"/>
      <c r="S145" s="29"/>
    </row>
    <row r="146" spans="1:19">
      <c r="A146" s="69"/>
      <c r="B146" s="12"/>
      <c r="C146" s="12"/>
      <c r="D146" s="39" t="s">
        <v>27</v>
      </c>
      <c r="E146" s="39" t="s">
        <v>20</v>
      </c>
      <c r="F146" s="40" t="s">
        <v>25</v>
      </c>
      <c r="G146" s="40" t="s">
        <v>0</v>
      </c>
      <c r="H146" s="40" t="s">
        <v>5</v>
      </c>
      <c r="I146" s="40" t="s">
        <v>1</v>
      </c>
      <c r="J146" s="40" t="s">
        <v>2</v>
      </c>
      <c r="K146" s="29"/>
      <c r="L146" s="29"/>
      <c r="M146" s="29"/>
      <c r="N146" s="29"/>
      <c r="O146" s="29"/>
      <c r="P146" s="29"/>
      <c r="Q146" s="29"/>
      <c r="R146" s="29"/>
      <c r="S146" s="29"/>
    </row>
    <row r="147" spans="1:19">
      <c r="A147" s="69"/>
      <c r="B147" s="12"/>
      <c r="C147" s="12"/>
      <c r="D147" s="60" t="s">
        <v>28</v>
      </c>
      <c r="E147" s="60" t="s">
        <v>28</v>
      </c>
      <c r="F147" s="60" t="s">
        <v>0</v>
      </c>
      <c r="G147" s="60" t="s">
        <v>3</v>
      </c>
      <c r="H147" s="60" t="s">
        <v>24</v>
      </c>
      <c r="I147" s="60" t="s">
        <v>4</v>
      </c>
      <c r="J147" s="63" t="s">
        <v>5</v>
      </c>
      <c r="K147" s="29"/>
      <c r="L147" s="29"/>
      <c r="M147" s="29"/>
      <c r="N147" s="29"/>
      <c r="O147" s="29"/>
      <c r="P147" s="29"/>
      <c r="Q147" s="29"/>
      <c r="R147" s="29"/>
      <c r="S147" s="29"/>
    </row>
    <row r="148" spans="1:19">
      <c r="A148" s="69"/>
      <c r="B148" s="12"/>
      <c r="C148" s="12"/>
      <c r="D148" s="12"/>
      <c r="E148" s="12"/>
      <c r="F148" s="12"/>
      <c r="G148" s="12"/>
      <c r="H148" s="12"/>
      <c r="I148" s="12"/>
      <c r="J148" s="12"/>
      <c r="K148" s="29"/>
      <c r="L148" s="29"/>
      <c r="M148" s="29"/>
      <c r="N148" s="29"/>
      <c r="O148" s="29"/>
      <c r="P148" s="29"/>
      <c r="Q148" s="29"/>
      <c r="R148" s="29"/>
      <c r="S148" s="29"/>
    </row>
    <row r="149" spans="1:19">
      <c r="A149" s="69"/>
      <c r="B149" s="12" t="s">
        <v>7</v>
      </c>
      <c r="C149" s="12"/>
      <c r="D149" s="70">
        <f t="shared" ref="D149:D154" si="28">F111</f>
        <v>10009.368219860016</v>
      </c>
      <c r="E149" s="12"/>
      <c r="F149" s="28">
        <f t="shared" ref="F149:F154" si="29">D149+E149</f>
        <v>10009.368219860016</v>
      </c>
      <c r="G149" s="47">
        <f>F149/F156</f>
        <v>0.29419564395190151</v>
      </c>
      <c r="H149" s="47">
        <f>H111</f>
        <v>4.53E-2</v>
      </c>
      <c r="I149" s="47">
        <f t="shared" ref="I149:I154" si="30">G149*H149</f>
        <v>1.3327062671021139E-2</v>
      </c>
      <c r="J149" s="33">
        <f t="shared" ref="J149:J153" si="31">+I149*1/(1-(0.00072+0.00065))</f>
        <v>1.3345345794759959E-2</v>
      </c>
      <c r="K149" s="29"/>
      <c r="L149" s="29"/>
      <c r="M149" s="29"/>
      <c r="N149" s="29"/>
      <c r="O149" s="29"/>
      <c r="P149" s="29"/>
      <c r="Q149" s="29"/>
      <c r="R149" s="29"/>
      <c r="S149" s="29"/>
    </row>
    <row r="150" spans="1:19">
      <c r="A150" s="69"/>
      <c r="B150" s="12" t="s">
        <v>21</v>
      </c>
      <c r="C150" s="12"/>
      <c r="D150" s="70">
        <f t="shared" si="28"/>
        <v>386.36</v>
      </c>
      <c r="E150" s="12"/>
      <c r="F150" s="28">
        <f t="shared" si="29"/>
        <v>386.36</v>
      </c>
      <c r="G150" s="47">
        <f>F150/F156</f>
        <v>1.1355904438776487E-2</v>
      </c>
      <c r="H150" s="47">
        <f>H112</f>
        <v>2.0400000000000001E-2</v>
      </c>
      <c r="I150" s="47">
        <f t="shared" si="30"/>
        <v>2.3166045055104037E-4</v>
      </c>
      <c r="J150" s="33">
        <f t="shared" si="31"/>
        <v>2.3197826076829293E-4</v>
      </c>
      <c r="K150" s="29"/>
      <c r="L150" s="29"/>
      <c r="M150" s="29"/>
      <c r="N150" s="29"/>
      <c r="O150" s="29"/>
      <c r="P150" s="29"/>
      <c r="Q150" s="29"/>
      <c r="R150" s="29"/>
      <c r="S150" s="29"/>
    </row>
    <row r="151" spans="1:19">
      <c r="A151" s="69"/>
      <c r="B151" s="12" t="s">
        <v>6</v>
      </c>
      <c r="C151" s="12"/>
      <c r="D151" s="70">
        <f t="shared" si="28"/>
        <v>321.13812457881784</v>
      </c>
      <c r="E151" s="12"/>
      <c r="F151" s="28">
        <f t="shared" si="29"/>
        <v>321.13812457881784</v>
      </c>
      <c r="G151" s="47">
        <f>F151/F156</f>
        <v>9.438901165661439E-3</v>
      </c>
      <c r="H151" s="47">
        <f>H113</f>
        <v>5.5999999999999999E-3</v>
      </c>
      <c r="I151" s="47">
        <f t="shared" si="30"/>
        <v>5.285784652770406E-5</v>
      </c>
      <c r="J151" s="33">
        <f t="shared" si="31"/>
        <v>5.2930361122441801E-5</v>
      </c>
      <c r="K151" s="29"/>
      <c r="L151" s="29"/>
      <c r="M151" s="29"/>
      <c r="N151" s="29"/>
      <c r="O151" s="29"/>
      <c r="P151" s="29"/>
      <c r="Q151" s="29"/>
      <c r="R151" s="29"/>
      <c r="S151" s="29"/>
    </row>
    <row r="152" spans="1:19">
      <c r="A152" s="69"/>
      <c r="B152" s="12" t="s">
        <v>22</v>
      </c>
      <c r="C152" s="12"/>
      <c r="D152" s="70">
        <f t="shared" si="28"/>
        <v>7943.3554525545842</v>
      </c>
      <c r="E152" s="12"/>
      <c r="F152" s="28">
        <f t="shared" si="29"/>
        <v>7943.3554525545842</v>
      </c>
      <c r="G152" s="47">
        <f>F152/F156</f>
        <v>0.23347133616948962</v>
      </c>
      <c r="H152" s="47">
        <f>H114</f>
        <v>0</v>
      </c>
      <c r="I152" s="47">
        <f t="shared" si="30"/>
        <v>0</v>
      </c>
      <c r="J152" s="33">
        <f t="shared" si="31"/>
        <v>0</v>
      </c>
      <c r="K152" s="29"/>
      <c r="L152" s="29"/>
      <c r="M152" s="29"/>
      <c r="N152" s="29"/>
      <c r="O152" s="29"/>
      <c r="P152" s="29"/>
      <c r="Q152" s="29"/>
      <c r="R152" s="29"/>
      <c r="S152" s="29"/>
    </row>
    <row r="153" spans="1:19">
      <c r="A153" s="69"/>
      <c r="B153" s="12" t="s">
        <v>23</v>
      </c>
      <c r="C153" s="12"/>
      <c r="D153" s="70">
        <f t="shared" si="28"/>
        <v>100.559</v>
      </c>
      <c r="E153" s="12"/>
      <c r="F153" s="28">
        <f t="shared" si="29"/>
        <v>100.559</v>
      </c>
      <c r="G153" s="48">
        <f>F153/F156</f>
        <v>2.9556330739696777E-3</v>
      </c>
      <c r="H153" s="47">
        <f>H115</f>
        <v>8.8700000000000001E-2</v>
      </c>
      <c r="I153" s="49">
        <f t="shared" si="30"/>
        <v>2.6216465366111043E-4</v>
      </c>
      <c r="J153" s="33">
        <f t="shared" si="31"/>
        <v>2.6252431196850727E-4</v>
      </c>
      <c r="K153" s="29"/>
      <c r="L153" s="29"/>
      <c r="M153" s="29"/>
      <c r="N153" s="29"/>
      <c r="O153" s="29"/>
      <c r="P153" s="29"/>
      <c r="Q153" s="29"/>
      <c r="R153" s="29"/>
      <c r="S153" s="29"/>
    </row>
    <row r="154" spans="1:19">
      <c r="A154" s="69"/>
      <c r="B154" s="12" t="s">
        <v>8</v>
      </c>
      <c r="C154" s="12"/>
      <c r="D154" s="71">
        <f t="shared" si="28"/>
        <v>15262.048655561166</v>
      </c>
      <c r="E154" s="61"/>
      <c r="F154" s="50">
        <f t="shared" si="29"/>
        <v>15262.048655561166</v>
      </c>
      <c r="G154" s="51">
        <f>F154/F156</f>
        <v>0.44858258120020122</v>
      </c>
      <c r="H154" s="52">
        <v>0.09</v>
      </c>
      <c r="I154" s="52">
        <f t="shared" si="30"/>
        <v>4.0372432308018111E-2</v>
      </c>
      <c r="J154" s="51">
        <f>+I154*1.63024</f>
        <v>6.5816754045823447E-2</v>
      </c>
      <c r="K154" s="29"/>
      <c r="L154" s="29"/>
      <c r="M154" s="29"/>
      <c r="N154" s="29"/>
      <c r="O154" s="29"/>
      <c r="P154" s="29"/>
      <c r="Q154" s="29"/>
      <c r="R154" s="29"/>
      <c r="S154" s="29"/>
    </row>
    <row r="155" spans="1:19">
      <c r="A155" s="69"/>
      <c r="B155" s="12"/>
      <c r="C155" s="12"/>
      <c r="D155" s="12"/>
      <c r="E155" s="12"/>
      <c r="F155" s="72"/>
      <c r="G155" s="12"/>
      <c r="H155" s="33"/>
      <c r="I155" s="33"/>
      <c r="J155" s="33"/>
      <c r="K155" s="29"/>
      <c r="L155" s="29"/>
      <c r="M155" s="29"/>
      <c r="N155" s="29"/>
      <c r="O155" s="29"/>
      <c r="P155" s="29"/>
      <c r="Q155" s="29"/>
      <c r="R155" s="29"/>
      <c r="S155" s="29"/>
    </row>
    <row r="156" spans="1:19" ht="13.5" thickBot="1">
      <c r="A156" s="69"/>
      <c r="B156" s="75" t="s">
        <v>9</v>
      </c>
      <c r="C156" s="75"/>
      <c r="D156" s="76">
        <f>SUM(D149:D155)</f>
        <v>34022.829452554586</v>
      </c>
      <c r="E156" s="76">
        <f>SUM(E149:E155)</f>
        <v>0</v>
      </c>
      <c r="F156" s="77">
        <f>SUM(F149:F154)</f>
        <v>34022.829452554586</v>
      </c>
      <c r="G156" s="64">
        <f>SUM(G149:G154)</f>
        <v>1</v>
      </c>
      <c r="H156" s="64"/>
      <c r="I156" s="64">
        <f>SUM(I149:I154)</f>
        <v>5.4246177929779107E-2</v>
      </c>
      <c r="J156" s="64">
        <f>SUM(J149:J155)</f>
        <v>7.9709532774442649E-2</v>
      </c>
      <c r="K156" s="29"/>
      <c r="L156" s="29"/>
      <c r="M156" s="29"/>
      <c r="N156" s="29"/>
      <c r="O156" s="29"/>
      <c r="P156" s="29"/>
      <c r="Q156" s="29"/>
      <c r="R156" s="29"/>
      <c r="S156" s="29"/>
    </row>
    <row r="157" spans="1:19" ht="13.5" thickTop="1">
      <c r="A157" s="29"/>
      <c r="B157" s="75"/>
      <c r="C157" s="75"/>
      <c r="D157" s="75"/>
      <c r="E157" s="12"/>
      <c r="F157" s="12"/>
      <c r="G157" s="33"/>
      <c r="H157" s="33"/>
      <c r="I157" s="33"/>
      <c r="J157" s="33"/>
      <c r="K157" s="29"/>
      <c r="L157" s="29"/>
      <c r="M157" s="29"/>
      <c r="N157" s="29"/>
      <c r="O157" s="29"/>
      <c r="P157" s="29"/>
      <c r="Q157" s="29"/>
      <c r="R157" s="29"/>
      <c r="S157" s="29"/>
    </row>
    <row r="158" spans="1:19">
      <c r="A158" s="29"/>
      <c r="B158" s="38" t="s">
        <v>13</v>
      </c>
      <c r="C158" s="38"/>
      <c r="D158" s="38"/>
      <c r="E158" s="12"/>
      <c r="F158" s="12"/>
      <c r="G158" s="33"/>
      <c r="H158" s="33"/>
      <c r="I158" s="33"/>
      <c r="J158" s="33">
        <f>J156-J137</f>
        <v>-1.4625945343516314E-2</v>
      </c>
      <c r="K158" s="29"/>
      <c r="L158" s="29"/>
      <c r="M158" s="29"/>
      <c r="N158" s="29"/>
      <c r="O158" s="29"/>
      <c r="P158" s="29"/>
      <c r="Q158" s="29"/>
      <c r="R158" s="29"/>
      <c r="S158" s="29"/>
    </row>
    <row r="159" spans="1:19">
      <c r="A159" s="69"/>
      <c r="B159" s="29" t="s">
        <v>12</v>
      </c>
      <c r="C159" s="29"/>
      <c r="D159" s="29"/>
      <c r="E159" s="29"/>
      <c r="F159" s="29"/>
      <c r="G159" s="29"/>
      <c r="H159" s="29"/>
      <c r="I159" s="68"/>
      <c r="J159" s="65">
        <f>'Exh. LK-27 - Page 2'!D25</f>
        <v>33622.827068319071</v>
      </c>
      <c r="K159" s="29"/>
      <c r="L159" s="29"/>
      <c r="M159" s="29"/>
      <c r="N159" s="29"/>
      <c r="O159" s="29"/>
      <c r="P159" s="29"/>
      <c r="Q159" s="29"/>
      <c r="R159" s="29"/>
      <c r="S159" s="29"/>
    </row>
    <row r="160" spans="1:19">
      <c r="A160" s="78"/>
      <c r="B160" s="12"/>
      <c r="C160" s="12"/>
      <c r="D160" s="12"/>
      <c r="E160" s="12"/>
      <c r="F160" s="12"/>
      <c r="G160" s="12"/>
      <c r="H160" s="39"/>
      <c r="I160" s="33"/>
      <c r="J160" s="33"/>
      <c r="K160" s="29"/>
      <c r="L160" s="29"/>
      <c r="M160" s="29"/>
      <c r="N160" s="29"/>
      <c r="O160" s="29"/>
      <c r="P160" s="29"/>
      <c r="Q160" s="29"/>
      <c r="R160" s="29"/>
      <c r="S160" s="29"/>
    </row>
    <row r="161" spans="1:19" ht="13.5" thickBot="1">
      <c r="A161" s="78"/>
      <c r="B161" s="12" t="s">
        <v>14</v>
      </c>
      <c r="C161" s="12"/>
      <c r="D161" s="12"/>
      <c r="E161" s="12"/>
      <c r="F161" s="12"/>
      <c r="G161" s="39"/>
      <c r="H161" s="39"/>
      <c r="I161" s="79"/>
      <c r="J161" s="80">
        <f>J159*J158</f>
        <v>-491.76563099573559</v>
      </c>
      <c r="K161" s="29"/>
      <c r="L161" s="29"/>
      <c r="M161" s="29"/>
      <c r="N161" s="29"/>
      <c r="O161" s="29"/>
      <c r="P161" s="29"/>
      <c r="Q161" s="29"/>
      <c r="R161" s="29"/>
      <c r="S161" s="29"/>
    </row>
    <row r="162" spans="1:19" ht="14.25" thickTop="1" thickBot="1">
      <c r="A162" s="78"/>
      <c r="B162" s="12"/>
      <c r="C162" s="12"/>
      <c r="D162" s="12"/>
      <c r="E162" s="12"/>
      <c r="F162" s="91" t="s">
        <v>73</v>
      </c>
      <c r="G162" s="39"/>
      <c r="H162" s="92">
        <f>J161/2</f>
        <v>-245.8828154978678</v>
      </c>
      <c r="I162" s="79"/>
      <c r="J162" s="59"/>
      <c r="K162" s="29"/>
      <c r="L162" s="29"/>
      <c r="M162" s="29"/>
      <c r="N162" s="29"/>
      <c r="O162" s="29"/>
      <c r="P162" s="29"/>
      <c r="Q162" s="29"/>
      <c r="R162" s="29"/>
      <c r="S162" s="29"/>
    </row>
    <row r="163" spans="1:19" ht="13.5" thickTop="1">
      <c r="A163" s="78"/>
      <c r="B163" s="12"/>
      <c r="C163" s="12"/>
      <c r="D163" s="12"/>
      <c r="E163" s="12"/>
      <c r="F163" s="91"/>
      <c r="G163" s="39"/>
      <c r="H163" s="93"/>
      <c r="I163" s="79"/>
      <c r="J163" s="59"/>
      <c r="K163" s="29"/>
      <c r="L163" s="29"/>
      <c r="M163" s="29"/>
      <c r="N163" s="29"/>
      <c r="O163" s="29"/>
      <c r="P163" s="29"/>
      <c r="Q163" s="29"/>
      <c r="R163" s="29"/>
      <c r="S163" s="29"/>
    </row>
    <row r="164" spans="1:19">
      <c r="A164" s="67" t="s">
        <v>582</v>
      </c>
      <c r="B164" s="29"/>
      <c r="C164" s="29"/>
      <c r="D164" s="29"/>
      <c r="E164" s="29"/>
      <c r="F164" s="29"/>
      <c r="G164" s="29"/>
      <c r="H164" s="29"/>
      <c r="I164" s="68"/>
      <c r="J164" s="68"/>
      <c r="K164" s="29"/>
      <c r="L164" s="29"/>
      <c r="M164" s="29"/>
      <c r="N164" s="29"/>
      <c r="O164" s="29"/>
      <c r="P164" s="29"/>
      <c r="Q164" s="29"/>
      <c r="R164" s="29"/>
      <c r="S164" s="29"/>
    </row>
    <row r="165" spans="1:19">
      <c r="A165" s="69"/>
      <c r="B165" s="12"/>
      <c r="C165" s="12"/>
      <c r="D165" s="39" t="s">
        <v>20</v>
      </c>
      <c r="E165" s="12"/>
      <c r="F165" s="39" t="s">
        <v>20</v>
      </c>
      <c r="G165" s="12"/>
      <c r="H165" s="39"/>
      <c r="I165" s="12"/>
      <c r="J165" s="62" t="s">
        <v>37</v>
      </c>
      <c r="K165" s="29"/>
      <c r="L165" s="29"/>
      <c r="M165" s="29"/>
      <c r="N165" s="29"/>
      <c r="O165" s="29"/>
      <c r="P165" s="29"/>
      <c r="Q165" s="29"/>
      <c r="R165" s="29"/>
      <c r="S165" s="29"/>
    </row>
    <row r="166" spans="1:19">
      <c r="A166" s="69"/>
      <c r="B166" s="12"/>
      <c r="C166" s="12"/>
      <c r="D166" s="39" t="s">
        <v>27</v>
      </c>
      <c r="E166" s="39" t="s">
        <v>20</v>
      </c>
      <c r="F166" s="40" t="s">
        <v>25</v>
      </c>
      <c r="G166" s="40" t="s">
        <v>0</v>
      </c>
      <c r="H166" s="40" t="s">
        <v>5</v>
      </c>
      <c r="I166" s="40" t="s">
        <v>1</v>
      </c>
      <c r="J166" s="40" t="s">
        <v>2</v>
      </c>
      <c r="K166" s="29"/>
      <c r="L166" s="29"/>
      <c r="M166" s="29"/>
      <c r="N166" s="29"/>
      <c r="O166" s="29"/>
      <c r="P166" s="29"/>
      <c r="Q166" s="29"/>
      <c r="R166" s="29"/>
      <c r="S166" s="29"/>
    </row>
    <row r="167" spans="1:19">
      <c r="A167" s="69"/>
      <c r="B167" s="12"/>
      <c r="C167" s="12"/>
      <c r="D167" s="60" t="s">
        <v>28</v>
      </c>
      <c r="E167" s="60" t="s">
        <v>28</v>
      </c>
      <c r="F167" s="60" t="s">
        <v>0</v>
      </c>
      <c r="G167" s="60" t="s">
        <v>3</v>
      </c>
      <c r="H167" s="60" t="s">
        <v>24</v>
      </c>
      <c r="I167" s="60" t="s">
        <v>4</v>
      </c>
      <c r="J167" s="63" t="s">
        <v>5</v>
      </c>
      <c r="K167" s="29"/>
      <c r="L167" s="224" t="s">
        <v>368</v>
      </c>
      <c r="M167" s="99"/>
      <c r="N167" s="100"/>
      <c r="O167" s="100"/>
      <c r="P167" s="101" t="s">
        <v>80</v>
      </c>
      <c r="Q167" s="149"/>
      <c r="R167" s="100"/>
      <c r="S167" s="100"/>
    </row>
    <row r="168" spans="1:19">
      <c r="A168" s="69"/>
      <c r="B168" s="12"/>
      <c r="C168" s="12"/>
      <c r="D168" s="12"/>
      <c r="E168" s="12"/>
      <c r="F168" s="12"/>
      <c r="G168" s="12"/>
      <c r="H168" s="12"/>
      <c r="I168" s="12"/>
      <c r="J168" s="12"/>
      <c r="L168" s="99"/>
      <c r="M168" s="99"/>
      <c r="N168" s="100"/>
      <c r="O168" s="100"/>
      <c r="P168" s="100"/>
      <c r="Q168" s="149"/>
      <c r="R168" s="100"/>
      <c r="S168" s="100"/>
    </row>
    <row r="169" spans="1:19">
      <c r="A169" s="69"/>
      <c r="B169" s="12" t="s">
        <v>7</v>
      </c>
      <c r="C169" s="12"/>
      <c r="D169" s="70">
        <f>F149</f>
        <v>10009.368219860016</v>
      </c>
      <c r="E169" s="28">
        <f>P170</f>
        <v>227.65378013998213</v>
      </c>
      <c r="F169" s="28">
        <f t="shared" ref="F169:F174" si="32">D169+E169</f>
        <v>10237.021999999999</v>
      </c>
      <c r="G169" s="47">
        <f>F169/F176</f>
        <v>0.30088685052710562</v>
      </c>
      <c r="H169" s="47">
        <f>H149</f>
        <v>4.53E-2</v>
      </c>
      <c r="I169" s="47">
        <f t="shared" ref="I169:I174" si="33">G169*H169</f>
        <v>1.3630174328877885E-2</v>
      </c>
      <c r="J169" s="33">
        <f t="shared" ref="J169:J173" si="34">+I169*1/(1-(0.00072+0.00065))</f>
        <v>1.3648873285278716E-2</v>
      </c>
      <c r="L169" s="101" t="s">
        <v>76</v>
      </c>
      <c r="M169" s="102">
        <f>D171</f>
        <v>321.13812457881784</v>
      </c>
      <c r="N169" s="103">
        <f>M169/M172</f>
        <v>1.2548107235827678E-2</v>
      </c>
      <c r="O169" s="100"/>
      <c r="P169" s="149">
        <f>(M172*0.05)-M169</f>
        <v>958.48962542118227</v>
      </c>
      <c r="Q169" s="149">
        <f>M169+P169</f>
        <v>1279.6277500000001</v>
      </c>
      <c r="R169" s="103">
        <f>Q169/Q172</f>
        <v>0.05</v>
      </c>
      <c r="S169" s="100"/>
    </row>
    <row r="170" spans="1:19">
      <c r="A170" s="69"/>
      <c r="B170" s="12" t="s">
        <v>21</v>
      </c>
      <c r="C170" s="12"/>
      <c r="D170" s="70">
        <f t="shared" ref="D170:D174" si="35">F150</f>
        <v>386.36</v>
      </c>
      <c r="E170" s="28"/>
      <c r="F170" s="28">
        <f t="shared" si="32"/>
        <v>386.36</v>
      </c>
      <c r="G170" s="47">
        <f>F170/F176</f>
        <v>1.1355904438776487E-2</v>
      </c>
      <c r="H170" s="47">
        <f t="shared" ref="H170:H174" si="36">H150</f>
        <v>2.0400000000000001E-2</v>
      </c>
      <c r="I170" s="47">
        <f t="shared" si="33"/>
        <v>2.3166045055104037E-4</v>
      </c>
      <c r="J170" s="33">
        <f t="shared" si="34"/>
        <v>2.3197826076829293E-4</v>
      </c>
      <c r="L170" s="101" t="s">
        <v>77</v>
      </c>
      <c r="M170" s="102">
        <f>D169</f>
        <v>10009.368219860016</v>
      </c>
      <c r="N170" s="103">
        <f>M170/M172</f>
        <v>0.39110468727565562</v>
      </c>
      <c r="O170" s="100"/>
      <c r="P170" s="150">
        <f>-P171-P169</f>
        <v>227.65378013998213</v>
      </c>
      <c r="Q170" s="149">
        <f t="shared" ref="Q170:Q171" si="37">M170+P170</f>
        <v>10237.021999999999</v>
      </c>
      <c r="R170" s="103">
        <f>Q170/Q172</f>
        <v>0.39999999999999997</v>
      </c>
      <c r="S170" s="100"/>
    </row>
    <row r="171" spans="1:19">
      <c r="A171" s="69"/>
      <c r="B171" s="12" t="s">
        <v>6</v>
      </c>
      <c r="C171" s="12"/>
      <c r="D171" s="70">
        <f t="shared" si="35"/>
        <v>321.13812457881784</v>
      </c>
      <c r="E171" s="28">
        <f>P169</f>
        <v>958.48962542118227</v>
      </c>
      <c r="F171" s="28">
        <f t="shared" si="32"/>
        <v>1279.6277500000001</v>
      </c>
      <c r="G171" s="47">
        <f>F171/F176</f>
        <v>3.7610856315888209E-2</v>
      </c>
      <c r="H171" s="47">
        <f t="shared" si="36"/>
        <v>5.5999999999999999E-3</v>
      </c>
      <c r="I171" s="47">
        <f t="shared" si="33"/>
        <v>2.1062079536897398E-4</v>
      </c>
      <c r="J171" s="33">
        <f t="shared" si="34"/>
        <v>2.1090974171512371E-4</v>
      </c>
      <c r="L171" s="101" t="s">
        <v>78</v>
      </c>
      <c r="M171" s="102">
        <f>D174</f>
        <v>15262.048655561166</v>
      </c>
      <c r="N171" s="103">
        <f>M171/M172</f>
        <v>0.59634720548851672</v>
      </c>
      <c r="O171" s="100"/>
      <c r="P171" s="149">
        <f>(M172*0.55)-M171</f>
        <v>-1186.1434055611644</v>
      </c>
      <c r="Q171" s="149">
        <f t="shared" si="37"/>
        <v>14075.905250000002</v>
      </c>
      <c r="R171" s="103">
        <f>Q171/Q172</f>
        <v>0.55000000000000004</v>
      </c>
      <c r="S171" s="100"/>
    </row>
    <row r="172" spans="1:19">
      <c r="A172" s="69"/>
      <c r="B172" s="12" t="s">
        <v>22</v>
      </c>
      <c r="C172" s="12"/>
      <c r="D172" s="70">
        <f t="shared" si="35"/>
        <v>7943.3554525545842</v>
      </c>
      <c r="E172" s="28"/>
      <c r="F172" s="28">
        <f t="shared" si="32"/>
        <v>7943.3554525545842</v>
      </c>
      <c r="G172" s="47">
        <f>F172/F176</f>
        <v>0.23347133616948962</v>
      </c>
      <c r="H172" s="47">
        <f t="shared" si="36"/>
        <v>0</v>
      </c>
      <c r="I172" s="47">
        <f t="shared" si="33"/>
        <v>0</v>
      </c>
      <c r="J172" s="33">
        <f t="shared" si="34"/>
        <v>0</v>
      </c>
      <c r="L172" s="99"/>
      <c r="M172" s="102">
        <f>SUM(M169:M171)</f>
        <v>25592.555</v>
      </c>
      <c r="N172" s="100"/>
      <c r="O172" s="100"/>
      <c r="P172" s="100"/>
      <c r="Q172" s="149">
        <f>SUM(Q169:Q171)</f>
        <v>25592.555</v>
      </c>
      <c r="R172" s="100"/>
      <c r="S172" s="100"/>
    </row>
    <row r="173" spans="1:19">
      <c r="A173" s="69"/>
      <c r="B173" s="12" t="s">
        <v>23</v>
      </c>
      <c r="C173" s="12"/>
      <c r="D173" s="70">
        <f t="shared" si="35"/>
        <v>100.559</v>
      </c>
      <c r="E173" s="28"/>
      <c r="F173" s="28">
        <f t="shared" si="32"/>
        <v>100.559</v>
      </c>
      <c r="G173" s="48">
        <f>F173/F176</f>
        <v>2.9556330739696777E-3</v>
      </c>
      <c r="H173" s="47">
        <f t="shared" si="36"/>
        <v>8.8700000000000001E-2</v>
      </c>
      <c r="I173" s="49">
        <f t="shared" si="33"/>
        <v>2.6216465366111043E-4</v>
      </c>
      <c r="J173" s="33">
        <f t="shared" si="34"/>
        <v>2.6252431196850727E-4</v>
      </c>
      <c r="L173" s="99"/>
      <c r="M173" s="99"/>
      <c r="N173" s="100"/>
      <c r="O173" s="100"/>
      <c r="P173" s="100"/>
      <c r="Q173" s="100"/>
      <c r="R173" s="100"/>
      <c r="S173" s="100"/>
    </row>
    <row r="174" spans="1:19">
      <c r="A174" s="69"/>
      <c r="B174" s="12" t="s">
        <v>8</v>
      </c>
      <c r="C174" s="12"/>
      <c r="D174" s="71">
        <f t="shared" si="35"/>
        <v>15262.048655561166</v>
      </c>
      <c r="E174" s="50">
        <f>P171</f>
        <v>-1186.1434055611644</v>
      </c>
      <c r="F174" s="50">
        <f t="shared" si="32"/>
        <v>14075.905250000002</v>
      </c>
      <c r="G174" s="51">
        <f>F174/F176</f>
        <v>0.41371941947477031</v>
      </c>
      <c r="H174" s="47">
        <f t="shared" si="36"/>
        <v>0.09</v>
      </c>
      <c r="I174" s="52">
        <f t="shared" si="33"/>
        <v>3.7234747752729329E-2</v>
      </c>
      <c r="J174" s="51">
        <f>+I174*1.63024</f>
        <v>6.0701575176409457E-2</v>
      </c>
      <c r="L174" s="99"/>
      <c r="M174" s="99"/>
      <c r="N174" s="100"/>
      <c r="O174" s="100"/>
      <c r="P174" s="100"/>
      <c r="Q174" s="100"/>
      <c r="R174" s="100"/>
      <c r="S174" s="100"/>
    </row>
    <row r="175" spans="1:19">
      <c r="A175" s="69"/>
      <c r="B175" s="12"/>
      <c r="C175" s="12"/>
      <c r="D175" s="12"/>
      <c r="E175" s="28"/>
      <c r="F175" s="72"/>
      <c r="G175" s="73"/>
      <c r="H175" s="74"/>
      <c r="I175" s="74"/>
      <c r="J175" s="74"/>
    </row>
    <row r="176" spans="1:19" ht="13.5" thickBot="1">
      <c r="A176" s="29"/>
      <c r="B176" s="75" t="s">
        <v>9</v>
      </c>
      <c r="C176" s="75"/>
      <c r="D176" s="76">
        <f>SUM(D169:D175)</f>
        <v>34022.829452554586</v>
      </c>
      <c r="E176" s="148">
        <f>SUM(E169:E175)</f>
        <v>0</v>
      </c>
      <c r="F176" s="77">
        <f>SUM(F169:F174)</f>
        <v>34022.829452554586</v>
      </c>
      <c r="G176" s="64">
        <f>SUM(G169:G174)</f>
        <v>1</v>
      </c>
      <c r="H176" s="64"/>
      <c r="I176" s="64">
        <f>SUM(I169:I174)</f>
        <v>5.1569367981188337E-2</v>
      </c>
      <c r="J176" s="64">
        <f>SUM(J169:J175)</f>
        <v>7.5055860776140099E-2</v>
      </c>
    </row>
    <row r="177" spans="1:10" ht="13.5" thickTop="1">
      <c r="A177" s="29"/>
      <c r="B177" s="75"/>
      <c r="C177" s="75"/>
      <c r="D177" s="75"/>
      <c r="E177" s="12"/>
      <c r="F177" s="12"/>
      <c r="G177" s="33"/>
      <c r="H177" s="33"/>
      <c r="I177" s="33"/>
      <c r="J177" s="33"/>
    </row>
    <row r="178" spans="1:10">
      <c r="A178" s="69"/>
      <c r="B178" s="38" t="s">
        <v>13</v>
      </c>
      <c r="C178" s="38"/>
      <c r="D178" s="38"/>
      <c r="E178" s="12"/>
      <c r="F178" s="12"/>
      <c r="G178" s="33"/>
      <c r="H178" s="33"/>
      <c r="I178" s="33"/>
      <c r="J178" s="33">
        <f>J176-J156</f>
        <v>-4.6536719983025499E-3</v>
      </c>
    </row>
    <row r="179" spans="1:10">
      <c r="A179" s="78"/>
      <c r="B179" s="29" t="s">
        <v>12</v>
      </c>
      <c r="C179" s="29"/>
      <c r="D179" s="29"/>
      <c r="E179" s="29"/>
      <c r="F179" s="29"/>
      <c r="G179" s="29"/>
      <c r="H179" s="29"/>
      <c r="I179" s="68"/>
      <c r="J179" s="65">
        <f>'Exh. LK-27 - Page 2'!D25</f>
        <v>33622.827068319071</v>
      </c>
    </row>
    <row r="180" spans="1:10">
      <c r="A180" s="78"/>
      <c r="B180" s="12"/>
      <c r="C180" s="12"/>
      <c r="D180" s="12"/>
      <c r="E180" s="12"/>
      <c r="F180" s="12"/>
      <c r="G180" s="12"/>
      <c r="H180" s="39"/>
      <c r="I180" s="33"/>
      <c r="J180" s="33"/>
    </row>
    <row r="181" spans="1:10" ht="13.5" thickBot="1">
      <c r="A181" s="29"/>
      <c r="B181" s="12" t="s">
        <v>14</v>
      </c>
      <c r="C181" s="12"/>
      <c r="D181" s="12"/>
      <c r="E181" s="12"/>
      <c r="F181" s="12"/>
      <c r="G181" s="39"/>
      <c r="H181" s="39"/>
      <c r="I181" s="79"/>
      <c r="J181" s="80">
        <f>J179*J178</f>
        <v>-156.46960883160548</v>
      </c>
    </row>
    <row r="182" spans="1:10" ht="13.5" thickTop="1">
      <c r="B182" s="7"/>
      <c r="C182" s="7"/>
      <c r="D182" s="7"/>
      <c r="E182" s="4"/>
      <c r="F182" s="35"/>
      <c r="G182" s="36"/>
      <c r="H182" s="36"/>
      <c r="I182" s="36"/>
      <c r="J182" s="36"/>
    </row>
    <row r="183" spans="1:10">
      <c r="A183" s="78"/>
      <c r="B183" s="12"/>
      <c r="C183" s="12"/>
      <c r="D183" s="12"/>
      <c r="E183" s="12"/>
      <c r="F183" s="91"/>
      <c r="G183" s="39"/>
      <c r="H183" s="93"/>
      <c r="I183" s="79"/>
      <c r="J183" s="59"/>
    </row>
    <row r="184" spans="1:10">
      <c r="A184" s="62" t="s">
        <v>37</v>
      </c>
      <c r="B184" s="83" t="s">
        <v>42</v>
      </c>
      <c r="C184" s="83"/>
      <c r="D184" s="29"/>
      <c r="E184" s="29"/>
      <c r="F184" s="29"/>
      <c r="G184" s="29"/>
      <c r="H184" s="29"/>
      <c r="I184" s="29"/>
      <c r="J184" s="29"/>
    </row>
    <row r="185" spans="1:10">
      <c r="A185" s="29"/>
      <c r="B185" s="83" t="s">
        <v>38</v>
      </c>
      <c r="C185" s="83"/>
      <c r="D185" s="83"/>
      <c r="E185" s="84">
        <v>0.35</v>
      </c>
      <c r="F185" s="29"/>
      <c r="G185" s="29"/>
      <c r="H185" s="29"/>
      <c r="I185" s="29"/>
      <c r="J185" s="29"/>
    </row>
    <row r="186" spans="1:10">
      <c r="A186" s="29"/>
      <c r="B186" s="83" t="s">
        <v>39</v>
      </c>
      <c r="C186" s="83"/>
      <c r="D186" s="83"/>
      <c r="E186" s="84">
        <v>5.5E-2</v>
      </c>
      <c r="F186" s="29"/>
      <c r="G186" s="85"/>
      <c r="H186" s="29"/>
      <c r="I186" s="29"/>
      <c r="J186" s="29"/>
    </row>
    <row r="187" spans="1:10">
      <c r="A187" s="29"/>
      <c r="B187" s="83" t="s">
        <v>40</v>
      </c>
      <c r="C187" s="83"/>
      <c r="D187" s="83"/>
      <c r="E187" s="84">
        <v>6.4999999999999997E-4</v>
      </c>
      <c r="F187" s="29"/>
      <c r="G187" s="29"/>
      <c r="H187" s="85"/>
      <c r="I187" s="29"/>
      <c r="J187" s="29"/>
    </row>
    <row r="188" spans="1:10">
      <c r="A188" s="29"/>
      <c r="B188" s="83" t="s">
        <v>41</v>
      </c>
      <c r="C188" s="83"/>
      <c r="D188" s="83"/>
      <c r="E188" s="84">
        <v>7.2000000000000005E-4</v>
      </c>
      <c r="F188" s="29"/>
      <c r="G188" s="29"/>
      <c r="H188" s="29"/>
      <c r="I188" s="29"/>
      <c r="J188" s="29"/>
    </row>
    <row r="193" spans="10:10">
      <c r="J193" s="204">
        <f>J181+J161+J142+J123+J84+J63+J39</f>
        <v>-831.46073989811293</v>
      </c>
    </row>
  </sheetData>
  <mergeCells count="4">
    <mergeCell ref="A1:J1"/>
    <mergeCell ref="A2:J2"/>
    <mergeCell ref="A3:J3"/>
    <mergeCell ref="A4:J4"/>
  </mergeCells>
  <pageMargins left="0.39" right="0.25" top="1" bottom="1" header="0.5" footer="0.5"/>
  <pageSetup orientation="landscape" r:id="rId1"/>
  <headerFooter alignWithMargins="0">
    <oddHeader>&amp;R&amp;8Docket No. 160021-EI, &amp;"Arial,Italic"et al&amp;"Arial,Regular".
FPL POD No. 5
Attachment A
Page &amp;P of &amp;N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0"/>
  <sheetViews>
    <sheetView tabSelected="1" view="pageLayout" zoomScaleNormal="100" workbookViewId="0">
      <selection activeCell="G9" sqref="G9"/>
    </sheetView>
  </sheetViews>
  <sheetFormatPr defaultRowHeight="12.75"/>
  <cols>
    <col min="1" max="1" width="5.85546875" customWidth="1"/>
    <col min="2" max="2" width="19.28515625" customWidth="1"/>
    <col min="3" max="3" width="4.85546875" customWidth="1"/>
    <col min="4" max="7" width="12.7109375" customWidth="1"/>
    <col min="8" max="8" width="15" customWidth="1"/>
    <col min="9" max="9" width="17.28515625" customWidth="1"/>
    <col min="10" max="10" width="11.85546875" customWidth="1"/>
    <col min="12" max="12" width="9.85546875" bestFit="1" customWidth="1"/>
  </cols>
  <sheetData>
    <row r="1" spans="1:12">
      <c r="A1" s="377" t="s">
        <v>10</v>
      </c>
      <c r="B1" s="377"/>
      <c r="C1" s="377"/>
      <c r="D1" s="377"/>
      <c r="E1" s="377"/>
      <c r="F1" s="377"/>
      <c r="G1" s="377"/>
      <c r="H1" s="377"/>
    </row>
    <row r="2" spans="1:12">
      <c r="A2" s="376" t="s">
        <v>72</v>
      </c>
      <c r="B2" s="376"/>
      <c r="C2" s="376"/>
      <c r="D2" s="376"/>
      <c r="E2" s="376"/>
      <c r="F2" s="376"/>
      <c r="G2" s="376"/>
      <c r="H2" s="376"/>
    </row>
    <row r="3" spans="1:12">
      <c r="A3" s="376" t="s">
        <v>65</v>
      </c>
      <c r="B3" s="376"/>
      <c r="C3" s="376"/>
      <c r="D3" s="376"/>
      <c r="E3" s="376"/>
      <c r="F3" s="376"/>
      <c r="G3" s="376"/>
      <c r="H3" s="376"/>
    </row>
    <row r="4" spans="1:12">
      <c r="A4" s="376" t="s">
        <v>69</v>
      </c>
      <c r="B4" s="377"/>
      <c r="C4" s="377"/>
      <c r="D4" s="377"/>
      <c r="E4" s="377"/>
      <c r="F4" s="377"/>
      <c r="G4" s="377"/>
      <c r="H4" s="377"/>
    </row>
    <row r="5" spans="1:12">
      <c r="A5" s="377" t="s">
        <v>19</v>
      </c>
      <c r="B5" s="377"/>
      <c r="C5" s="377"/>
      <c r="D5" s="377"/>
      <c r="E5" s="377"/>
      <c r="F5" s="377"/>
      <c r="G5" s="377"/>
      <c r="H5" s="377"/>
    </row>
    <row r="7" spans="1:12" ht="12.75" customHeight="1"/>
    <row r="8" spans="1:12">
      <c r="A8" s="54" t="s">
        <v>74</v>
      </c>
    </row>
    <row r="9" spans="1:12">
      <c r="A9" s="3"/>
      <c r="B9" s="4"/>
      <c r="C9" s="4"/>
      <c r="D9" s="5" t="s">
        <v>20</v>
      </c>
      <c r="E9" s="4"/>
      <c r="F9" s="5"/>
      <c r="G9" s="4"/>
      <c r="H9" s="30" t="s">
        <v>37</v>
      </c>
      <c r="I9" s="4"/>
      <c r="J9" s="4"/>
      <c r="K9" s="4"/>
    </row>
    <row r="10" spans="1:12">
      <c r="A10" s="3"/>
      <c r="B10" s="4"/>
      <c r="C10" s="4"/>
      <c r="D10" s="19" t="s">
        <v>25</v>
      </c>
      <c r="E10" s="19" t="s">
        <v>0</v>
      </c>
      <c r="F10" s="19" t="s">
        <v>5</v>
      </c>
      <c r="G10" s="19" t="s">
        <v>1</v>
      </c>
      <c r="H10" s="19" t="s">
        <v>2</v>
      </c>
      <c r="I10" s="4"/>
      <c r="J10" s="4"/>
      <c r="K10" s="4"/>
      <c r="L10" s="96"/>
    </row>
    <row r="11" spans="1:12">
      <c r="A11" s="3"/>
      <c r="B11" s="4"/>
      <c r="C11" s="4"/>
      <c r="D11" s="20" t="s">
        <v>0</v>
      </c>
      <c r="E11" s="20" t="s">
        <v>3</v>
      </c>
      <c r="F11" s="20" t="s">
        <v>24</v>
      </c>
      <c r="G11" s="20" t="s">
        <v>4</v>
      </c>
      <c r="H11" s="21" t="s">
        <v>5</v>
      </c>
      <c r="I11" s="4"/>
      <c r="J11" s="4"/>
      <c r="K11" s="4"/>
      <c r="L11" s="96"/>
    </row>
    <row r="12" spans="1:12">
      <c r="B12" s="4"/>
      <c r="C12" s="4"/>
      <c r="D12" s="4"/>
      <c r="E12" s="4"/>
      <c r="F12" s="4"/>
      <c r="G12" s="4"/>
      <c r="H12" s="4"/>
      <c r="I12" s="4"/>
      <c r="J12" s="4"/>
      <c r="K12" s="4"/>
      <c r="L12" s="96"/>
    </row>
    <row r="13" spans="1:12">
      <c r="B13" s="4" t="s">
        <v>7</v>
      </c>
      <c r="C13" s="4"/>
      <c r="D13" s="28">
        <v>421.15199999999999</v>
      </c>
      <c r="E13" s="47">
        <f>D13/D16</f>
        <v>0.39607454047013346</v>
      </c>
      <c r="F13" s="47">
        <v>4.87E-2</v>
      </c>
      <c r="G13" s="47">
        <f>E13*F13</f>
        <v>1.9288830120895498E-2</v>
      </c>
      <c r="H13" s="33">
        <f>+G13*1/(1-(0.00072+0.00065))</f>
        <v>1.9315292071032813E-2</v>
      </c>
      <c r="I13" s="12" t="s">
        <v>45</v>
      </c>
      <c r="J13" s="55"/>
      <c r="K13" s="4"/>
      <c r="L13" s="96"/>
    </row>
    <row r="14" spans="1:12">
      <c r="B14" s="4" t="s">
        <v>8</v>
      </c>
      <c r="C14" s="4"/>
      <c r="D14" s="50">
        <v>642.16300000000001</v>
      </c>
      <c r="E14" s="51">
        <f>D14/D16</f>
        <v>0.60392545952986643</v>
      </c>
      <c r="F14" s="51">
        <v>0.115</v>
      </c>
      <c r="G14" s="52">
        <f>E14*F14</f>
        <v>6.9451427845934638E-2</v>
      </c>
      <c r="H14" s="51">
        <f>+G14*1.63024</f>
        <v>0.11322249573155647</v>
      </c>
      <c r="I14" s="12" t="s">
        <v>26</v>
      </c>
      <c r="J14" s="4"/>
      <c r="K14" s="4"/>
      <c r="L14" s="96"/>
    </row>
    <row r="15" spans="1:12">
      <c r="B15" s="4"/>
      <c r="C15" s="4"/>
      <c r="D15" s="18"/>
      <c r="E15" s="4"/>
      <c r="F15" s="6"/>
      <c r="G15" s="6"/>
      <c r="H15" s="6"/>
      <c r="I15" s="4"/>
      <c r="J15" s="4"/>
      <c r="K15" s="4"/>
      <c r="L15" s="96"/>
    </row>
    <row r="16" spans="1:12" ht="13.5" thickBot="1">
      <c r="B16" s="7" t="s">
        <v>9</v>
      </c>
      <c r="C16" s="7"/>
      <c r="D16" s="23">
        <f>SUM(D13:D14)</f>
        <v>1063.3150000000001</v>
      </c>
      <c r="E16" s="24">
        <f>SUM(E13:E14)</f>
        <v>0.99999999999999989</v>
      </c>
      <c r="F16" s="24"/>
      <c r="G16" s="24">
        <f>SUM(G13:G14)</f>
        <v>8.8740257966830133E-2</v>
      </c>
      <c r="H16" s="24">
        <f>SUM(H13:H15)</f>
        <v>0.13253778780258929</v>
      </c>
      <c r="I16" s="4"/>
      <c r="J16" s="4"/>
      <c r="K16" s="4"/>
    </row>
    <row r="17" spans="1:14" ht="13.5" thickTop="1">
      <c r="B17" s="7"/>
      <c r="C17" s="7"/>
      <c r="D17" s="35"/>
      <c r="E17" s="36"/>
      <c r="F17" s="36"/>
      <c r="G17" s="36"/>
      <c r="H17" s="36"/>
      <c r="I17" s="4"/>
      <c r="J17" s="4"/>
      <c r="K17" s="4"/>
    </row>
    <row r="18" spans="1:14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>
      <c r="A20" s="67" t="s">
        <v>600</v>
      </c>
      <c r="B20" s="29"/>
      <c r="C20" s="29"/>
      <c r="D20" s="29"/>
      <c r="E20" s="29"/>
      <c r="F20" s="29"/>
      <c r="G20" s="68"/>
      <c r="H20" s="68"/>
      <c r="I20" s="29"/>
      <c r="J20" s="29"/>
      <c r="K20" s="29"/>
      <c r="L20" s="29"/>
      <c r="M20" s="29"/>
      <c r="N20" s="29"/>
    </row>
    <row r="21" spans="1:14">
      <c r="A21" s="67"/>
      <c r="B21" s="56" t="s">
        <v>351</v>
      </c>
      <c r="C21" s="29"/>
      <c r="D21" s="29"/>
      <c r="E21" s="29"/>
      <c r="F21" s="29"/>
      <c r="G21" s="68"/>
      <c r="H21" s="68"/>
      <c r="I21" s="29"/>
      <c r="J21" s="29"/>
      <c r="K21" s="29"/>
      <c r="L21" s="29"/>
      <c r="M21" s="29"/>
      <c r="N21" s="29"/>
    </row>
    <row r="22" spans="1:14">
      <c r="A22" s="69"/>
      <c r="B22" s="12"/>
      <c r="C22" s="40"/>
      <c r="D22" s="40"/>
      <c r="E22" s="12"/>
      <c r="F22" s="39"/>
      <c r="G22" s="12"/>
      <c r="H22" s="62" t="s">
        <v>37</v>
      </c>
      <c r="I22" s="29"/>
      <c r="J22" s="29"/>
      <c r="K22" s="29"/>
      <c r="L22" s="29"/>
      <c r="M22" s="29"/>
      <c r="N22" s="29"/>
    </row>
    <row r="23" spans="1:14">
      <c r="A23" s="69"/>
      <c r="B23" s="12"/>
      <c r="C23" s="40"/>
      <c r="D23" s="40"/>
      <c r="E23" s="40" t="s">
        <v>0</v>
      </c>
      <c r="F23" s="40" t="s">
        <v>5</v>
      </c>
      <c r="G23" s="40" t="s">
        <v>1</v>
      </c>
      <c r="H23" s="40" t="s">
        <v>2</v>
      </c>
      <c r="I23" s="29"/>
      <c r="J23" s="29"/>
      <c r="K23" s="29"/>
      <c r="L23" s="29"/>
      <c r="M23" s="29"/>
      <c r="N23" s="29"/>
    </row>
    <row r="24" spans="1:14">
      <c r="A24" s="69"/>
      <c r="B24" s="12"/>
      <c r="C24" s="40"/>
      <c r="D24" s="40"/>
      <c r="E24" s="60" t="s">
        <v>3</v>
      </c>
      <c r="F24" s="60" t="s">
        <v>24</v>
      </c>
      <c r="G24" s="60" t="s">
        <v>4</v>
      </c>
      <c r="H24" s="63" t="s">
        <v>5</v>
      </c>
      <c r="I24" s="29"/>
      <c r="J24" s="29"/>
      <c r="K24" s="29"/>
      <c r="L24" s="29"/>
      <c r="M24" s="29"/>
      <c r="N24" s="29"/>
    </row>
    <row r="25" spans="1:14">
      <c r="A25" s="69"/>
      <c r="B25" s="12"/>
      <c r="C25" s="41"/>
      <c r="D25" s="41"/>
      <c r="E25" s="12"/>
      <c r="F25" s="12"/>
      <c r="G25" s="12"/>
      <c r="H25" s="12"/>
      <c r="I25" s="29"/>
      <c r="J25" s="29"/>
      <c r="K25" s="29"/>
      <c r="L25" s="29"/>
      <c r="M25" s="29"/>
      <c r="N25" s="29"/>
    </row>
    <row r="26" spans="1:14">
      <c r="A26" s="69"/>
      <c r="B26" s="12" t="s">
        <v>7</v>
      </c>
      <c r="C26" s="44"/>
      <c r="D26" s="43"/>
      <c r="E26" s="47">
        <f>E13</f>
        <v>0.39607454047013346</v>
      </c>
      <c r="F26" s="47">
        <f>'Exh. LK-29'!H111</f>
        <v>4.53E-2</v>
      </c>
      <c r="G26" s="47">
        <f>E26*F26</f>
        <v>1.7942176683297045E-2</v>
      </c>
      <c r="H26" s="33">
        <f>+G26*1/(1-(0.00072+0.00065))</f>
        <v>1.7966791187223542E-2</v>
      </c>
      <c r="I26" s="47"/>
      <c r="J26" s="29"/>
      <c r="K26" s="29"/>
      <c r="L26" s="29"/>
      <c r="M26" s="29"/>
      <c r="N26" s="12"/>
    </row>
    <row r="27" spans="1:14">
      <c r="A27" s="69"/>
      <c r="B27" s="12" t="s">
        <v>8</v>
      </c>
      <c r="C27" s="44"/>
      <c r="D27" s="43"/>
      <c r="E27" s="51">
        <f>E14</f>
        <v>0.60392545952986643</v>
      </c>
      <c r="F27" s="51">
        <v>0.115</v>
      </c>
      <c r="G27" s="52">
        <f>E27*F27</f>
        <v>6.9451427845934638E-2</v>
      </c>
      <c r="H27" s="51">
        <f>+G27*1.63024</f>
        <v>0.11322249573155647</v>
      </c>
      <c r="I27" s="48"/>
      <c r="J27" s="29"/>
      <c r="K27" s="29"/>
      <c r="L27" s="29"/>
      <c r="M27" s="29"/>
      <c r="N27" s="29"/>
    </row>
    <row r="28" spans="1:14">
      <c r="A28" s="69"/>
      <c r="B28" s="12"/>
      <c r="C28" s="41"/>
      <c r="D28" s="86"/>
      <c r="E28" s="12"/>
      <c r="F28" s="33"/>
      <c r="G28" s="33"/>
      <c r="H28" s="33"/>
      <c r="I28" s="29"/>
      <c r="J28" s="29"/>
      <c r="K28" s="29"/>
      <c r="L28" s="29"/>
      <c r="M28" s="29"/>
      <c r="N28" s="29"/>
    </row>
    <row r="29" spans="1:14" ht="13.5" thickBot="1">
      <c r="A29" s="69"/>
      <c r="B29" s="75" t="s">
        <v>9</v>
      </c>
      <c r="C29" s="87"/>
      <c r="D29" s="43"/>
      <c r="E29" s="64">
        <f>SUM(E26:E27)</f>
        <v>0.99999999999999989</v>
      </c>
      <c r="F29" s="64"/>
      <c r="G29" s="64">
        <f>SUM(G26:G27)</f>
        <v>8.7393604529231686E-2</v>
      </c>
      <c r="H29" s="64">
        <f>SUM(H26:H28)</f>
        <v>0.13118928691878001</v>
      </c>
      <c r="I29" s="29"/>
      <c r="J29" s="29"/>
      <c r="K29" s="29"/>
      <c r="L29" s="29"/>
      <c r="M29" s="29"/>
      <c r="N29" s="29"/>
    </row>
    <row r="30" spans="1:14" ht="13.5" thickTop="1">
      <c r="A30" s="29"/>
      <c r="B30" s="75"/>
      <c r="C30" s="75"/>
      <c r="D30" s="12"/>
      <c r="E30" s="33"/>
      <c r="F30" s="33"/>
      <c r="G30" s="33"/>
      <c r="H30" s="33"/>
      <c r="I30" s="29"/>
      <c r="J30" s="29"/>
      <c r="K30" s="29"/>
      <c r="L30" s="29"/>
      <c r="M30" s="29"/>
      <c r="N30" s="29"/>
    </row>
    <row r="31" spans="1:14">
      <c r="A31" s="29"/>
      <c r="B31" s="38" t="s">
        <v>13</v>
      </c>
      <c r="C31" s="38"/>
      <c r="D31" s="12"/>
      <c r="E31" s="33"/>
      <c r="F31" s="33"/>
      <c r="G31" s="33"/>
      <c r="H31" s="33">
        <f>H29-H16</f>
        <v>-1.3485008838092782E-3</v>
      </c>
      <c r="I31" s="29"/>
      <c r="J31" s="29"/>
      <c r="K31" s="29"/>
      <c r="L31" s="29"/>
      <c r="M31" s="29"/>
      <c r="N31" s="29"/>
    </row>
    <row r="32" spans="1:14">
      <c r="A32" s="69"/>
      <c r="B32" s="12" t="s">
        <v>75</v>
      </c>
      <c r="C32" s="29"/>
      <c r="D32" s="29"/>
      <c r="E32" s="29"/>
      <c r="F32" s="29"/>
      <c r="G32" s="68"/>
      <c r="H32" s="65">
        <f>'Exh. LK-35'!D17</f>
        <v>988.19407922869402</v>
      </c>
      <c r="I32" s="29"/>
      <c r="J32" s="29"/>
      <c r="K32" s="29"/>
      <c r="L32" s="29"/>
      <c r="M32" s="29"/>
      <c r="N32" s="29"/>
    </row>
    <row r="33" spans="1:14">
      <c r="A33" s="78"/>
      <c r="B33" s="12"/>
      <c r="C33" s="12"/>
      <c r="D33" s="12"/>
      <c r="E33" s="12"/>
      <c r="F33" s="39"/>
      <c r="G33" s="33"/>
      <c r="H33" s="33"/>
      <c r="I33" s="29"/>
      <c r="J33" s="29"/>
      <c r="K33" s="29"/>
      <c r="L33" s="29"/>
      <c r="M33" s="29"/>
      <c r="N33" s="29"/>
    </row>
    <row r="34" spans="1:14" ht="13.5" thickBot="1">
      <c r="A34" s="78"/>
      <c r="B34" s="12" t="s">
        <v>14</v>
      </c>
      <c r="C34" s="12"/>
      <c r="D34" s="12"/>
      <c r="E34" s="39"/>
      <c r="F34" s="39"/>
      <c r="G34" s="79"/>
      <c r="H34" s="80">
        <f>H32*H31</f>
        <v>-1.3325805892149898</v>
      </c>
      <c r="I34" s="29"/>
      <c r="J34" s="29"/>
      <c r="K34" s="29"/>
      <c r="L34" s="29"/>
      <c r="M34" s="29"/>
      <c r="N34" s="29"/>
    </row>
    <row r="35" spans="1:14" ht="13.5" thickTop="1">
      <c r="A35" s="78"/>
      <c r="B35" s="12"/>
      <c r="C35" s="12"/>
      <c r="D35" s="12"/>
      <c r="E35" s="39"/>
      <c r="F35" s="39"/>
      <c r="G35" s="79"/>
      <c r="H35" s="59"/>
      <c r="I35" s="29"/>
      <c r="J35" s="29"/>
      <c r="K35" s="29"/>
      <c r="L35" s="29"/>
      <c r="M35" s="29"/>
      <c r="N35" s="29"/>
    </row>
    <row r="36" spans="1:14">
      <c r="A36" s="78"/>
      <c r="B36" s="12"/>
      <c r="C36" s="12"/>
      <c r="D36" s="12"/>
      <c r="E36" s="39"/>
      <c r="F36" s="39"/>
      <c r="G36" s="79"/>
      <c r="H36" s="59"/>
      <c r="I36" s="29"/>
      <c r="J36" s="29"/>
      <c r="K36" s="29"/>
      <c r="L36" s="29"/>
      <c r="M36" s="29"/>
      <c r="N36" s="29"/>
    </row>
    <row r="37" spans="1:14">
      <c r="A37" s="67" t="s">
        <v>350</v>
      </c>
      <c r="B37" s="29"/>
      <c r="C37" s="29"/>
      <c r="D37" s="29"/>
      <c r="E37" s="29"/>
      <c r="F37" s="29"/>
      <c r="G37" s="68"/>
      <c r="H37" s="68"/>
      <c r="I37" s="29"/>
      <c r="J37" s="29"/>
      <c r="K37" s="29"/>
      <c r="L37" s="29"/>
      <c r="M37" s="29"/>
      <c r="N37" s="29"/>
    </row>
    <row r="38" spans="1:14">
      <c r="A38" s="69"/>
      <c r="B38" s="12"/>
      <c r="C38" s="40"/>
      <c r="D38" s="40"/>
      <c r="E38" s="12"/>
      <c r="F38" s="39"/>
      <c r="G38" s="12"/>
      <c r="H38" s="62" t="s">
        <v>37</v>
      </c>
      <c r="I38" s="29"/>
      <c r="J38" s="29"/>
      <c r="K38" s="29"/>
      <c r="L38" s="29"/>
      <c r="M38" s="29"/>
      <c r="N38" s="29"/>
    </row>
    <row r="39" spans="1:14">
      <c r="A39" s="69"/>
      <c r="B39" s="12"/>
      <c r="C39" s="40"/>
      <c r="D39" s="40"/>
      <c r="E39" s="40" t="s">
        <v>0</v>
      </c>
      <c r="F39" s="40" t="s">
        <v>5</v>
      </c>
      <c r="G39" s="40" t="s">
        <v>1</v>
      </c>
      <c r="H39" s="40" t="s">
        <v>2</v>
      </c>
      <c r="I39" s="29"/>
      <c r="J39" s="29"/>
      <c r="K39" s="29"/>
      <c r="L39" s="29"/>
      <c r="M39" s="29"/>
      <c r="N39" s="29"/>
    </row>
    <row r="40" spans="1:14">
      <c r="A40" s="69"/>
      <c r="B40" s="12"/>
      <c r="C40" s="40"/>
      <c r="D40" s="40"/>
      <c r="E40" s="60" t="s">
        <v>3</v>
      </c>
      <c r="F40" s="60" t="s">
        <v>24</v>
      </c>
      <c r="G40" s="60" t="s">
        <v>4</v>
      </c>
      <c r="H40" s="63" t="s">
        <v>5</v>
      </c>
      <c r="I40" s="29"/>
      <c r="J40" s="29"/>
      <c r="K40" s="29"/>
      <c r="L40" s="29"/>
      <c r="M40" s="29"/>
      <c r="N40" s="29"/>
    </row>
    <row r="41" spans="1:14">
      <c r="A41" s="69"/>
      <c r="B41" s="12"/>
      <c r="C41" s="41"/>
      <c r="D41" s="41"/>
      <c r="E41" s="12"/>
      <c r="F41" s="12"/>
      <c r="G41" s="12"/>
      <c r="H41" s="12"/>
      <c r="I41" s="29"/>
      <c r="J41" s="29"/>
      <c r="K41" s="29"/>
      <c r="L41" s="29"/>
      <c r="M41" s="29"/>
      <c r="N41" s="29"/>
    </row>
    <row r="42" spans="1:14">
      <c r="A42" s="69"/>
      <c r="B42" s="12" t="s">
        <v>7</v>
      </c>
      <c r="C42" s="44"/>
      <c r="D42" s="43"/>
      <c r="E42" s="47">
        <f>E26</f>
        <v>0.39607454047013346</v>
      </c>
      <c r="F42" s="47">
        <f>F26</f>
        <v>4.53E-2</v>
      </c>
      <c r="G42" s="47">
        <f>E42*F42</f>
        <v>1.7942176683297045E-2</v>
      </c>
      <c r="H42" s="33">
        <f>+G42*1/(1-(0.00072+0.00065))</f>
        <v>1.7966791187223542E-2</v>
      </c>
      <c r="I42" s="29"/>
      <c r="J42" s="29"/>
      <c r="K42" s="29"/>
      <c r="L42" s="29"/>
      <c r="M42" s="29"/>
      <c r="N42" s="29"/>
    </row>
    <row r="43" spans="1:14">
      <c r="A43" s="69"/>
      <c r="B43" s="12" t="s">
        <v>8</v>
      </c>
      <c r="C43" s="44"/>
      <c r="D43" s="43"/>
      <c r="E43" s="51">
        <f>E27</f>
        <v>0.60392545952986643</v>
      </c>
      <c r="F43" s="51">
        <v>0.11</v>
      </c>
      <c r="G43" s="52">
        <f>E43*F43</f>
        <v>6.6431800548285305E-2</v>
      </c>
      <c r="H43" s="51">
        <f>+G43*1.63024</f>
        <v>0.10829977852583662</v>
      </c>
      <c r="I43" s="29"/>
      <c r="J43" s="29"/>
      <c r="K43" s="29"/>
      <c r="L43" s="29"/>
      <c r="M43" s="29"/>
      <c r="N43" s="29"/>
    </row>
    <row r="44" spans="1:14">
      <c r="A44" s="69"/>
      <c r="B44" s="12"/>
      <c r="C44" s="41"/>
      <c r="D44" s="86"/>
      <c r="E44" s="12"/>
      <c r="F44" s="33"/>
      <c r="G44" s="33"/>
      <c r="H44" s="33"/>
      <c r="I44" s="29"/>
      <c r="J44" s="29"/>
      <c r="K44" s="29"/>
      <c r="L44" s="29"/>
      <c r="M44" s="29"/>
      <c r="N44" s="29"/>
    </row>
    <row r="45" spans="1:14" ht="13.5" thickBot="1">
      <c r="A45" s="69"/>
      <c r="B45" s="75" t="s">
        <v>9</v>
      </c>
      <c r="C45" s="87"/>
      <c r="D45" s="43"/>
      <c r="E45" s="64">
        <f>SUM(E42:E43)</f>
        <v>0.99999999999999989</v>
      </c>
      <c r="F45" s="64"/>
      <c r="G45" s="64">
        <f>SUM(G42:G43)</f>
        <v>8.4373977231582353E-2</v>
      </c>
      <c r="H45" s="64">
        <f>SUM(H42:H44)</f>
        <v>0.12626656971306016</v>
      </c>
    </row>
    <row r="46" spans="1:14" ht="13.5" thickTop="1">
      <c r="A46" s="29"/>
      <c r="B46" s="75"/>
      <c r="C46" s="75"/>
      <c r="D46" s="12"/>
      <c r="E46" s="33"/>
      <c r="F46" s="33"/>
      <c r="G46" s="33"/>
      <c r="H46" s="33"/>
    </row>
    <row r="47" spans="1:14">
      <c r="A47" s="29"/>
      <c r="B47" s="38" t="s">
        <v>13</v>
      </c>
      <c r="C47" s="38"/>
      <c r="D47" s="12"/>
      <c r="E47" s="33"/>
      <c r="F47" s="33"/>
      <c r="G47" s="33"/>
      <c r="H47" s="33">
        <f>H45-H29</f>
        <v>-4.9227172057198509E-3</v>
      </c>
    </row>
    <row r="48" spans="1:14">
      <c r="A48" s="69"/>
      <c r="B48" s="29" t="s">
        <v>12</v>
      </c>
      <c r="C48" s="29"/>
      <c r="D48" s="29"/>
      <c r="E48" s="29"/>
      <c r="F48" s="29"/>
      <c r="G48" s="68"/>
      <c r="H48" s="65">
        <f>'Exh. LK-35'!D17</f>
        <v>988.19407922869402</v>
      </c>
    </row>
    <row r="49" spans="1:8">
      <c r="A49" s="78"/>
      <c r="B49" s="12"/>
      <c r="C49" s="12"/>
      <c r="D49" s="12"/>
      <c r="E49" s="12"/>
      <c r="F49" s="39"/>
      <c r="G49" s="33"/>
      <c r="H49" s="33"/>
    </row>
    <row r="50" spans="1:8" ht="13.5" thickBot="1">
      <c r="A50" s="78"/>
      <c r="B50" s="12" t="s">
        <v>14</v>
      </c>
      <c r="C50" s="12"/>
      <c r="D50" s="12"/>
      <c r="E50" s="39"/>
      <c r="F50" s="39"/>
      <c r="G50" s="79"/>
      <c r="H50" s="80">
        <f>H48*H47</f>
        <v>-4.8645999964095772</v>
      </c>
    </row>
    <row r="51" spans="1:8" ht="13.5" thickTop="1">
      <c r="A51" s="78"/>
      <c r="B51" s="12"/>
      <c r="C51" s="12"/>
      <c r="D51" s="12"/>
      <c r="E51" s="39"/>
      <c r="F51" s="39"/>
      <c r="G51" s="79"/>
      <c r="H51" s="59"/>
    </row>
    <row r="52" spans="1:8">
      <c r="A52" s="78"/>
      <c r="B52" s="12"/>
      <c r="C52" s="12"/>
      <c r="D52" s="12"/>
      <c r="E52" s="39"/>
      <c r="F52" s="39"/>
      <c r="G52" s="79"/>
      <c r="H52" s="59"/>
    </row>
    <row r="53" spans="1:8">
      <c r="A53" s="78"/>
      <c r="B53" s="12"/>
      <c r="C53" s="12"/>
      <c r="D53" s="12"/>
      <c r="E53" s="39"/>
      <c r="F53" s="39"/>
      <c r="G53" s="79"/>
      <c r="H53" s="59"/>
    </row>
    <row r="54" spans="1:8">
      <c r="A54" s="78"/>
      <c r="B54" s="12"/>
      <c r="C54" s="12"/>
      <c r="D54" s="12"/>
      <c r="E54" s="39"/>
      <c r="F54" s="39"/>
      <c r="G54" s="79"/>
      <c r="H54" s="59"/>
    </row>
    <row r="55" spans="1:8">
      <c r="A55" s="78"/>
      <c r="B55" s="12"/>
      <c r="C55" s="12"/>
      <c r="D55" s="12"/>
      <c r="E55" s="39"/>
      <c r="F55" s="39"/>
      <c r="G55" s="79"/>
      <c r="H55" s="59"/>
    </row>
    <row r="56" spans="1:8">
      <c r="A56" s="78"/>
      <c r="B56" s="12"/>
      <c r="C56" s="12"/>
      <c r="D56" s="12"/>
      <c r="E56" s="39"/>
      <c r="F56" s="39"/>
      <c r="G56" s="79"/>
      <c r="H56" s="59"/>
    </row>
    <row r="57" spans="1:8">
      <c r="A57" s="78"/>
      <c r="B57" s="12"/>
      <c r="C57" s="12"/>
      <c r="D57" s="12"/>
      <c r="E57" s="39"/>
      <c r="F57" s="39"/>
      <c r="G57" s="79"/>
      <c r="H57" s="59"/>
    </row>
    <row r="58" spans="1:8">
      <c r="A58" s="78"/>
      <c r="B58" s="12"/>
      <c r="C58" s="12"/>
      <c r="D58" s="12"/>
      <c r="E58" s="39"/>
      <c r="F58" s="39"/>
      <c r="G58" s="79"/>
      <c r="H58" s="59"/>
    </row>
    <row r="59" spans="1:8">
      <c r="A59" s="67" t="s">
        <v>352</v>
      </c>
      <c r="B59" s="29"/>
      <c r="C59" s="29"/>
      <c r="D59" s="29"/>
      <c r="E59" s="29"/>
      <c r="F59" s="29"/>
      <c r="G59" s="68"/>
      <c r="H59" s="68"/>
    </row>
    <row r="60" spans="1:8">
      <c r="A60" s="69"/>
      <c r="B60" s="12"/>
      <c r="C60" s="40"/>
      <c r="D60" s="40"/>
      <c r="E60" s="12"/>
      <c r="F60" s="39"/>
      <c r="G60" s="12"/>
      <c r="H60" s="62" t="s">
        <v>37</v>
      </c>
    </row>
    <row r="61" spans="1:8">
      <c r="A61" s="69"/>
      <c r="B61" s="12"/>
      <c r="C61" s="40"/>
      <c r="D61" s="40"/>
      <c r="E61" s="40" t="s">
        <v>0</v>
      </c>
      <c r="F61" s="40" t="s">
        <v>5</v>
      </c>
      <c r="G61" s="40" t="s">
        <v>1</v>
      </c>
      <c r="H61" s="40" t="s">
        <v>2</v>
      </c>
    </row>
    <row r="62" spans="1:8">
      <c r="A62" s="69"/>
      <c r="B62" s="12"/>
      <c r="C62" s="40"/>
      <c r="D62" s="40"/>
      <c r="E62" s="60" t="s">
        <v>3</v>
      </c>
      <c r="F62" s="60" t="s">
        <v>24</v>
      </c>
      <c r="G62" s="60" t="s">
        <v>4</v>
      </c>
      <c r="H62" s="63" t="s">
        <v>5</v>
      </c>
    </row>
    <row r="63" spans="1:8">
      <c r="A63" s="69"/>
      <c r="B63" s="12"/>
      <c r="C63" s="41"/>
      <c r="D63" s="41"/>
      <c r="E63" s="12"/>
      <c r="F63" s="12"/>
      <c r="G63" s="12"/>
      <c r="H63" s="12"/>
    </row>
    <row r="64" spans="1:8">
      <c r="A64" s="69"/>
      <c r="B64" s="12" t="s">
        <v>7</v>
      </c>
      <c r="C64" s="44"/>
      <c r="D64" s="43"/>
      <c r="E64" s="47">
        <f>E26</f>
        <v>0.39607454047013346</v>
      </c>
      <c r="F64" s="47">
        <f>F26</f>
        <v>4.53E-2</v>
      </c>
      <c r="G64" s="47">
        <f>E64*F64</f>
        <v>1.7942176683297045E-2</v>
      </c>
      <c r="H64" s="33">
        <f>+G64*1/(1-(0.00072+0.00065))</f>
        <v>1.7966791187223542E-2</v>
      </c>
    </row>
    <row r="65" spans="1:8">
      <c r="A65" s="69"/>
      <c r="B65" s="12" t="s">
        <v>8</v>
      </c>
      <c r="C65" s="44"/>
      <c r="D65" s="43"/>
      <c r="E65" s="51">
        <f>E27</f>
        <v>0.60392545952986643</v>
      </c>
      <c r="F65" s="51">
        <v>0.09</v>
      </c>
      <c r="G65" s="52">
        <f>E65*F65</f>
        <v>5.4353291357687974E-2</v>
      </c>
      <c r="H65" s="51">
        <f>+G65*1.63024</f>
        <v>8.8608909702957234E-2</v>
      </c>
    </row>
    <row r="66" spans="1:8">
      <c r="A66" s="69"/>
      <c r="B66" s="12"/>
      <c r="C66" s="41"/>
      <c r="D66" s="86"/>
      <c r="E66" s="12"/>
      <c r="F66" s="33"/>
      <c r="G66" s="33"/>
      <c r="H66" s="33"/>
    </row>
    <row r="67" spans="1:8" ht="13.5" thickBot="1">
      <c r="A67" s="69"/>
      <c r="B67" s="75" t="s">
        <v>9</v>
      </c>
      <c r="C67" s="87"/>
      <c r="D67" s="43"/>
      <c r="E67" s="64">
        <f>SUM(E64:E65)</f>
        <v>0.99999999999999989</v>
      </c>
      <c r="F67" s="64"/>
      <c r="G67" s="64">
        <f>SUM(G64:G65)</f>
        <v>7.2295468040985023E-2</v>
      </c>
      <c r="H67" s="64">
        <f>SUM(H64:H66)</f>
        <v>0.10657570089018077</v>
      </c>
    </row>
    <row r="68" spans="1:8" ht="13.5" thickTop="1">
      <c r="A68" s="29"/>
      <c r="B68" s="75"/>
      <c r="C68" s="75"/>
      <c r="D68" s="12"/>
      <c r="E68" s="33"/>
      <c r="F68" s="33"/>
      <c r="G68" s="33"/>
      <c r="H68" s="33"/>
    </row>
    <row r="69" spans="1:8">
      <c r="A69" s="29"/>
      <c r="B69" s="38" t="s">
        <v>13</v>
      </c>
      <c r="C69" s="38"/>
      <c r="D69" s="12"/>
      <c r="E69" s="33"/>
      <c r="F69" s="33"/>
      <c r="G69" s="33"/>
      <c r="H69" s="33">
        <f>H67-H45</f>
        <v>-1.969086882287939E-2</v>
      </c>
    </row>
    <row r="70" spans="1:8">
      <c r="A70" s="69"/>
      <c r="B70" s="29" t="s">
        <v>12</v>
      </c>
      <c r="C70" s="29"/>
      <c r="D70" s="29"/>
      <c r="E70" s="29"/>
      <c r="F70" s="29"/>
      <c r="G70" s="68"/>
      <c r="H70" s="65">
        <f>'Exh. LK-35'!D17</f>
        <v>988.19407922869402</v>
      </c>
    </row>
    <row r="71" spans="1:8">
      <c r="A71" s="78"/>
      <c r="B71" s="12"/>
      <c r="C71" s="12"/>
      <c r="D71" s="12"/>
      <c r="E71" s="12"/>
      <c r="F71" s="39"/>
      <c r="G71" s="33"/>
      <c r="H71" s="33"/>
    </row>
    <row r="72" spans="1:8" ht="13.5" thickBot="1">
      <c r="A72" s="78"/>
      <c r="B72" s="12" t="s">
        <v>14</v>
      </c>
      <c r="C72" s="12"/>
      <c r="D72" s="12"/>
      <c r="E72" s="39"/>
      <c r="F72" s="39"/>
      <c r="G72" s="79"/>
      <c r="H72" s="80">
        <f>H70*H69</f>
        <v>-19.458399985638298</v>
      </c>
    </row>
    <row r="73" spans="1:8" ht="14.25" thickTop="1" thickBot="1">
      <c r="A73" s="29"/>
      <c r="B73" s="29"/>
      <c r="C73" s="29"/>
      <c r="D73" s="91" t="s">
        <v>73</v>
      </c>
      <c r="E73" s="39"/>
      <c r="F73" s="92">
        <f>H72/2</f>
        <v>-9.729199992819149</v>
      </c>
      <c r="G73" s="29"/>
      <c r="H73" s="29"/>
    </row>
    <row r="74" spans="1:8" ht="13.5" thickTop="1">
      <c r="A74" s="29"/>
      <c r="B74" s="29"/>
      <c r="C74" s="29"/>
      <c r="D74" s="91"/>
      <c r="E74" s="39"/>
      <c r="F74" s="93"/>
      <c r="G74" s="29"/>
      <c r="H74" s="29"/>
    </row>
    <row r="75" spans="1:8">
      <c r="A75" s="29"/>
      <c r="B75" s="29"/>
      <c r="C75" s="29"/>
      <c r="D75" s="91"/>
      <c r="E75" s="39"/>
      <c r="F75" s="93"/>
      <c r="G75" s="29"/>
      <c r="H75" s="29"/>
    </row>
    <row r="76" spans="1:8">
      <c r="A76" s="67" t="s">
        <v>577</v>
      </c>
      <c r="B76" s="29"/>
      <c r="C76" s="29"/>
      <c r="D76" s="29"/>
      <c r="E76" s="29"/>
      <c r="F76" s="29"/>
      <c r="G76" s="68"/>
      <c r="H76" s="68"/>
    </row>
    <row r="77" spans="1:8">
      <c r="A77" s="67"/>
      <c r="B77" s="56" t="s">
        <v>353</v>
      </c>
      <c r="C77" s="29"/>
      <c r="D77" s="29"/>
      <c r="E77" s="29"/>
      <c r="F77" s="29"/>
      <c r="G77" s="68"/>
      <c r="H77" s="68"/>
    </row>
    <row r="78" spans="1:8">
      <c r="A78" s="69"/>
      <c r="B78" s="12"/>
      <c r="C78" s="40"/>
      <c r="D78" s="40"/>
      <c r="E78" s="12"/>
      <c r="F78" s="39"/>
      <c r="G78" s="12"/>
      <c r="H78" s="62" t="s">
        <v>37</v>
      </c>
    </row>
    <row r="79" spans="1:8">
      <c r="A79" s="69"/>
      <c r="B79" s="12"/>
      <c r="C79" s="40"/>
      <c r="D79" s="40"/>
      <c r="E79" s="40" t="s">
        <v>0</v>
      </c>
      <c r="F79" s="40" t="s">
        <v>5</v>
      </c>
      <c r="G79" s="40" t="s">
        <v>1</v>
      </c>
      <c r="H79" s="40" t="s">
        <v>2</v>
      </c>
    </row>
    <row r="80" spans="1:8">
      <c r="A80" s="69"/>
      <c r="B80" s="12"/>
      <c r="C80" s="40"/>
      <c r="D80" s="40"/>
      <c r="E80" s="60" t="s">
        <v>3</v>
      </c>
      <c r="F80" s="60" t="s">
        <v>24</v>
      </c>
      <c r="G80" s="60" t="s">
        <v>4</v>
      </c>
      <c r="H80" s="63" t="s">
        <v>5</v>
      </c>
    </row>
    <row r="81" spans="1:8">
      <c r="A81" s="69"/>
      <c r="B81" s="12"/>
      <c r="C81" s="41"/>
      <c r="D81" s="41"/>
      <c r="E81" s="12"/>
      <c r="F81" s="12"/>
      <c r="G81" s="12"/>
      <c r="H81" s="12"/>
    </row>
    <row r="82" spans="1:8">
      <c r="A82" s="69"/>
      <c r="B82" s="152" t="s">
        <v>6</v>
      </c>
      <c r="C82" s="41"/>
      <c r="D82" s="41"/>
      <c r="E82" s="366">
        <v>0.05</v>
      </c>
      <c r="F82" s="47">
        <v>5.5999999999999999E-3</v>
      </c>
      <c r="G82" s="47">
        <f>E82*F82</f>
        <v>2.8000000000000003E-4</v>
      </c>
      <c r="H82" s="33">
        <f>+G82*1/(1-(0.00072+0.00065))</f>
        <v>2.8038412625296658E-4</v>
      </c>
    </row>
    <row r="83" spans="1:8">
      <c r="A83" s="69"/>
      <c r="B83" s="12" t="s">
        <v>7</v>
      </c>
      <c r="C83" s="44"/>
      <c r="D83" s="43"/>
      <c r="E83" s="47">
        <v>0.4</v>
      </c>
      <c r="F83" s="47">
        <f>F64</f>
        <v>4.53E-2</v>
      </c>
      <c r="G83" s="47">
        <f>E83*F83</f>
        <v>1.8120000000000001E-2</v>
      </c>
      <c r="H83" s="33">
        <f>+G83*1/(1-(0.00072+0.00065))</f>
        <v>1.8144858456084836E-2</v>
      </c>
    </row>
    <row r="84" spans="1:8">
      <c r="A84" s="69"/>
      <c r="B84" s="12" t="s">
        <v>8</v>
      </c>
      <c r="C84" s="44"/>
      <c r="D84" s="43"/>
      <c r="E84" s="51">
        <v>0.55000000000000004</v>
      </c>
      <c r="F84" s="51">
        <f>F65</f>
        <v>0.09</v>
      </c>
      <c r="G84" s="52">
        <f>E84*F84</f>
        <v>4.9500000000000002E-2</v>
      </c>
      <c r="H84" s="51">
        <f>+G84*1.63024</f>
        <v>8.0696879999999999E-2</v>
      </c>
    </row>
    <row r="85" spans="1:8">
      <c r="A85" s="69"/>
      <c r="B85" s="12"/>
      <c r="C85" s="41"/>
      <c r="D85" s="86"/>
      <c r="E85" s="12"/>
      <c r="F85" s="33"/>
      <c r="G85" s="33"/>
      <c r="H85" s="33"/>
    </row>
    <row r="86" spans="1:8" ht="13.5" thickBot="1">
      <c r="A86" s="69"/>
      <c r="B86" s="75" t="s">
        <v>9</v>
      </c>
      <c r="C86" s="87"/>
      <c r="D86" s="43"/>
      <c r="E86" s="64">
        <f>SUM(E82:E84)</f>
        <v>1</v>
      </c>
      <c r="F86" s="64"/>
      <c r="G86" s="64">
        <f>SUM(G82:G84)</f>
        <v>6.7900000000000002E-2</v>
      </c>
      <c r="H86" s="64">
        <f>SUM(H82:H85)</f>
        <v>9.9122122582337796E-2</v>
      </c>
    </row>
    <row r="87" spans="1:8" ht="13.5" thickTop="1">
      <c r="A87" s="29"/>
      <c r="B87" s="75"/>
      <c r="C87" s="75"/>
      <c r="D87" s="12"/>
      <c r="E87" s="33"/>
      <c r="F87" s="33"/>
      <c r="G87" s="33"/>
      <c r="H87" s="33"/>
    </row>
    <row r="88" spans="1:8">
      <c r="A88" s="29"/>
      <c r="B88" s="38" t="s">
        <v>13</v>
      </c>
      <c r="C88" s="38"/>
      <c r="D88" s="12"/>
      <c r="E88" s="33"/>
      <c r="F88" s="33"/>
      <c r="G88" s="33"/>
      <c r="H88" s="33">
        <f>H86-H67</f>
        <v>-7.4535783078429757E-3</v>
      </c>
    </row>
    <row r="89" spans="1:8">
      <c r="A89" s="69"/>
      <c r="B89" s="12" t="s">
        <v>75</v>
      </c>
      <c r="C89" s="29"/>
      <c r="D89" s="29"/>
      <c r="E89" s="29"/>
      <c r="F89" s="29"/>
      <c r="G89" s="68"/>
      <c r="H89" s="65">
        <f>'Exh. LK-35'!D17</f>
        <v>988.19407922869402</v>
      </c>
    </row>
    <row r="90" spans="1:8">
      <c r="A90" s="78"/>
      <c r="B90" s="12"/>
      <c r="C90" s="12"/>
      <c r="D90" s="12"/>
      <c r="E90" s="12"/>
      <c r="F90" s="39"/>
      <c r="G90" s="33"/>
      <c r="H90" s="33"/>
    </row>
    <row r="91" spans="1:8" ht="13.5" thickBot="1">
      <c r="A91" s="78"/>
      <c r="B91" s="12" t="s">
        <v>14</v>
      </c>
      <c r="C91" s="12"/>
      <c r="D91" s="12"/>
      <c r="E91" s="39"/>
      <c r="F91" s="39"/>
      <c r="G91" s="79"/>
      <c r="H91" s="80">
        <f>H89*H88</f>
        <v>-7.3655819528778563</v>
      </c>
    </row>
    <row r="92" spans="1:8" ht="13.5" thickTop="1">
      <c r="A92" s="29"/>
      <c r="B92" s="29"/>
      <c r="C92" s="29"/>
      <c r="D92" s="91"/>
      <c r="E92" s="39"/>
      <c r="F92" s="93"/>
      <c r="G92" s="29"/>
      <c r="H92" s="29"/>
    </row>
    <row r="93" spans="1:8">
      <c r="A93" s="29"/>
      <c r="B93" s="29"/>
      <c r="C93" s="29"/>
      <c r="D93" s="91"/>
      <c r="E93" s="39"/>
      <c r="F93" s="93"/>
      <c r="G93" s="29"/>
      <c r="H93" s="29"/>
    </row>
    <row r="94" spans="1:8">
      <c r="A94" s="29"/>
      <c r="B94" s="29"/>
      <c r="C94" s="29"/>
      <c r="D94" s="91"/>
      <c r="E94" s="39"/>
      <c r="F94" s="93"/>
      <c r="G94" s="29"/>
      <c r="H94" s="29"/>
    </row>
    <row r="95" spans="1:8">
      <c r="A95" s="29"/>
      <c r="B95" s="29"/>
      <c r="C95" s="29"/>
      <c r="D95" s="91"/>
      <c r="E95" s="39"/>
      <c r="F95" s="93"/>
      <c r="G95" s="29"/>
      <c r="H95" s="29"/>
    </row>
    <row r="96" spans="1:8">
      <c r="A96" s="62" t="s">
        <v>37</v>
      </c>
      <c r="B96" s="219" t="s">
        <v>354</v>
      </c>
      <c r="C96" s="29"/>
      <c r="D96" s="29"/>
      <c r="E96" s="29"/>
      <c r="F96" s="29"/>
      <c r="G96" s="29"/>
      <c r="H96" s="29"/>
    </row>
    <row r="97" spans="1:8">
      <c r="A97" s="62"/>
      <c r="B97" s="219" t="s">
        <v>355</v>
      </c>
      <c r="C97" s="29"/>
      <c r="D97" s="29"/>
      <c r="E97" s="29"/>
      <c r="F97" s="29"/>
      <c r="G97" s="29"/>
      <c r="H97" s="29"/>
    </row>
    <row r="98" spans="1:8">
      <c r="A98" s="29"/>
      <c r="B98" s="83" t="s">
        <v>38</v>
      </c>
      <c r="C98" s="83"/>
      <c r="D98" s="29"/>
      <c r="E98" s="84">
        <v>0.35</v>
      </c>
      <c r="F98" s="29"/>
      <c r="G98" s="29"/>
      <c r="H98" s="29"/>
    </row>
    <row r="99" spans="1:8">
      <c r="A99" s="29"/>
      <c r="B99" s="83" t="s">
        <v>39</v>
      </c>
      <c r="C99" s="83"/>
      <c r="D99" s="29"/>
      <c r="E99" s="84">
        <v>5.5E-2</v>
      </c>
      <c r="F99" s="29"/>
      <c r="G99" s="29"/>
      <c r="H99" s="29"/>
    </row>
    <row r="100" spans="1:8">
      <c r="A100" s="29"/>
      <c r="B100" s="83" t="s">
        <v>40</v>
      </c>
      <c r="C100" s="83"/>
      <c r="D100" s="29"/>
      <c r="E100" s="84">
        <v>6.4999999999999997E-4</v>
      </c>
      <c r="F100" s="85"/>
      <c r="G100" s="29"/>
      <c r="H100" s="29"/>
    </row>
    <row r="101" spans="1:8">
      <c r="A101" s="29"/>
      <c r="B101" s="83" t="s">
        <v>41</v>
      </c>
      <c r="C101" s="83"/>
      <c r="D101" s="29"/>
      <c r="E101" s="84">
        <v>7.2000000000000005E-4</v>
      </c>
      <c r="F101" s="29"/>
      <c r="G101" s="29"/>
      <c r="H101" s="29"/>
    </row>
    <row r="102" spans="1:8">
      <c r="A102" s="29"/>
      <c r="B102" s="29"/>
      <c r="C102" s="29"/>
      <c r="D102" s="29"/>
      <c r="E102" s="29"/>
      <c r="F102" s="29"/>
      <c r="G102" s="29"/>
      <c r="H102" s="29"/>
    </row>
    <row r="103" spans="1:8">
      <c r="A103" s="29"/>
      <c r="B103" s="29"/>
      <c r="C103" s="29"/>
      <c r="D103" s="29"/>
      <c r="E103" s="29"/>
      <c r="F103" s="29"/>
      <c r="G103" s="29"/>
      <c r="H103" s="29"/>
    </row>
    <row r="104" spans="1:8">
      <c r="A104" s="29"/>
      <c r="B104" s="29"/>
      <c r="C104" s="29"/>
      <c r="D104" s="29"/>
      <c r="E104" s="29"/>
      <c r="F104" s="29"/>
      <c r="G104" s="29"/>
      <c r="H104" s="29"/>
    </row>
    <row r="105" spans="1:8">
      <c r="A105" s="29"/>
      <c r="B105" s="29"/>
      <c r="C105" s="29"/>
      <c r="D105" s="29"/>
      <c r="E105" s="29"/>
      <c r="F105" s="29"/>
      <c r="G105" s="29"/>
      <c r="H105" s="29"/>
    </row>
    <row r="106" spans="1:8">
      <c r="A106" s="29"/>
      <c r="B106" s="29"/>
      <c r="C106" s="29"/>
      <c r="D106" s="29"/>
      <c r="E106" s="29"/>
      <c r="F106" s="29"/>
      <c r="G106" s="29"/>
      <c r="H106" s="29"/>
    </row>
    <row r="107" spans="1:8">
      <c r="A107" s="29"/>
      <c r="B107" s="29"/>
      <c r="C107" s="29"/>
      <c r="D107" s="29"/>
      <c r="E107" s="29"/>
      <c r="F107" s="29"/>
      <c r="G107" s="29"/>
      <c r="H107" s="29"/>
    </row>
    <row r="108" spans="1:8">
      <c r="A108" s="29"/>
      <c r="B108" s="29"/>
      <c r="C108" s="29"/>
      <c r="D108" s="29"/>
      <c r="E108" s="29"/>
      <c r="F108" s="29"/>
      <c r="G108" s="29"/>
      <c r="H108" s="29"/>
    </row>
    <row r="109" spans="1:8">
      <c r="A109" s="29"/>
      <c r="B109" s="29"/>
      <c r="C109" s="29"/>
      <c r="D109" s="29"/>
      <c r="E109" s="29"/>
      <c r="F109" s="29"/>
      <c r="G109" s="29"/>
      <c r="H109" s="29"/>
    </row>
    <row r="110" spans="1:8">
      <c r="A110" s="29"/>
      <c r="B110" s="29"/>
      <c r="C110" s="29"/>
      <c r="D110" s="29"/>
      <c r="E110" s="29"/>
      <c r="F110" s="29"/>
      <c r="G110" s="29"/>
      <c r="H110" s="29"/>
    </row>
    <row r="111" spans="1:8">
      <c r="A111" s="29"/>
      <c r="B111" s="29"/>
      <c r="C111" s="29"/>
      <c r="D111" s="29"/>
      <c r="E111" s="29"/>
      <c r="F111" s="29"/>
      <c r="G111" s="29"/>
      <c r="H111" s="29"/>
    </row>
    <row r="112" spans="1:8">
      <c r="A112" s="29"/>
      <c r="B112" s="29"/>
      <c r="C112" s="29"/>
      <c r="D112" s="29"/>
      <c r="E112" s="29"/>
      <c r="F112" s="29"/>
      <c r="G112" s="29"/>
      <c r="H112" s="29"/>
    </row>
    <row r="113" spans="1:8">
      <c r="A113" s="29"/>
      <c r="B113" s="29"/>
      <c r="C113" s="29"/>
      <c r="D113" s="29"/>
      <c r="E113" s="29"/>
      <c r="F113" s="29"/>
      <c r="G113" s="29"/>
      <c r="H113" s="29"/>
    </row>
    <row r="114" spans="1:8">
      <c r="A114" s="29"/>
      <c r="B114" s="29"/>
      <c r="C114" s="29"/>
      <c r="D114" s="29"/>
      <c r="E114" s="29"/>
      <c r="F114" s="29"/>
      <c r="G114" s="29"/>
      <c r="H114" s="29"/>
    </row>
    <row r="115" spans="1:8">
      <c r="A115" s="29"/>
      <c r="B115" s="29"/>
      <c r="C115" s="29"/>
      <c r="D115" s="29"/>
      <c r="E115" s="29"/>
      <c r="F115" s="29"/>
      <c r="G115" s="29"/>
      <c r="H115" s="29"/>
    </row>
    <row r="116" spans="1:8">
      <c r="A116" s="29"/>
      <c r="B116" s="29"/>
      <c r="C116" s="29"/>
      <c r="D116" s="29"/>
      <c r="E116" s="29"/>
      <c r="F116" s="29"/>
      <c r="G116" s="29"/>
      <c r="H116" s="29"/>
    </row>
    <row r="117" spans="1:8">
      <c r="A117" s="29"/>
      <c r="B117" s="29"/>
      <c r="C117" s="29"/>
      <c r="D117" s="29"/>
      <c r="E117" s="29"/>
      <c r="F117" s="29"/>
      <c r="G117" s="29"/>
      <c r="H117" s="29"/>
    </row>
    <row r="118" spans="1:8">
      <c r="A118" s="29"/>
      <c r="B118" s="29"/>
      <c r="C118" s="29"/>
      <c r="D118" s="29"/>
      <c r="E118" s="29"/>
      <c r="F118" s="29"/>
      <c r="G118" s="29"/>
      <c r="H118" s="29"/>
    </row>
    <row r="119" spans="1:8">
      <c r="A119" s="29"/>
      <c r="B119" s="29"/>
      <c r="C119" s="29"/>
      <c r="D119" s="29"/>
      <c r="E119" s="29"/>
      <c r="F119" s="29"/>
      <c r="G119" s="29"/>
      <c r="H119" s="29"/>
    </row>
    <row r="120" spans="1:8">
      <c r="A120" s="29"/>
      <c r="B120" s="29"/>
      <c r="C120" s="29"/>
      <c r="D120" s="29"/>
      <c r="E120" s="29"/>
      <c r="F120" s="29"/>
      <c r="G120" s="29"/>
      <c r="H120" s="29"/>
    </row>
  </sheetData>
  <mergeCells count="5">
    <mergeCell ref="A1:H1"/>
    <mergeCell ref="A3:H3"/>
    <mergeCell ref="A4:H4"/>
    <mergeCell ref="A5:H5"/>
    <mergeCell ref="A2:H2"/>
  </mergeCells>
  <pageMargins left="0.39" right="0.25" top="1" bottom="1" header="0.5" footer="0.5"/>
  <pageSetup orientation="portrait" r:id="rId1"/>
  <headerFooter alignWithMargins="0">
    <oddHeader>&amp;R&amp;8Docket No. 160021-EI, &amp;"Arial,Italic"et al&amp;"Arial,Regular".
FPL POD No. 5
Attachment A
Page &amp;P of &amp;N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abSelected="1" view="pageLayout" zoomScaleNormal="100" workbookViewId="0">
      <selection activeCell="G9" sqref="G9"/>
    </sheetView>
  </sheetViews>
  <sheetFormatPr defaultRowHeight="12.75"/>
  <cols>
    <col min="1" max="1" width="9.140625" style="302"/>
    <col min="2" max="2" width="13.140625" style="302" customWidth="1"/>
    <col min="3" max="3" width="11.7109375" style="302" customWidth="1"/>
    <col min="4" max="4" width="12.5703125" style="302" customWidth="1"/>
    <col min="5" max="5" width="9.28515625" style="302" bestFit="1" customWidth="1"/>
    <col min="6" max="6" width="1.5703125" style="302" customWidth="1"/>
    <col min="7" max="7" width="13.140625" style="302" customWidth="1"/>
    <col min="8" max="8" width="1.42578125" style="302" customWidth="1"/>
    <col min="9" max="9" width="11.5703125" style="302" customWidth="1"/>
    <col min="10" max="10" width="1.28515625" style="302" customWidth="1"/>
    <col min="11" max="11" width="15" style="302" customWidth="1"/>
    <col min="12" max="12" width="2.140625" style="302" customWidth="1"/>
    <col min="13" max="13" width="13.7109375" style="302" customWidth="1"/>
    <col min="14" max="245" width="9.140625" style="302"/>
    <col min="246" max="246" width="11.7109375" style="302" customWidth="1"/>
    <col min="247" max="250" width="9.140625" style="302"/>
    <col min="251" max="251" width="15" style="302" customWidth="1"/>
    <col min="252" max="252" width="3.85546875" style="302" customWidth="1"/>
    <col min="253" max="253" width="13.7109375" style="302" customWidth="1"/>
    <col min="254" max="254" width="9.140625" style="302"/>
    <col min="255" max="255" width="10.7109375" style="302" bestFit="1" customWidth="1"/>
    <col min="256" max="501" width="9.140625" style="302"/>
    <col min="502" max="502" width="11.7109375" style="302" customWidth="1"/>
    <col min="503" max="506" width="9.140625" style="302"/>
    <col min="507" max="507" width="15" style="302" customWidth="1"/>
    <col min="508" max="508" width="3.85546875" style="302" customWidth="1"/>
    <col min="509" max="509" width="13.7109375" style="302" customWidth="1"/>
    <col min="510" max="510" width="9.140625" style="302"/>
    <col min="511" max="511" width="10.7109375" style="302" bestFit="1" customWidth="1"/>
    <col min="512" max="757" width="9.140625" style="302"/>
    <col min="758" max="758" width="11.7109375" style="302" customWidth="1"/>
    <col min="759" max="762" width="9.140625" style="302"/>
    <col min="763" max="763" width="15" style="302" customWidth="1"/>
    <col min="764" max="764" width="3.85546875" style="302" customWidth="1"/>
    <col min="765" max="765" width="13.7109375" style="302" customWidth="1"/>
    <col min="766" max="766" width="9.140625" style="302"/>
    <col min="767" max="767" width="10.7109375" style="302" bestFit="1" customWidth="1"/>
    <col min="768" max="1013" width="9.140625" style="302"/>
    <col min="1014" max="1014" width="11.7109375" style="302" customWidth="1"/>
    <col min="1015" max="1018" width="9.140625" style="302"/>
    <col min="1019" max="1019" width="15" style="302" customWidth="1"/>
    <col min="1020" max="1020" width="3.85546875" style="302" customWidth="1"/>
    <col min="1021" max="1021" width="13.7109375" style="302" customWidth="1"/>
    <col min="1022" max="1022" width="9.140625" style="302"/>
    <col min="1023" max="1023" width="10.7109375" style="302" bestFit="1" customWidth="1"/>
    <col min="1024" max="1269" width="9.140625" style="302"/>
    <col min="1270" max="1270" width="11.7109375" style="302" customWidth="1"/>
    <col min="1271" max="1274" width="9.140625" style="302"/>
    <col min="1275" max="1275" width="15" style="302" customWidth="1"/>
    <col min="1276" max="1276" width="3.85546875" style="302" customWidth="1"/>
    <col min="1277" max="1277" width="13.7109375" style="302" customWidth="1"/>
    <col min="1278" max="1278" width="9.140625" style="302"/>
    <col min="1279" max="1279" width="10.7109375" style="302" bestFit="1" customWidth="1"/>
    <col min="1280" max="1525" width="9.140625" style="302"/>
    <col min="1526" max="1526" width="11.7109375" style="302" customWidth="1"/>
    <col min="1527" max="1530" width="9.140625" style="302"/>
    <col min="1531" max="1531" width="15" style="302" customWidth="1"/>
    <col min="1532" max="1532" width="3.85546875" style="302" customWidth="1"/>
    <col min="1533" max="1533" width="13.7109375" style="302" customWidth="1"/>
    <col min="1534" max="1534" width="9.140625" style="302"/>
    <col min="1535" max="1535" width="10.7109375" style="302" bestFit="1" customWidth="1"/>
    <col min="1536" max="1781" width="9.140625" style="302"/>
    <col min="1782" max="1782" width="11.7109375" style="302" customWidth="1"/>
    <col min="1783" max="1786" width="9.140625" style="302"/>
    <col min="1787" max="1787" width="15" style="302" customWidth="1"/>
    <col min="1788" max="1788" width="3.85546875" style="302" customWidth="1"/>
    <col min="1789" max="1789" width="13.7109375" style="302" customWidth="1"/>
    <col min="1790" max="1790" width="9.140625" style="302"/>
    <col min="1791" max="1791" width="10.7109375" style="302" bestFit="1" customWidth="1"/>
    <col min="1792" max="2037" width="9.140625" style="302"/>
    <col min="2038" max="2038" width="11.7109375" style="302" customWidth="1"/>
    <col min="2039" max="2042" width="9.140625" style="302"/>
    <col min="2043" max="2043" width="15" style="302" customWidth="1"/>
    <col min="2044" max="2044" width="3.85546875" style="302" customWidth="1"/>
    <col min="2045" max="2045" width="13.7109375" style="302" customWidth="1"/>
    <col min="2046" max="2046" width="9.140625" style="302"/>
    <col min="2047" max="2047" width="10.7109375" style="302" bestFit="1" customWidth="1"/>
    <col min="2048" max="2293" width="9.140625" style="302"/>
    <col min="2294" max="2294" width="11.7109375" style="302" customWidth="1"/>
    <col min="2295" max="2298" width="9.140625" style="302"/>
    <col min="2299" max="2299" width="15" style="302" customWidth="1"/>
    <col min="2300" max="2300" width="3.85546875" style="302" customWidth="1"/>
    <col min="2301" max="2301" width="13.7109375" style="302" customWidth="1"/>
    <col min="2302" max="2302" width="9.140625" style="302"/>
    <col min="2303" max="2303" width="10.7109375" style="302" bestFit="1" customWidth="1"/>
    <col min="2304" max="2549" width="9.140625" style="302"/>
    <col min="2550" max="2550" width="11.7109375" style="302" customWidth="1"/>
    <col min="2551" max="2554" width="9.140625" style="302"/>
    <col min="2555" max="2555" width="15" style="302" customWidth="1"/>
    <col min="2556" max="2556" width="3.85546875" style="302" customWidth="1"/>
    <col min="2557" max="2557" width="13.7109375" style="302" customWidth="1"/>
    <col min="2558" max="2558" width="9.140625" style="302"/>
    <col min="2559" max="2559" width="10.7109375" style="302" bestFit="1" customWidth="1"/>
    <col min="2560" max="2805" width="9.140625" style="302"/>
    <col min="2806" max="2806" width="11.7109375" style="302" customWidth="1"/>
    <col min="2807" max="2810" width="9.140625" style="302"/>
    <col min="2811" max="2811" width="15" style="302" customWidth="1"/>
    <col min="2812" max="2812" width="3.85546875" style="302" customWidth="1"/>
    <col min="2813" max="2813" width="13.7109375" style="302" customWidth="1"/>
    <col min="2814" max="2814" width="9.140625" style="302"/>
    <col min="2815" max="2815" width="10.7109375" style="302" bestFit="1" customWidth="1"/>
    <col min="2816" max="3061" width="9.140625" style="302"/>
    <col min="3062" max="3062" width="11.7109375" style="302" customWidth="1"/>
    <col min="3063" max="3066" width="9.140625" style="302"/>
    <col min="3067" max="3067" width="15" style="302" customWidth="1"/>
    <col min="3068" max="3068" width="3.85546875" style="302" customWidth="1"/>
    <col min="3069" max="3069" width="13.7109375" style="302" customWidth="1"/>
    <col min="3070" max="3070" width="9.140625" style="302"/>
    <col min="3071" max="3071" width="10.7109375" style="302" bestFit="1" customWidth="1"/>
    <col min="3072" max="3317" width="9.140625" style="302"/>
    <col min="3318" max="3318" width="11.7109375" style="302" customWidth="1"/>
    <col min="3319" max="3322" width="9.140625" style="302"/>
    <col min="3323" max="3323" width="15" style="302" customWidth="1"/>
    <col min="3324" max="3324" width="3.85546875" style="302" customWidth="1"/>
    <col min="3325" max="3325" width="13.7109375" style="302" customWidth="1"/>
    <col min="3326" max="3326" width="9.140625" style="302"/>
    <col min="3327" max="3327" width="10.7109375" style="302" bestFit="1" customWidth="1"/>
    <col min="3328" max="3573" width="9.140625" style="302"/>
    <col min="3574" max="3574" width="11.7109375" style="302" customWidth="1"/>
    <col min="3575" max="3578" width="9.140625" style="302"/>
    <col min="3579" max="3579" width="15" style="302" customWidth="1"/>
    <col min="3580" max="3580" width="3.85546875" style="302" customWidth="1"/>
    <col min="3581" max="3581" width="13.7109375" style="302" customWidth="1"/>
    <col min="3582" max="3582" width="9.140625" style="302"/>
    <col min="3583" max="3583" width="10.7109375" style="302" bestFit="1" customWidth="1"/>
    <col min="3584" max="3829" width="9.140625" style="302"/>
    <col min="3830" max="3830" width="11.7109375" style="302" customWidth="1"/>
    <col min="3831" max="3834" width="9.140625" style="302"/>
    <col min="3835" max="3835" width="15" style="302" customWidth="1"/>
    <col min="3836" max="3836" width="3.85546875" style="302" customWidth="1"/>
    <col min="3837" max="3837" width="13.7109375" style="302" customWidth="1"/>
    <col min="3838" max="3838" width="9.140625" style="302"/>
    <col min="3839" max="3839" width="10.7109375" style="302" bestFit="1" customWidth="1"/>
    <col min="3840" max="4085" width="9.140625" style="302"/>
    <col min="4086" max="4086" width="11.7109375" style="302" customWidth="1"/>
    <col min="4087" max="4090" width="9.140625" style="302"/>
    <col min="4091" max="4091" width="15" style="302" customWidth="1"/>
    <col min="4092" max="4092" width="3.85546875" style="302" customWidth="1"/>
    <col min="4093" max="4093" width="13.7109375" style="302" customWidth="1"/>
    <col min="4094" max="4094" width="9.140625" style="302"/>
    <col min="4095" max="4095" width="10.7109375" style="302" bestFit="1" customWidth="1"/>
    <col min="4096" max="4341" width="9.140625" style="302"/>
    <col min="4342" max="4342" width="11.7109375" style="302" customWidth="1"/>
    <col min="4343" max="4346" width="9.140625" style="302"/>
    <col min="4347" max="4347" width="15" style="302" customWidth="1"/>
    <col min="4348" max="4348" width="3.85546875" style="302" customWidth="1"/>
    <col min="4349" max="4349" width="13.7109375" style="302" customWidth="1"/>
    <col min="4350" max="4350" width="9.140625" style="302"/>
    <col min="4351" max="4351" width="10.7109375" style="302" bestFit="1" customWidth="1"/>
    <col min="4352" max="4597" width="9.140625" style="302"/>
    <col min="4598" max="4598" width="11.7109375" style="302" customWidth="1"/>
    <col min="4599" max="4602" width="9.140625" style="302"/>
    <col min="4603" max="4603" width="15" style="302" customWidth="1"/>
    <col min="4604" max="4604" width="3.85546875" style="302" customWidth="1"/>
    <col min="4605" max="4605" width="13.7109375" style="302" customWidth="1"/>
    <col min="4606" max="4606" width="9.140625" style="302"/>
    <col min="4607" max="4607" width="10.7109375" style="302" bestFit="1" customWidth="1"/>
    <col min="4608" max="4853" width="9.140625" style="302"/>
    <col min="4854" max="4854" width="11.7109375" style="302" customWidth="1"/>
    <col min="4855" max="4858" width="9.140625" style="302"/>
    <col min="4859" max="4859" width="15" style="302" customWidth="1"/>
    <col min="4860" max="4860" width="3.85546875" style="302" customWidth="1"/>
    <col min="4861" max="4861" width="13.7109375" style="302" customWidth="1"/>
    <col min="4862" max="4862" width="9.140625" style="302"/>
    <col min="4863" max="4863" width="10.7109375" style="302" bestFit="1" customWidth="1"/>
    <col min="4864" max="5109" width="9.140625" style="302"/>
    <col min="5110" max="5110" width="11.7109375" style="302" customWidth="1"/>
    <col min="5111" max="5114" width="9.140625" style="302"/>
    <col min="5115" max="5115" width="15" style="302" customWidth="1"/>
    <col min="5116" max="5116" width="3.85546875" style="302" customWidth="1"/>
    <col min="5117" max="5117" width="13.7109375" style="302" customWidth="1"/>
    <col min="5118" max="5118" width="9.140625" style="302"/>
    <col min="5119" max="5119" width="10.7109375" style="302" bestFit="1" customWidth="1"/>
    <col min="5120" max="5365" width="9.140625" style="302"/>
    <col min="5366" max="5366" width="11.7109375" style="302" customWidth="1"/>
    <col min="5367" max="5370" width="9.140625" style="302"/>
    <col min="5371" max="5371" width="15" style="302" customWidth="1"/>
    <col min="5372" max="5372" width="3.85546875" style="302" customWidth="1"/>
    <col min="5373" max="5373" width="13.7109375" style="302" customWidth="1"/>
    <col min="5374" max="5374" width="9.140625" style="302"/>
    <col min="5375" max="5375" width="10.7109375" style="302" bestFit="1" customWidth="1"/>
    <col min="5376" max="5621" width="9.140625" style="302"/>
    <col min="5622" max="5622" width="11.7109375" style="302" customWidth="1"/>
    <col min="5623" max="5626" width="9.140625" style="302"/>
    <col min="5627" max="5627" width="15" style="302" customWidth="1"/>
    <col min="5628" max="5628" width="3.85546875" style="302" customWidth="1"/>
    <col min="5629" max="5629" width="13.7109375" style="302" customWidth="1"/>
    <col min="5630" max="5630" width="9.140625" style="302"/>
    <col min="5631" max="5631" width="10.7109375" style="302" bestFit="1" customWidth="1"/>
    <col min="5632" max="5877" width="9.140625" style="302"/>
    <col min="5878" max="5878" width="11.7109375" style="302" customWidth="1"/>
    <col min="5879" max="5882" width="9.140625" style="302"/>
    <col min="5883" max="5883" width="15" style="302" customWidth="1"/>
    <col min="5884" max="5884" width="3.85546875" style="302" customWidth="1"/>
    <col min="5885" max="5885" width="13.7109375" style="302" customWidth="1"/>
    <col min="5886" max="5886" width="9.140625" style="302"/>
    <col min="5887" max="5887" width="10.7109375" style="302" bestFit="1" customWidth="1"/>
    <col min="5888" max="6133" width="9.140625" style="302"/>
    <col min="6134" max="6134" width="11.7109375" style="302" customWidth="1"/>
    <col min="6135" max="6138" width="9.140625" style="302"/>
    <col min="6139" max="6139" width="15" style="302" customWidth="1"/>
    <col min="6140" max="6140" width="3.85546875" style="302" customWidth="1"/>
    <col min="6141" max="6141" width="13.7109375" style="302" customWidth="1"/>
    <col min="6142" max="6142" width="9.140625" style="302"/>
    <col min="6143" max="6143" width="10.7109375" style="302" bestFit="1" customWidth="1"/>
    <col min="6144" max="6389" width="9.140625" style="302"/>
    <col min="6390" max="6390" width="11.7109375" style="302" customWidth="1"/>
    <col min="6391" max="6394" width="9.140625" style="302"/>
    <col min="6395" max="6395" width="15" style="302" customWidth="1"/>
    <col min="6396" max="6396" width="3.85546875" style="302" customWidth="1"/>
    <col min="6397" max="6397" width="13.7109375" style="302" customWidth="1"/>
    <col min="6398" max="6398" width="9.140625" style="302"/>
    <col min="6399" max="6399" width="10.7109375" style="302" bestFit="1" customWidth="1"/>
    <col min="6400" max="6645" width="9.140625" style="302"/>
    <col min="6646" max="6646" width="11.7109375" style="302" customWidth="1"/>
    <col min="6647" max="6650" width="9.140625" style="302"/>
    <col min="6651" max="6651" width="15" style="302" customWidth="1"/>
    <col min="6652" max="6652" width="3.85546875" style="302" customWidth="1"/>
    <col min="6653" max="6653" width="13.7109375" style="302" customWidth="1"/>
    <col min="6654" max="6654" width="9.140625" style="302"/>
    <col min="6655" max="6655" width="10.7109375" style="302" bestFit="1" customWidth="1"/>
    <col min="6656" max="6901" width="9.140625" style="302"/>
    <col min="6902" max="6902" width="11.7109375" style="302" customWidth="1"/>
    <col min="6903" max="6906" width="9.140625" style="302"/>
    <col min="6907" max="6907" width="15" style="302" customWidth="1"/>
    <col min="6908" max="6908" width="3.85546875" style="302" customWidth="1"/>
    <col min="6909" max="6909" width="13.7109375" style="302" customWidth="1"/>
    <col min="6910" max="6910" width="9.140625" style="302"/>
    <col min="6911" max="6911" width="10.7109375" style="302" bestFit="1" customWidth="1"/>
    <col min="6912" max="7157" width="9.140625" style="302"/>
    <col min="7158" max="7158" width="11.7109375" style="302" customWidth="1"/>
    <col min="7159" max="7162" width="9.140625" style="302"/>
    <col min="7163" max="7163" width="15" style="302" customWidth="1"/>
    <col min="7164" max="7164" width="3.85546875" style="302" customWidth="1"/>
    <col min="7165" max="7165" width="13.7109375" style="302" customWidth="1"/>
    <col min="7166" max="7166" width="9.140625" style="302"/>
    <col min="7167" max="7167" width="10.7109375" style="302" bestFit="1" customWidth="1"/>
    <col min="7168" max="7413" width="9.140625" style="302"/>
    <col min="7414" max="7414" width="11.7109375" style="302" customWidth="1"/>
    <col min="7415" max="7418" width="9.140625" style="302"/>
    <col min="7419" max="7419" width="15" style="302" customWidth="1"/>
    <col min="7420" max="7420" width="3.85546875" style="302" customWidth="1"/>
    <col min="7421" max="7421" width="13.7109375" style="302" customWidth="1"/>
    <col min="7422" max="7422" width="9.140625" style="302"/>
    <col min="7423" max="7423" width="10.7109375" style="302" bestFit="1" customWidth="1"/>
    <col min="7424" max="7669" width="9.140625" style="302"/>
    <col min="7670" max="7670" width="11.7109375" style="302" customWidth="1"/>
    <col min="7671" max="7674" width="9.140625" style="302"/>
    <col min="7675" max="7675" width="15" style="302" customWidth="1"/>
    <col min="7676" max="7676" width="3.85546875" style="302" customWidth="1"/>
    <col min="7677" max="7677" width="13.7109375" style="302" customWidth="1"/>
    <col min="7678" max="7678" width="9.140625" style="302"/>
    <col min="7679" max="7679" width="10.7109375" style="302" bestFit="1" customWidth="1"/>
    <col min="7680" max="7925" width="9.140625" style="302"/>
    <col min="7926" max="7926" width="11.7109375" style="302" customWidth="1"/>
    <col min="7927" max="7930" width="9.140625" style="302"/>
    <col min="7931" max="7931" width="15" style="302" customWidth="1"/>
    <col min="7932" max="7932" width="3.85546875" style="302" customWidth="1"/>
    <col min="7933" max="7933" width="13.7109375" style="302" customWidth="1"/>
    <col min="7934" max="7934" width="9.140625" style="302"/>
    <col min="7935" max="7935" width="10.7109375" style="302" bestFit="1" customWidth="1"/>
    <col min="7936" max="8181" width="9.140625" style="302"/>
    <col min="8182" max="8182" width="11.7109375" style="302" customWidth="1"/>
    <col min="8183" max="8186" width="9.140625" style="302"/>
    <col min="8187" max="8187" width="15" style="302" customWidth="1"/>
    <col min="8188" max="8188" width="3.85546875" style="302" customWidth="1"/>
    <col min="8189" max="8189" width="13.7109375" style="302" customWidth="1"/>
    <col min="8190" max="8190" width="9.140625" style="302"/>
    <col min="8191" max="8191" width="10.7109375" style="302" bestFit="1" customWidth="1"/>
    <col min="8192" max="8437" width="9.140625" style="302"/>
    <col min="8438" max="8438" width="11.7109375" style="302" customWidth="1"/>
    <col min="8439" max="8442" width="9.140625" style="302"/>
    <col min="8443" max="8443" width="15" style="302" customWidth="1"/>
    <col min="8444" max="8444" width="3.85546875" style="302" customWidth="1"/>
    <col min="8445" max="8445" width="13.7109375" style="302" customWidth="1"/>
    <col min="8446" max="8446" width="9.140625" style="302"/>
    <col min="8447" max="8447" width="10.7109375" style="302" bestFit="1" customWidth="1"/>
    <col min="8448" max="8693" width="9.140625" style="302"/>
    <col min="8694" max="8694" width="11.7109375" style="302" customWidth="1"/>
    <col min="8695" max="8698" width="9.140625" style="302"/>
    <col min="8699" max="8699" width="15" style="302" customWidth="1"/>
    <col min="8700" max="8700" width="3.85546875" style="302" customWidth="1"/>
    <col min="8701" max="8701" width="13.7109375" style="302" customWidth="1"/>
    <col min="8702" max="8702" width="9.140625" style="302"/>
    <col min="8703" max="8703" width="10.7109375" style="302" bestFit="1" customWidth="1"/>
    <col min="8704" max="8949" width="9.140625" style="302"/>
    <col min="8950" max="8950" width="11.7109375" style="302" customWidth="1"/>
    <col min="8951" max="8954" width="9.140625" style="302"/>
    <col min="8955" max="8955" width="15" style="302" customWidth="1"/>
    <col min="8956" max="8956" width="3.85546875" style="302" customWidth="1"/>
    <col min="8957" max="8957" width="13.7109375" style="302" customWidth="1"/>
    <col min="8958" max="8958" width="9.140625" style="302"/>
    <col min="8959" max="8959" width="10.7109375" style="302" bestFit="1" customWidth="1"/>
    <col min="8960" max="9205" width="9.140625" style="302"/>
    <col min="9206" max="9206" width="11.7109375" style="302" customWidth="1"/>
    <col min="9207" max="9210" width="9.140625" style="302"/>
    <col min="9211" max="9211" width="15" style="302" customWidth="1"/>
    <col min="9212" max="9212" width="3.85546875" style="302" customWidth="1"/>
    <col min="9213" max="9213" width="13.7109375" style="302" customWidth="1"/>
    <col min="9214" max="9214" width="9.140625" style="302"/>
    <col min="9215" max="9215" width="10.7109375" style="302" bestFit="1" customWidth="1"/>
    <col min="9216" max="9461" width="9.140625" style="302"/>
    <col min="9462" max="9462" width="11.7109375" style="302" customWidth="1"/>
    <col min="9463" max="9466" width="9.140625" style="302"/>
    <col min="9467" max="9467" width="15" style="302" customWidth="1"/>
    <col min="9468" max="9468" width="3.85546875" style="302" customWidth="1"/>
    <col min="9469" max="9469" width="13.7109375" style="302" customWidth="1"/>
    <col min="9470" max="9470" width="9.140625" style="302"/>
    <col min="9471" max="9471" width="10.7109375" style="302" bestFit="1" customWidth="1"/>
    <col min="9472" max="9717" width="9.140625" style="302"/>
    <col min="9718" max="9718" width="11.7109375" style="302" customWidth="1"/>
    <col min="9719" max="9722" width="9.140625" style="302"/>
    <col min="9723" max="9723" width="15" style="302" customWidth="1"/>
    <col min="9724" max="9724" width="3.85546875" style="302" customWidth="1"/>
    <col min="9725" max="9725" width="13.7109375" style="302" customWidth="1"/>
    <col min="9726" max="9726" width="9.140625" style="302"/>
    <col min="9727" max="9727" width="10.7109375" style="302" bestFit="1" customWidth="1"/>
    <col min="9728" max="9973" width="9.140625" style="302"/>
    <col min="9974" max="9974" width="11.7109375" style="302" customWidth="1"/>
    <col min="9975" max="9978" width="9.140625" style="302"/>
    <col min="9979" max="9979" width="15" style="302" customWidth="1"/>
    <col min="9980" max="9980" width="3.85546875" style="302" customWidth="1"/>
    <col min="9981" max="9981" width="13.7109375" style="302" customWidth="1"/>
    <col min="9982" max="9982" width="9.140625" style="302"/>
    <col min="9983" max="9983" width="10.7109375" style="302" bestFit="1" customWidth="1"/>
    <col min="9984" max="10229" width="9.140625" style="302"/>
    <col min="10230" max="10230" width="11.7109375" style="302" customWidth="1"/>
    <col min="10231" max="10234" width="9.140625" style="302"/>
    <col min="10235" max="10235" width="15" style="302" customWidth="1"/>
    <col min="10236" max="10236" width="3.85546875" style="302" customWidth="1"/>
    <col min="10237" max="10237" width="13.7109375" style="302" customWidth="1"/>
    <col min="10238" max="10238" width="9.140625" style="302"/>
    <col min="10239" max="10239" width="10.7109375" style="302" bestFit="1" customWidth="1"/>
    <col min="10240" max="10485" width="9.140625" style="302"/>
    <col min="10486" max="10486" width="11.7109375" style="302" customWidth="1"/>
    <col min="10487" max="10490" width="9.140625" style="302"/>
    <col min="10491" max="10491" width="15" style="302" customWidth="1"/>
    <col min="10492" max="10492" width="3.85546875" style="302" customWidth="1"/>
    <col min="10493" max="10493" width="13.7109375" style="302" customWidth="1"/>
    <col min="10494" max="10494" width="9.140625" style="302"/>
    <col min="10495" max="10495" width="10.7109375" style="302" bestFit="1" customWidth="1"/>
    <col min="10496" max="10741" width="9.140625" style="302"/>
    <col min="10742" max="10742" width="11.7109375" style="302" customWidth="1"/>
    <col min="10743" max="10746" width="9.140625" style="302"/>
    <col min="10747" max="10747" width="15" style="302" customWidth="1"/>
    <col min="10748" max="10748" width="3.85546875" style="302" customWidth="1"/>
    <col min="10749" max="10749" width="13.7109375" style="302" customWidth="1"/>
    <col min="10750" max="10750" width="9.140625" style="302"/>
    <col min="10751" max="10751" width="10.7109375" style="302" bestFit="1" customWidth="1"/>
    <col min="10752" max="10997" width="9.140625" style="302"/>
    <col min="10998" max="10998" width="11.7109375" style="302" customWidth="1"/>
    <col min="10999" max="11002" width="9.140625" style="302"/>
    <col min="11003" max="11003" width="15" style="302" customWidth="1"/>
    <col min="11004" max="11004" width="3.85546875" style="302" customWidth="1"/>
    <col min="11005" max="11005" width="13.7109375" style="302" customWidth="1"/>
    <col min="11006" max="11006" width="9.140625" style="302"/>
    <col min="11007" max="11007" width="10.7109375" style="302" bestFit="1" customWidth="1"/>
    <col min="11008" max="11253" width="9.140625" style="302"/>
    <col min="11254" max="11254" width="11.7109375" style="302" customWidth="1"/>
    <col min="11255" max="11258" width="9.140625" style="302"/>
    <col min="11259" max="11259" width="15" style="302" customWidth="1"/>
    <col min="11260" max="11260" width="3.85546875" style="302" customWidth="1"/>
    <col min="11261" max="11261" width="13.7109375" style="302" customWidth="1"/>
    <col min="11262" max="11262" width="9.140625" style="302"/>
    <col min="11263" max="11263" width="10.7109375" style="302" bestFit="1" customWidth="1"/>
    <col min="11264" max="11509" width="9.140625" style="302"/>
    <col min="11510" max="11510" width="11.7109375" style="302" customWidth="1"/>
    <col min="11511" max="11514" width="9.140625" style="302"/>
    <col min="11515" max="11515" width="15" style="302" customWidth="1"/>
    <col min="11516" max="11516" width="3.85546875" style="302" customWidth="1"/>
    <col min="11517" max="11517" width="13.7109375" style="302" customWidth="1"/>
    <col min="11518" max="11518" width="9.140625" style="302"/>
    <col min="11519" max="11519" width="10.7109375" style="302" bestFit="1" customWidth="1"/>
    <col min="11520" max="11765" width="9.140625" style="302"/>
    <col min="11766" max="11766" width="11.7109375" style="302" customWidth="1"/>
    <col min="11767" max="11770" width="9.140625" style="302"/>
    <col min="11771" max="11771" width="15" style="302" customWidth="1"/>
    <col min="11772" max="11772" width="3.85546875" style="302" customWidth="1"/>
    <col min="11773" max="11773" width="13.7109375" style="302" customWidth="1"/>
    <col min="11774" max="11774" width="9.140625" style="302"/>
    <col min="11775" max="11775" width="10.7109375" style="302" bestFit="1" customWidth="1"/>
    <col min="11776" max="12021" width="9.140625" style="302"/>
    <col min="12022" max="12022" width="11.7109375" style="302" customWidth="1"/>
    <col min="12023" max="12026" width="9.140625" style="302"/>
    <col min="12027" max="12027" width="15" style="302" customWidth="1"/>
    <col min="12028" max="12028" width="3.85546875" style="302" customWidth="1"/>
    <col min="12029" max="12029" width="13.7109375" style="302" customWidth="1"/>
    <col min="12030" max="12030" width="9.140625" style="302"/>
    <col min="12031" max="12031" width="10.7109375" style="302" bestFit="1" customWidth="1"/>
    <col min="12032" max="12277" width="9.140625" style="302"/>
    <col min="12278" max="12278" width="11.7109375" style="302" customWidth="1"/>
    <col min="12279" max="12282" width="9.140625" style="302"/>
    <col min="12283" max="12283" width="15" style="302" customWidth="1"/>
    <col min="12284" max="12284" width="3.85546875" style="302" customWidth="1"/>
    <col min="12285" max="12285" width="13.7109375" style="302" customWidth="1"/>
    <col min="12286" max="12286" width="9.140625" style="302"/>
    <col min="12287" max="12287" width="10.7109375" style="302" bestFit="1" customWidth="1"/>
    <col min="12288" max="12533" width="9.140625" style="302"/>
    <col min="12534" max="12534" width="11.7109375" style="302" customWidth="1"/>
    <col min="12535" max="12538" width="9.140625" style="302"/>
    <col min="12539" max="12539" width="15" style="302" customWidth="1"/>
    <col min="12540" max="12540" width="3.85546875" style="302" customWidth="1"/>
    <col min="12541" max="12541" width="13.7109375" style="302" customWidth="1"/>
    <col min="12542" max="12542" width="9.140625" style="302"/>
    <col min="12543" max="12543" width="10.7109375" style="302" bestFit="1" customWidth="1"/>
    <col min="12544" max="12789" width="9.140625" style="302"/>
    <col min="12790" max="12790" width="11.7109375" style="302" customWidth="1"/>
    <col min="12791" max="12794" width="9.140625" style="302"/>
    <col min="12795" max="12795" width="15" style="302" customWidth="1"/>
    <col min="12796" max="12796" width="3.85546875" style="302" customWidth="1"/>
    <col min="12797" max="12797" width="13.7109375" style="302" customWidth="1"/>
    <col min="12798" max="12798" width="9.140625" style="302"/>
    <col min="12799" max="12799" width="10.7109375" style="302" bestFit="1" customWidth="1"/>
    <col min="12800" max="13045" width="9.140625" style="302"/>
    <col min="13046" max="13046" width="11.7109375" style="302" customWidth="1"/>
    <col min="13047" max="13050" width="9.140625" style="302"/>
    <col min="13051" max="13051" width="15" style="302" customWidth="1"/>
    <col min="13052" max="13052" width="3.85546875" style="302" customWidth="1"/>
    <col min="13053" max="13053" width="13.7109375" style="302" customWidth="1"/>
    <col min="13054" max="13054" width="9.140625" style="302"/>
    <col min="13055" max="13055" width="10.7109375" style="302" bestFit="1" customWidth="1"/>
    <col min="13056" max="13301" width="9.140625" style="302"/>
    <col min="13302" max="13302" width="11.7109375" style="302" customWidth="1"/>
    <col min="13303" max="13306" width="9.140625" style="302"/>
    <col min="13307" max="13307" width="15" style="302" customWidth="1"/>
    <col min="13308" max="13308" width="3.85546875" style="302" customWidth="1"/>
    <col min="13309" max="13309" width="13.7109375" style="302" customWidth="1"/>
    <col min="13310" max="13310" width="9.140625" style="302"/>
    <col min="13311" max="13311" width="10.7109375" style="302" bestFit="1" customWidth="1"/>
    <col min="13312" max="13557" width="9.140625" style="302"/>
    <col min="13558" max="13558" width="11.7109375" style="302" customWidth="1"/>
    <col min="13559" max="13562" width="9.140625" style="302"/>
    <col min="13563" max="13563" width="15" style="302" customWidth="1"/>
    <col min="13564" max="13564" width="3.85546875" style="302" customWidth="1"/>
    <col min="13565" max="13565" width="13.7109375" style="302" customWidth="1"/>
    <col min="13566" max="13566" width="9.140625" style="302"/>
    <col min="13567" max="13567" width="10.7109375" style="302" bestFit="1" customWidth="1"/>
    <col min="13568" max="13813" width="9.140625" style="302"/>
    <col min="13814" max="13814" width="11.7109375" style="302" customWidth="1"/>
    <col min="13815" max="13818" width="9.140625" style="302"/>
    <col min="13819" max="13819" width="15" style="302" customWidth="1"/>
    <col min="13820" max="13820" width="3.85546875" style="302" customWidth="1"/>
    <col min="13821" max="13821" width="13.7109375" style="302" customWidth="1"/>
    <col min="13822" max="13822" width="9.140625" style="302"/>
    <col min="13823" max="13823" width="10.7109375" style="302" bestFit="1" customWidth="1"/>
    <col min="13824" max="14069" width="9.140625" style="302"/>
    <col min="14070" max="14070" width="11.7109375" style="302" customWidth="1"/>
    <col min="14071" max="14074" width="9.140625" style="302"/>
    <col min="14075" max="14075" width="15" style="302" customWidth="1"/>
    <col min="14076" max="14076" width="3.85546875" style="302" customWidth="1"/>
    <col min="14077" max="14077" width="13.7109375" style="302" customWidth="1"/>
    <col min="14078" max="14078" width="9.140625" style="302"/>
    <col min="14079" max="14079" width="10.7109375" style="302" bestFit="1" customWidth="1"/>
    <col min="14080" max="14325" width="9.140625" style="302"/>
    <col min="14326" max="14326" width="11.7109375" style="302" customWidth="1"/>
    <col min="14327" max="14330" width="9.140625" style="302"/>
    <col min="14331" max="14331" width="15" style="302" customWidth="1"/>
    <col min="14332" max="14332" width="3.85546875" style="302" customWidth="1"/>
    <col min="14333" max="14333" width="13.7109375" style="302" customWidth="1"/>
    <col min="14334" max="14334" width="9.140625" style="302"/>
    <col min="14335" max="14335" width="10.7109375" style="302" bestFit="1" customWidth="1"/>
    <col min="14336" max="14581" width="9.140625" style="302"/>
    <col min="14582" max="14582" width="11.7109375" style="302" customWidth="1"/>
    <col min="14583" max="14586" width="9.140625" style="302"/>
    <col min="14587" max="14587" width="15" style="302" customWidth="1"/>
    <col min="14588" max="14588" width="3.85546875" style="302" customWidth="1"/>
    <col min="14589" max="14589" width="13.7109375" style="302" customWidth="1"/>
    <col min="14590" max="14590" width="9.140625" style="302"/>
    <col min="14591" max="14591" width="10.7109375" style="302" bestFit="1" customWidth="1"/>
    <col min="14592" max="14837" width="9.140625" style="302"/>
    <col min="14838" max="14838" width="11.7109375" style="302" customWidth="1"/>
    <col min="14839" max="14842" width="9.140625" style="302"/>
    <col min="14843" max="14843" width="15" style="302" customWidth="1"/>
    <col min="14844" max="14844" width="3.85546875" style="302" customWidth="1"/>
    <col min="14845" max="14845" width="13.7109375" style="302" customWidth="1"/>
    <col min="14846" max="14846" width="9.140625" style="302"/>
    <col min="14847" max="14847" width="10.7109375" style="302" bestFit="1" customWidth="1"/>
    <col min="14848" max="15093" width="9.140625" style="302"/>
    <col min="15094" max="15094" width="11.7109375" style="302" customWidth="1"/>
    <col min="15095" max="15098" width="9.140625" style="302"/>
    <col min="15099" max="15099" width="15" style="302" customWidth="1"/>
    <col min="15100" max="15100" width="3.85546875" style="302" customWidth="1"/>
    <col min="15101" max="15101" width="13.7109375" style="302" customWidth="1"/>
    <col min="15102" max="15102" width="9.140625" style="302"/>
    <col min="15103" max="15103" width="10.7109375" style="302" bestFit="1" customWidth="1"/>
    <col min="15104" max="15349" width="9.140625" style="302"/>
    <col min="15350" max="15350" width="11.7109375" style="302" customWidth="1"/>
    <col min="15351" max="15354" width="9.140625" style="302"/>
    <col min="15355" max="15355" width="15" style="302" customWidth="1"/>
    <col min="15356" max="15356" width="3.85546875" style="302" customWidth="1"/>
    <col min="15357" max="15357" width="13.7109375" style="302" customWidth="1"/>
    <col min="15358" max="15358" width="9.140625" style="302"/>
    <col min="15359" max="15359" width="10.7109375" style="302" bestFit="1" customWidth="1"/>
    <col min="15360" max="15605" width="9.140625" style="302"/>
    <col min="15606" max="15606" width="11.7109375" style="302" customWidth="1"/>
    <col min="15607" max="15610" width="9.140625" style="302"/>
    <col min="15611" max="15611" width="15" style="302" customWidth="1"/>
    <col min="15612" max="15612" width="3.85546875" style="302" customWidth="1"/>
    <col min="15613" max="15613" width="13.7109375" style="302" customWidth="1"/>
    <col min="15614" max="15614" width="9.140625" style="302"/>
    <col min="15615" max="15615" width="10.7109375" style="302" bestFit="1" customWidth="1"/>
    <col min="15616" max="15861" width="9.140625" style="302"/>
    <col min="15862" max="15862" width="11.7109375" style="302" customWidth="1"/>
    <col min="15863" max="15866" width="9.140625" style="302"/>
    <col min="15867" max="15867" width="15" style="302" customWidth="1"/>
    <col min="15868" max="15868" width="3.85546875" style="302" customWidth="1"/>
    <col min="15869" max="15869" width="13.7109375" style="302" customWidth="1"/>
    <col min="15870" max="15870" width="9.140625" style="302"/>
    <col min="15871" max="15871" width="10.7109375" style="302" bestFit="1" customWidth="1"/>
    <col min="15872" max="16117" width="9.140625" style="302"/>
    <col min="16118" max="16118" width="11.7109375" style="302" customWidth="1"/>
    <col min="16119" max="16122" width="9.140625" style="302"/>
    <col min="16123" max="16123" width="15" style="302" customWidth="1"/>
    <col min="16124" max="16124" width="3.85546875" style="302" customWidth="1"/>
    <col min="16125" max="16125" width="13.7109375" style="302" customWidth="1"/>
    <col min="16126" max="16126" width="9.140625" style="302"/>
    <col min="16127" max="16127" width="10.7109375" style="302" bestFit="1" customWidth="1"/>
    <col min="16128" max="16384" width="9.140625" style="302"/>
  </cols>
  <sheetData>
    <row r="1" spans="1:13">
      <c r="A1" s="374" t="s">
        <v>33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</row>
    <row r="2" spans="1:13">
      <c r="A2" s="375" t="s">
        <v>589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</row>
    <row r="3" spans="1:13">
      <c r="A3" s="375" t="s">
        <v>65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</row>
    <row r="4" spans="1:13">
      <c r="A4" s="375" t="s">
        <v>559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</row>
    <row r="5" spans="1:13">
      <c r="A5" s="374" t="s">
        <v>19</v>
      </c>
      <c r="B5" s="374"/>
      <c r="C5" s="374"/>
      <c r="D5" s="374"/>
      <c r="E5" s="374"/>
      <c r="F5" s="374"/>
      <c r="G5" s="374"/>
      <c r="H5" s="374"/>
      <c r="I5" s="374"/>
      <c r="J5" s="374"/>
      <c r="K5" s="374"/>
      <c r="L5" s="374"/>
      <c r="M5" s="374"/>
    </row>
    <row r="6" spans="1:13">
      <c r="A6" s="257"/>
      <c r="B6" s="257"/>
      <c r="C6" s="257"/>
      <c r="D6" s="257"/>
      <c r="E6" s="257"/>
      <c r="F6" s="257"/>
      <c r="G6" s="257"/>
      <c r="H6" s="257"/>
      <c r="I6" s="257"/>
      <c r="J6" s="362"/>
      <c r="K6" s="257"/>
      <c r="L6" s="257"/>
      <c r="M6" s="257"/>
    </row>
    <row r="7" spans="1:13">
      <c r="E7" s="337"/>
      <c r="F7" s="337"/>
      <c r="G7" s="337"/>
      <c r="H7" s="337"/>
      <c r="I7" s="337"/>
      <c r="J7" s="337"/>
      <c r="M7" s="303"/>
    </row>
    <row r="8" spans="1:13">
      <c r="K8" s="303" t="s">
        <v>527</v>
      </c>
      <c r="M8" s="303"/>
    </row>
    <row r="9" spans="1:13">
      <c r="A9" s="304"/>
      <c r="B9" s="304"/>
      <c r="C9" s="304"/>
      <c r="D9" s="304"/>
      <c r="E9" s="304"/>
      <c r="F9" s="304"/>
      <c r="G9" s="304"/>
      <c r="H9" s="304"/>
      <c r="I9" s="305"/>
      <c r="J9" s="305"/>
      <c r="K9" s="306" t="s">
        <v>528</v>
      </c>
      <c r="M9" s="307" t="s">
        <v>529</v>
      </c>
    </row>
    <row r="10" spans="1:13">
      <c r="A10" s="308"/>
      <c r="B10" s="308"/>
      <c r="C10" s="309"/>
      <c r="D10" s="309"/>
      <c r="E10" s="309"/>
      <c r="F10" s="309"/>
      <c r="G10" s="310"/>
      <c r="H10" s="310"/>
      <c r="I10" s="311"/>
      <c r="J10" s="311"/>
      <c r="K10" s="312" t="s">
        <v>530</v>
      </c>
      <c r="M10" s="313" t="s">
        <v>531</v>
      </c>
    </row>
    <row r="11" spans="1:13">
      <c r="A11" s="308" t="s">
        <v>532</v>
      </c>
      <c r="B11" s="308"/>
      <c r="C11" s="314"/>
      <c r="D11" s="314"/>
      <c r="E11" s="314"/>
      <c r="F11" s="314"/>
      <c r="G11" s="315"/>
      <c r="H11" s="315"/>
      <c r="I11" s="316"/>
      <c r="J11" s="316"/>
      <c r="K11" s="292">
        <v>0.01</v>
      </c>
      <c r="L11" s="192"/>
      <c r="M11" s="292">
        <v>0.01</v>
      </c>
    </row>
    <row r="12" spans="1:13">
      <c r="A12" s="308"/>
      <c r="B12" s="308"/>
      <c r="C12" s="314"/>
      <c r="D12" s="314"/>
      <c r="E12" s="314"/>
      <c r="F12" s="314"/>
      <c r="G12" s="315"/>
      <c r="H12" s="315"/>
      <c r="I12" s="316"/>
      <c r="J12" s="316"/>
      <c r="K12" s="292"/>
      <c r="L12" s="192"/>
      <c r="M12" s="292"/>
    </row>
    <row r="13" spans="1:13">
      <c r="A13" s="308" t="s">
        <v>540</v>
      </c>
      <c r="B13" s="308"/>
      <c r="C13" s="314"/>
      <c r="D13" s="314"/>
      <c r="E13" s="314"/>
      <c r="F13" s="314"/>
      <c r="G13" s="315"/>
      <c r="H13" s="315"/>
      <c r="I13" s="316"/>
      <c r="J13" s="316"/>
      <c r="K13" s="338">
        <v>7.1999999999999997E-6</v>
      </c>
      <c r="L13" s="192"/>
      <c r="M13" s="338">
        <v>7.1999999999999997E-6</v>
      </c>
    </row>
    <row r="14" spans="1:13">
      <c r="A14" s="308"/>
      <c r="B14" s="308"/>
      <c r="C14" s="314"/>
      <c r="D14" s="314"/>
      <c r="E14" s="314"/>
      <c r="F14" s="314"/>
      <c r="G14" s="315"/>
      <c r="H14" s="315"/>
      <c r="I14" s="316"/>
      <c r="J14" s="316"/>
      <c r="K14" s="292"/>
      <c r="L14" s="192"/>
      <c r="M14" s="292"/>
    </row>
    <row r="15" spans="1:13">
      <c r="A15" s="308" t="s">
        <v>541</v>
      </c>
      <c r="B15" s="308"/>
      <c r="C15" s="314"/>
      <c r="D15" s="314"/>
      <c r="E15" s="314"/>
      <c r="F15" s="314"/>
      <c r="G15" s="315"/>
      <c r="H15" s="315"/>
      <c r="I15" s="316"/>
      <c r="J15" s="316"/>
      <c r="K15" s="339">
        <v>6.4999999999999996E-6</v>
      </c>
      <c r="L15" s="192"/>
      <c r="M15" s="339">
        <v>6.4999999999999996E-6</v>
      </c>
    </row>
    <row r="16" spans="1:13">
      <c r="A16" s="308"/>
      <c r="B16" s="308"/>
      <c r="C16" s="314"/>
      <c r="D16" s="314"/>
      <c r="E16" s="314"/>
      <c r="F16" s="314"/>
      <c r="G16" s="315"/>
      <c r="H16" s="315"/>
      <c r="I16" s="316"/>
      <c r="J16" s="316"/>
      <c r="K16" s="292"/>
      <c r="L16" s="192"/>
      <c r="M16" s="292"/>
    </row>
    <row r="17" spans="1:13">
      <c r="A17" s="308" t="s">
        <v>533</v>
      </c>
      <c r="B17" s="308"/>
      <c r="C17" s="314"/>
      <c r="D17" s="314"/>
      <c r="E17" s="314"/>
      <c r="F17" s="314"/>
      <c r="G17" s="315"/>
      <c r="H17" s="315"/>
      <c r="I17" s="316"/>
      <c r="J17" s="316"/>
      <c r="K17" s="338">
        <f>K11-K15-K13</f>
        <v>9.9863E-3</v>
      </c>
      <c r="L17" s="340"/>
      <c r="M17" s="338">
        <f>M11-M15-M13</f>
        <v>9.9863E-3</v>
      </c>
    </row>
    <row r="18" spans="1:13">
      <c r="A18" s="308"/>
      <c r="B18" s="308"/>
      <c r="C18" s="314"/>
      <c r="D18" s="314"/>
      <c r="E18" s="314"/>
      <c r="F18" s="314"/>
      <c r="G18" s="315"/>
      <c r="H18" s="315"/>
      <c r="I18" s="316"/>
      <c r="J18" s="316"/>
      <c r="K18" s="338"/>
      <c r="L18" s="340"/>
      <c r="M18" s="338"/>
    </row>
    <row r="19" spans="1:13">
      <c r="A19" s="319" t="s">
        <v>557</v>
      </c>
      <c r="B19" s="308"/>
      <c r="C19" s="311"/>
      <c r="D19" s="311"/>
      <c r="E19" s="311"/>
      <c r="F19" s="311"/>
      <c r="G19" s="311"/>
      <c r="H19" s="311"/>
      <c r="I19" s="318">
        <v>5.5E-2</v>
      </c>
      <c r="J19" s="318"/>
      <c r="K19" s="335">
        <f>K17*K49</f>
        <v>5.4924650000000004E-4</v>
      </c>
      <c r="L19" s="192"/>
      <c r="M19" s="335">
        <f>M17*M49</f>
        <v>5.2228349000000001E-4</v>
      </c>
    </row>
    <row r="20" spans="1:13">
      <c r="A20" s="319"/>
      <c r="B20" s="308"/>
      <c r="C20" s="311"/>
      <c r="D20" s="311"/>
      <c r="E20" s="311"/>
      <c r="F20" s="311"/>
      <c r="G20" s="311"/>
      <c r="H20" s="311"/>
      <c r="I20" s="311"/>
      <c r="J20" s="311"/>
      <c r="K20" s="321"/>
      <c r="L20" s="192"/>
      <c r="M20" s="321"/>
    </row>
    <row r="21" spans="1:13">
      <c r="A21" s="317" t="s">
        <v>534</v>
      </c>
      <c r="B21" s="308"/>
      <c r="C21" s="322"/>
      <c r="D21" s="322"/>
      <c r="E21" s="322"/>
      <c r="F21" s="322"/>
      <c r="G21" s="316"/>
      <c r="H21" s="316"/>
      <c r="I21" s="322"/>
      <c r="J21" s="322"/>
      <c r="K21" s="323">
        <f>K17-K19</f>
        <v>9.4370535000000005E-3</v>
      </c>
      <c r="L21" s="192"/>
      <c r="M21" s="323">
        <f>M17-M19</f>
        <v>9.4640165099999993E-3</v>
      </c>
    </row>
    <row r="22" spans="1:13">
      <c r="A22" s="317"/>
      <c r="B22" s="308"/>
      <c r="C22" s="322"/>
      <c r="D22" s="322"/>
      <c r="E22" s="322"/>
      <c r="F22" s="322"/>
      <c r="G22" s="316"/>
      <c r="H22" s="316"/>
      <c r="I22" s="322"/>
      <c r="J22" s="322"/>
      <c r="K22" s="323"/>
      <c r="L22" s="192"/>
      <c r="M22" s="323"/>
    </row>
    <row r="23" spans="1:13">
      <c r="A23" s="317"/>
      <c r="B23" s="308"/>
      <c r="C23" s="322"/>
      <c r="D23" s="322"/>
      <c r="E23" s="322"/>
      <c r="F23" s="322"/>
      <c r="G23" s="316"/>
      <c r="H23" s="316"/>
      <c r="I23" s="322"/>
      <c r="J23" s="322"/>
      <c r="K23" s="323"/>
      <c r="L23" s="192"/>
      <c r="M23" s="323"/>
    </row>
    <row r="24" spans="1:13">
      <c r="A24" s="317" t="s">
        <v>544</v>
      </c>
      <c r="B24" s="308"/>
      <c r="C24" s="322"/>
      <c r="D24" s="322"/>
      <c r="E24" s="322"/>
      <c r="F24" s="322"/>
      <c r="G24" s="316"/>
      <c r="H24" s="316"/>
      <c r="I24" s="322"/>
      <c r="J24" s="322"/>
      <c r="K24" s="324"/>
      <c r="M24" s="324"/>
    </row>
    <row r="25" spans="1:13">
      <c r="A25" s="325" t="s">
        <v>535</v>
      </c>
      <c r="B25" s="308"/>
      <c r="C25" s="322"/>
      <c r="D25" s="322"/>
      <c r="E25" s="322"/>
      <c r="F25" s="322"/>
      <c r="G25" s="316"/>
      <c r="H25" s="316"/>
      <c r="I25" s="322"/>
      <c r="J25" s="322"/>
      <c r="K25" s="326">
        <v>0</v>
      </c>
      <c r="L25" s="327"/>
      <c r="M25" s="326">
        <v>0.09</v>
      </c>
    </row>
    <row r="26" spans="1:13">
      <c r="A26" s="325" t="s">
        <v>536</v>
      </c>
      <c r="B26" s="308"/>
      <c r="C26" s="322"/>
      <c r="D26" s="322"/>
      <c r="E26" s="322"/>
      <c r="F26" s="322"/>
      <c r="G26" s="316"/>
      <c r="H26" s="316"/>
      <c r="I26" s="322"/>
      <c r="J26" s="322"/>
      <c r="K26" s="329">
        <f>K60</f>
        <v>0.50181852164083196</v>
      </c>
      <c r="L26" s="153"/>
      <c r="M26" s="329">
        <f>K60</f>
        <v>0.50181852164083196</v>
      </c>
    </row>
    <row r="27" spans="1:13">
      <c r="A27" s="328" t="s">
        <v>537</v>
      </c>
      <c r="B27" s="308"/>
      <c r="C27" s="322"/>
      <c r="D27" s="322"/>
      <c r="E27" s="322"/>
      <c r="F27" s="322"/>
      <c r="G27" s="316"/>
      <c r="H27" s="316"/>
      <c r="I27" s="322"/>
      <c r="J27" s="322"/>
      <c r="K27" s="329">
        <f>ROUND(K25*K26,4)</f>
        <v>0</v>
      </c>
      <c r="L27" s="327"/>
      <c r="M27" s="329">
        <f>ROUND(M25*M26,4)</f>
        <v>4.5199999999999997E-2</v>
      </c>
    </row>
    <row r="28" spans="1:13">
      <c r="A28" s="330" t="s">
        <v>538</v>
      </c>
      <c r="B28" s="308"/>
      <c r="C28" s="322"/>
      <c r="D28" s="322"/>
      <c r="E28" s="322"/>
      <c r="F28" s="322"/>
      <c r="G28" s="316"/>
      <c r="H28" s="316"/>
      <c r="I28" s="322"/>
      <c r="J28" s="322"/>
      <c r="K28" s="331">
        <f>ROUND(K21*K27,4)</f>
        <v>0</v>
      </c>
      <c r="L28" s="327"/>
      <c r="M28" s="332">
        <f>ROUND(M21*M27,4)</f>
        <v>4.0000000000000002E-4</v>
      </c>
    </row>
    <row r="29" spans="1:13">
      <c r="A29" s="328"/>
      <c r="B29" s="308"/>
      <c r="C29" s="322"/>
      <c r="D29" s="322"/>
      <c r="E29" s="322"/>
      <c r="F29" s="322"/>
      <c r="G29" s="316"/>
      <c r="H29" s="316"/>
      <c r="I29" s="322"/>
      <c r="J29" s="322"/>
      <c r="K29" s="333"/>
      <c r="L29" s="327"/>
      <c r="M29" s="334"/>
    </row>
    <row r="30" spans="1:13">
      <c r="A30" s="330" t="s">
        <v>539</v>
      </c>
      <c r="B30" s="308"/>
      <c r="C30" s="322"/>
      <c r="D30" s="322"/>
      <c r="E30" s="322"/>
      <c r="F30" s="322"/>
      <c r="G30" s="316"/>
      <c r="H30" s="316"/>
      <c r="I30" s="322"/>
      <c r="J30" s="322"/>
      <c r="K30" s="344">
        <f>K21-K28</f>
        <v>9.4370535000000005E-3</v>
      </c>
      <c r="L30" s="327"/>
      <c r="M30" s="344">
        <f>M21-M28</f>
        <v>9.06401651E-3</v>
      </c>
    </row>
    <row r="31" spans="1:13">
      <c r="A31" s="317"/>
      <c r="B31" s="308"/>
      <c r="C31" s="320"/>
      <c r="D31" s="320"/>
      <c r="E31" s="320"/>
      <c r="F31" s="320"/>
      <c r="G31" s="311"/>
      <c r="H31" s="311"/>
      <c r="I31" s="311"/>
      <c r="J31" s="311"/>
      <c r="K31" s="345"/>
      <c r="L31" s="327"/>
      <c r="M31" s="345"/>
    </row>
    <row r="32" spans="1:13">
      <c r="A32" s="317" t="s">
        <v>542</v>
      </c>
      <c r="B32" s="308"/>
      <c r="C32" s="320"/>
      <c r="D32" s="320"/>
      <c r="E32" s="320"/>
      <c r="F32" s="320"/>
      <c r="G32" s="311"/>
      <c r="H32" s="311"/>
      <c r="I32" s="311"/>
      <c r="J32" s="311"/>
      <c r="K32" s="347">
        <f>ROUND(+K30*0.35,6)</f>
        <v>3.3029999999999999E-3</v>
      </c>
      <c r="L32" s="327"/>
      <c r="M32" s="347">
        <f>ROUND(+M30*0.35,6)</f>
        <v>3.1719999999999999E-3</v>
      </c>
    </row>
    <row r="33" spans="1:13">
      <c r="A33" s="317"/>
      <c r="B33" s="308"/>
      <c r="C33" s="320"/>
      <c r="D33" s="320"/>
      <c r="E33" s="320"/>
      <c r="F33" s="320"/>
      <c r="G33" s="311"/>
      <c r="H33" s="311"/>
      <c r="I33" s="311"/>
      <c r="J33" s="311"/>
      <c r="K33" s="345"/>
      <c r="L33" s="327"/>
      <c r="M33" s="345"/>
    </row>
    <row r="34" spans="1:13" ht="13.5" thickBot="1">
      <c r="A34" s="317" t="s">
        <v>543</v>
      </c>
      <c r="B34" s="308"/>
      <c r="C34" s="320"/>
      <c r="D34" s="320"/>
      <c r="E34" s="320"/>
      <c r="F34" s="320"/>
      <c r="G34" s="311"/>
      <c r="H34" s="311"/>
      <c r="I34" s="311"/>
      <c r="J34" s="311"/>
      <c r="K34" s="348">
        <f>K21-K32</f>
        <v>6.1340535000000002E-3</v>
      </c>
      <c r="L34" s="327"/>
      <c r="M34" s="348">
        <f>M21-M32</f>
        <v>6.2920165099999998E-3</v>
      </c>
    </row>
    <row r="35" spans="1:13" ht="13.5" thickTop="1">
      <c r="A35" s="317"/>
      <c r="B35" s="308"/>
      <c r="C35" s="336"/>
      <c r="D35" s="336"/>
      <c r="E35" s="336"/>
      <c r="F35" s="336"/>
      <c r="G35" s="311"/>
      <c r="H35" s="311"/>
      <c r="I35" s="311"/>
      <c r="J35" s="311"/>
      <c r="K35" s="345"/>
      <c r="L35" s="327"/>
      <c r="M35" s="349"/>
    </row>
    <row r="36" spans="1:13" ht="13.5" thickBot="1">
      <c r="A36" s="337" t="s">
        <v>34</v>
      </c>
      <c r="B36" s="337"/>
      <c r="C36" s="337"/>
      <c r="D36" s="337"/>
      <c r="E36" s="337"/>
      <c r="F36" s="337"/>
      <c r="G36" s="337"/>
      <c r="H36" s="337"/>
      <c r="I36" s="337"/>
      <c r="J36" s="337"/>
      <c r="K36" s="350">
        <f>1/(K34/K11)</f>
        <v>1.6302433619139449</v>
      </c>
      <c r="L36" s="351"/>
      <c r="M36" s="350">
        <f>1/(M34/M11)</f>
        <v>1.589315600826356</v>
      </c>
    </row>
    <row r="37" spans="1:13" ht="13.5" thickTop="1">
      <c r="A37" s="337"/>
      <c r="B37" s="337"/>
      <c r="C37" s="337"/>
      <c r="D37" s="337"/>
      <c r="E37" s="337"/>
      <c r="F37" s="337"/>
      <c r="G37" s="337"/>
      <c r="H37" s="337"/>
      <c r="I37" s="337"/>
      <c r="J37" s="337"/>
      <c r="K37" s="352"/>
      <c r="L37" s="327"/>
      <c r="M37" s="352"/>
    </row>
    <row r="38" spans="1:13">
      <c r="A38" s="337" t="s">
        <v>545</v>
      </c>
      <c r="B38" s="337"/>
      <c r="C38" s="337"/>
      <c r="D38" s="337"/>
      <c r="E38" s="337"/>
      <c r="F38" s="337"/>
      <c r="G38" s="337"/>
      <c r="H38" s="337"/>
      <c r="I38" s="337"/>
      <c r="J38" s="337"/>
      <c r="K38" s="353"/>
      <c r="L38" s="327"/>
      <c r="M38" s="327"/>
    </row>
    <row r="39" spans="1:13">
      <c r="A39" s="317" t="s">
        <v>546</v>
      </c>
      <c r="B39" s="308"/>
      <c r="C39" s="314"/>
      <c r="D39" s="314"/>
      <c r="E39" s="314"/>
      <c r="F39" s="314"/>
      <c r="G39" s="315"/>
      <c r="H39" s="315"/>
      <c r="I39" s="316"/>
      <c r="J39" s="316"/>
      <c r="K39" s="354">
        <v>0.01</v>
      </c>
      <c r="L39" s="355"/>
      <c r="M39" s="354">
        <v>0.01</v>
      </c>
    </row>
    <row r="40" spans="1:13">
      <c r="A40" s="317"/>
      <c r="B40" s="308"/>
      <c r="C40" s="322"/>
      <c r="D40" s="322"/>
      <c r="E40" s="322"/>
      <c r="F40" s="322"/>
      <c r="G40" s="316"/>
      <c r="H40" s="316"/>
      <c r="I40" s="322"/>
      <c r="J40" s="322"/>
      <c r="K40" s="344"/>
      <c r="L40" s="355"/>
      <c r="M40" s="344"/>
    </row>
    <row r="41" spans="1:13">
      <c r="A41" s="317" t="s">
        <v>544</v>
      </c>
      <c r="B41" s="308"/>
      <c r="C41" s="322"/>
      <c r="D41" s="322"/>
      <c r="E41" s="322"/>
      <c r="F41" s="322"/>
      <c r="G41" s="316"/>
      <c r="H41" s="316"/>
      <c r="I41" s="322"/>
      <c r="J41" s="322"/>
      <c r="K41" s="346"/>
      <c r="L41" s="327"/>
      <c r="M41" s="346"/>
    </row>
    <row r="42" spans="1:13">
      <c r="A42" s="325" t="s">
        <v>535</v>
      </c>
      <c r="B42" s="308"/>
      <c r="C42" s="322"/>
      <c r="D42" s="322"/>
      <c r="E42" s="322"/>
      <c r="F42" s="322"/>
      <c r="G42" s="316"/>
      <c r="H42" s="316"/>
      <c r="I42" s="322"/>
      <c r="J42" s="322"/>
      <c r="K42" s="326">
        <v>0</v>
      </c>
      <c r="L42" s="327"/>
      <c r="M42" s="326">
        <v>0.09</v>
      </c>
    </row>
    <row r="43" spans="1:13">
      <c r="A43" s="325" t="s">
        <v>536</v>
      </c>
      <c r="B43" s="308"/>
      <c r="C43" s="322"/>
      <c r="D43" s="322"/>
      <c r="E43" s="322"/>
      <c r="F43" s="322"/>
      <c r="G43" s="316"/>
      <c r="H43" s="316"/>
      <c r="I43" s="322"/>
      <c r="J43" s="322"/>
      <c r="K43" s="329">
        <f>K60</f>
        <v>0.50181852164083196</v>
      </c>
      <c r="L43" s="153"/>
      <c r="M43" s="329">
        <f>K60</f>
        <v>0.50181852164083196</v>
      </c>
    </row>
    <row r="44" spans="1:13">
      <c r="A44" s="328" t="s">
        <v>537</v>
      </c>
      <c r="B44" s="308"/>
      <c r="C44" s="322"/>
      <c r="D44" s="322"/>
      <c r="E44" s="322"/>
      <c r="F44" s="322"/>
      <c r="G44" s="316"/>
      <c r="H44" s="316"/>
      <c r="I44" s="322"/>
      <c r="J44" s="322"/>
      <c r="K44" s="329">
        <f>ROUND(K42*K43,4)</f>
        <v>0</v>
      </c>
      <c r="L44" s="327"/>
      <c r="M44" s="329">
        <f>ROUND(M42*M43,4)</f>
        <v>4.5199999999999997E-2</v>
      </c>
    </row>
    <row r="45" spans="1:13">
      <c r="A45" s="330" t="s">
        <v>538</v>
      </c>
      <c r="B45" s="308"/>
      <c r="C45" s="322"/>
      <c r="D45" s="322"/>
      <c r="E45" s="322"/>
      <c r="F45" s="322"/>
      <c r="G45" s="316"/>
      <c r="H45" s="316"/>
      <c r="I45" s="322"/>
      <c r="J45" s="322"/>
      <c r="K45" s="332">
        <f>ROUND(K39*K44,4)</f>
        <v>0</v>
      </c>
      <c r="L45" s="327"/>
      <c r="M45" s="332">
        <f>ROUND(M39*M44,4)</f>
        <v>5.0000000000000001E-4</v>
      </c>
    </row>
    <row r="46" spans="1:13">
      <c r="A46" s="328"/>
      <c r="B46" s="308"/>
      <c r="C46" s="322"/>
      <c r="D46" s="322"/>
      <c r="E46" s="322"/>
      <c r="F46" s="322"/>
      <c r="G46" s="316"/>
      <c r="H46" s="316"/>
      <c r="I46" s="322"/>
      <c r="J46" s="322"/>
      <c r="K46" s="333"/>
      <c r="L46" s="327"/>
      <c r="M46" s="334"/>
    </row>
    <row r="47" spans="1:13">
      <c r="A47" s="328" t="s">
        <v>556</v>
      </c>
      <c r="B47" s="308"/>
      <c r="C47" s="322"/>
      <c r="D47" s="322"/>
      <c r="E47" s="322"/>
      <c r="F47" s="322"/>
      <c r="G47" s="316"/>
      <c r="H47" s="316"/>
      <c r="I47" s="322"/>
      <c r="J47" s="322"/>
      <c r="K47" s="344">
        <f>K39-K45</f>
        <v>0.01</v>
      </c>
      <c r="L47" s="327"/>
      <c r="M47" s="344">
        <f>M39-M45</f>
        <v>9.4999999999999998E-3</v>
      </c>
    </row>
    <row r="48" spans="1:13">
      <c r="A48" s="317"/>
      <c r="B48" s="308"/>
      <c r="C48" s="320"/>
      <c r="D48" s="320"/>
      <c r="E48" s="320"/>
      <c r="F48" s="320"/>
      <c r="G48" s="311"/>
      <c r="H48" s="311"/>
      <c r="I48" s="311"/>
      <c r="J48" s="311"/>
      <c r="K48" s="345"/>
      <c r="L48" s="327"/>
      <c r="M48" s="345"/>
    </row>
    <row r="49" spans="1:13">
      <c r="A49" s="317" t="s">
        <v>558</v>
      </c>
      <c r="B49" s="308"/>
      <c r="C49" s="320"/>
      <c r="D49" s="320"/>
      <c r="E49" s="320"/>
      <c r="F49" s="320"/>
      <c r="G49" s="311"/>
      <c r="H49" s="311"/>
      <c r="I49" s="311"/>
      <c r="J49" s="311"/>
      <c r="K49" s="356">
        <f>ROUND(+K47*0.055,6)*100</f>
        <v>5.5E-2</v>
      </c>
      <c r="L49" s="357"/>
      <c r="M49" s="356">
        <f>ROUND(+M47*0.055,6)*100</f>
        <v>5.2299999999999999E-2</v>
      </c>
    </row>
    <row r="50" spans="1:13">
      <c r="A50" s="317"/>
      <c r="B50" s="308"/>
      <c r="C50" s="320"/>
      <c r="D50" s="320"/>
      <c r="E50" s="320"/>
      <c r="F50" s="320"/>
      <c r="G50" s="311"/>
      <c r="H50" s="311"/>
      <c r="I50" s="311"/>
      <c r="J50" s="311"/>
      <c r="K50" s="321"/>
      <c r="M50" s="321"/>
    </row>
    <row r="52" spans="1:13">
      <c r="A52" s="302" t="s">
        <v>555</v>
      </c>
      <c r="K52" s="313" t="s">
        <v>553</v>
      </c>
    </row>
    <row r="53" spans="1:13">
      <c r="B53" s="302" t="s">
        <v>547</v>
      </c>
      <c r="K53" s="341">
        <v>2306.7939999999999</v>
      </c>
    </row>
    <row r="54" spans="1:13">
      <c r="B54" s="302" t="s">
        <v>548</v>
      </c>
      <c r="K54" s="341">
        <v>7346.3360000000002</v>
      </c>
    </row>
    <row r="55" spans="1:13">
      <c r="B55" s="302" t="s">
        <v>549</v>
      </c>
      <c r="K55" s="341">
        <v>11011.694</v>
      </c>
    </row>
    <row r="56" spans="1:13">
      <c r="B56" s="302" t="s">
        <v>552</v>
      </c>
      <c r="K56" s="341">
        <v>-5586.3019999999997</v>
      </c>
    </row>
    <row r="57" spans="1:13">
      <c r="B57" s="302" t="s">
        <v>550</v>
      </c>
      <c r="K57" s="341">
        <f>SUM(K53:K56)</f>
        <v>15078.522000000001</v>
      </c>
    </row>
    <row r="58" spans="1:13">
      <c r="K58" s="341"/>
    </row>
    <row r="59" spans="1:13">
      <c r="B59" s="302" t="s">
        <v>551</v>
      </c>
      <c r="K59" s="342">
        <v>30047.758999999998</v>
      </c>
    </row>
    <row r="60" spans="1:13" ht="13.5" thickBot="1">
      <c r="B60" s="302" t="s">
        <v>554</v>
      </c>
      <c r="K60" s="343">
        <f>K57/K59</f>
        <v>0.50181852164083196</v>
      </c>
    </row>
    <row r="61" spans="1:13" ht="13.5" thickTop="1"/>
  </sheetData>
  <mergeCells count="5">
    <mergeCell ref="A1:M1"/>
    <mergeCell ref="A2:M2"/>
    <mergeCell ref="A3:M3"/>
    <mergeCell ref="A4:M4"/>
    <mergeCell ref="A5:M5"/>
  </mergeCells>
  <pageMargins left="0.39" right="0.25" top="1" bottom="1" header="0.5" footer="0.5"/>
  <pageSetup orientation="portrait" r:id="rId1"/>
  <headerFooter alignWithMargins="0">
    <oddHeader>&amp;R&amp;8Docket No. 160021-EI, &amp;"Arial,Italic"et al&amp;"Arial,Regular".
FPL POD No. 5
Attachment A
Page &amp;P of &amp;N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view="pageLayout" zoomScaleNormal="100" workbookViewId="0">
      <selection activeCell="G9" sqref="G9"/>
    </sheetView>
  </sheetViews>
  <sheetFormatPr defaultRowHeight="12.75"/>
  <cols>
    <col min="1" max="1" width="0.85546875" customWidth="1"/>
    <col min="2" max="2" width="21.5703125" customWidth="1"/>
    <col min="3" max="3" width="2.140625" customWidth="1"/>
    <col min="4" max="4" width="12.7109375" customWidth="1"/>
    <col min="5" max="5" width="2.140625" customWidth="1"/>
    <col min="6" max="6" width="12.7109375" customWidth="1"/>
    <col min="7" max="7" width="2.140625" customWidth="1"/>
    <col min="8" max="8" width="12.85546875" customWidth="1"/>
    <col min="9" max="9" width="2.28515625" customWidth="1"/>
    <col min="10" max="10" width="9.7109375" customWidth="1"/>
    <col min="11" max="11" width="2.140625" customWidth="1"/>
    <col min="12" max="12" width="14" customWidth="1"/>
  </cols>
  <sheetData>
    <row r="1" spans="1:12">
      <c r="A1" s="374" t="s">
        <v>33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</row>
    <row r="2" spans="1:12">
      <c r="A2" s="375" t="s">
        <v>570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</row>
    <row r="3" spans="1:12">
      <c r="A3" s="375" t="s">
        <v>65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</row>
    <row r="4" spans="1:12">
      <c r="A4" s="375" t="s">
        <v>69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</row>
    <row r="5" spans="1:12">
      <c r="A5" s="374" t="s">
        <v>19</v>
      </c>
      <c r="B5" s="374"/>
      <c r="C5" s="374"/>
      <c r="D5" s="374"/>
      <c r="E5" s="374"/>
      <c r="F5" s="374"/>
      <c r="G5" s="374"/>
      <c r="H5" s="374"/>
      <c r="I5" s="374"/>
      <c r="J5" s="374"/>
      <c r="K5" s="374"/>
      <c r="L5" s="374"/>
    </row>
    <row r="6" spans="1:12">
      <c r="A6" s="273"/>
      <c r="B6" s="273"/>
      <c r="C6" s="273"/>
      <c r="D6" s="273"/>
      <c r="E6" s="273"/>
      <c r="F6" s="273"/>
      <c r="G6" s="273"/>
      <c r="H6" s="273"/>
    </row>
    <row r="7" spans="1:12">
      <c r="A7" s="29"/>
      <c r="B7" s="42"/>
      <c r="C7" s="42"/>
      <c r="D7" s="45"/>
      <c r="E7" s="45"/>
      <c r="F7" s="45"/>
      <c r="G7" s="42"/>
      <c r="H7" s="177"/>
      <c r="J7" s="29"/>
      <c r="L7" s="11" t="s">
        <v>560</v>
      </c>
    </row>
    <row r="8" spans="1:12">
      <c r="A8" s="29"/>
      <c r="B8" s="167" t="s">
        <v>571</v>
      </c>
      <c r="C8" s="42"/>
      <c r="D8" s="45"/>
      <c r="E8" s="45"/>
      <c r="F8" s="45"/>
      <c r="G8" s="42"/>
      <c r="H8" s="177"/>
      <c r="J8" s="29"/>
      <c r="L8" s="45">
        <v>1165.2260000000001</v>
      </c>
    </row>
    <row r="9" spans="1:12">
      <c r="A9" s="29"/>
      <c r="B9" s="167"/>
      <c r="C9" s="42"/>
      <c r="D9" s="45"/>
      <c r="E9" s="45"/>
      <c r="F9" s="45"/>
      <c r="G9" s="42"/>
      <c r="H9" s="177"/>
      <c r="J9" s="29"/>
      <c r="L9" s="45"/>
    </row>
    <row r="10" spans="1:12">
      <c r="A10" s="29"/>
      <c r="B10" s="167" t="s">
        <v>572</v>
      </c>
      <c r="C10" s="42"/>
      <c r="D10" s="236" t="s">
        <v>590</v>
      </c>
      <c r="E10" s="45"/>
      <c r="F10" s="45"/>
      <c r="G10" s="42"/>
      <c r="H10" s="177"/>
      <c r="J10" s="29"/>
      <c r="L10" s="45">
        <f>L8*0.025</f>
        <v>29.130650000000003</v>
      </c>
    </row>
    <row r="11" spans="1:12">
      <c r="A11" s="29"/>
      <c r="B11" s="167"/>
      <c r="C11" s="42"/>
      <c r="D11" s="45"/>
      <c r="E11" s="45"/>
      <c r="F11" s="45"/>
      <c r="G11" s="42"/>
      <c r="H11" s="177"/>
      <c r="J11" s="29"/>
      <c r="L11" s="45"/>
    </row>
    <row r="12" spans="1:12">
      <c r="A12" s="29"/>
      <c r="B12" s="167" t="s">
        <v>573</v>
      </c>
      <c r="C12" s="42"/>
      <c r="D12" s="45"/>
      <c r="E12" s="45"/>
      <c r="F12" s="45"/>
      <c r="G12" s="42"/>
      <c r="H12" s="177"/>
      <c r="J12" s="29"/>
      <c r="L12" s="198">
        <v>41.104999999999997</v>
      </c>
    </row>
    <row r="13" spans="1:12">
      <c r="A13" s="29"/>
      <c r="B13" s="167"/>
      <c r="C13" s="42"/>
      <c r="D13" s="45"/>
      <c r="E13" s="45"/>
      <c r="F13" s="45"/>
      <c r="G13" s="42"/>
      <c r="H13" s="177"/>
      <c r="J13" s="29"/>
      <c r="L13" s="45"/>
    </row>
    <row r="14" spans="1:12" ht="13.5" thickBot="1">
      <c r="A14" s="29"/>
      <c r="B14" s="167" t="s">
        <v>574</v>
      </c>
      <c r="C14" s="42"/>
      <c r="D14" s="45"/>
      <c r="E14" s="45"/>
      <c r="F14" s="45"/>
      <c r="G14" s="42"/>
      <c r="H14" s="177"/>
      <c r="J14" s="29"/>
      <c r="L14" s="203">
        <f>L10-L12</f>
        <v>-11.974349999999994</v>
      </c>
    </row>
    <row r="15" spans="1:12" ht="13.5" thickTop="1">
      <c r="A15" s="29"/>
      <c r="B15" s="167"/>
      <c r="C15" s="42"/>
      <c r="D15" s="45"/>
      <c r="E15" s="45"/>
      <c r="F15" s="45"/>
      <c r="G15" s="42"/>
      <c r="H15" s="177"/>
      <c r="J15" s="29"/>
      <c r="L15" s="45"/>
    </row>
    <row r="16" spans="1:12">
      <c r="A16" s="29"/>
      <c r="B16" s="167" t="s">
        <v>575</v>
      </c>
      <c r="C16" s="42"/>
      <c r="D16" s="45"/>
      <c r="E16" s="45"/>
      <c r="F16" s="45"/>
      <c r="G16" s="42"/>
      <c r="H16" s="177"/>
      <c r="J16" s="29"/>
      <c r="L16" s="45">
        <f>-L14*0.5</f>
        <v>5.987174999999997</v>
      </c>
    </row>
    <row r="17" spans="1:12">
      <c r="A17" s="29"/>
      <c r="B17" s="167" t="s">
        <v>468</v>
      </c>
      <c r="C17" s="42"/>
      <c r="D17" s="45"/>
      <c r="E17" s="45"/>
      <c r="F17" s="45"/>
      <c r="G17" s="42"/>
      <c r="H17" s="177"/>
      <c r="J17" s="29"/>
      <c r="L17" s="198">
        <f>-L16*0.38575</f>
        <v>-2.3095527562499987</v>
      </c>
    </row>
    <row r="18" spans="1:12">
      <c r="A18" s="29"/>
      <c r="B18" s="167" t="s">
        <v>425</v>
      </c>
      <c r="C18" s="42"/>
      <c r="D18" s="45"/>
      <c r="E18" s="45"/>
      <c r="F18" s="45"/>
      <c r="G18" s="42"/>
      <c r="H18" s="177"/>
      <c r="J18" s="29"/>
      <c r="L18" s="45">
        <f>SUM(L16:L17)</f>
        <v>3.6776222437499984</v>
      </c>
    </row>
    <row r="19" spans="1:12">
      <c r="A19" s="29"/>
      <c r="B19" s="167" t="s">
        <v>422</v>
      </c>
      <c r="C19" s="42"/>
      <c r="D19" s="45"/>
      <c r="E19" s="45"/>
      <c r="F19" s="259"/>
      <c r="G19" s="42"/>
      <c r="H19" s="177"/>
      <c r="J19" s="29"/>
      <c r="L19" s="260">
        <f>'Exh. LK-30'!H16</f>
        <v>0.13253778780258929</v>
      </c>
    </row>
    <row r="20" spans="1:12" ht="13.5" thickBot="1">
      <c r="A20" s="29"/>
      <c r="B20" s="167" t="s">
        <v>423</v>
      </c>
      <c r="C20" s="42"/>
      <c r="D20" s="45"/>
      <c r="E20" s="45"/>
      <c r="F20" s="45"/>
      <c r="G20" s="42"/>
      <c r="H20" s="177"/>
      <c r="J20" s="29"/>
      <c r="L20" s="261">
        <f>L18*L19</f>
        <v>0.48742391656021961</v>
      </c>
    </row>
    <row r="21" spans="1:12" ht="13.5" thickTop="1">
      <c r="A21" s="29"/>
      <c r="B21" s="42"/>
      <c r="C21" s="42"/>
      <c r="D21" s="45"/>
      <c r="E21" s="45"/>
      <c r="F21" s="45"/>
      <c r="G21" s="42"/>
      <c r="H21" s="177"/>
      <c r="J21" s="29"/>
    </row>
    <row r="22" spans="1:12" ht="13.5" thickBot="1">
      <c r="A22" s="29"/>
      <c r="B22" s="167" t="s">
        <v>432</v>
      </c>
      <c r="C22" s="42"/>
      <c r="D22" s="45"/>
      <c r="E22" s="45"/>
      <c r="F22" s="45"/>
      <c r="G22" s="42"/>
      <c r="H22" s="177"/>
      <c r="J22" s="29"/>
      <c r="L22" s="209">
        <f>L14+L20</f>
        <v>-11.486926083439775</v>
      </c>
    </row>
    <row r="23" spans="1:12" ht="13.5" thickTop="1">
      <c r="A23" s="29"/>
      <c r="B23" s="42"/>
      <c r="C23" s="42"/>
      <c r="D23" s="45"/>
      <c r="E23" s="45"/>
      <c r="F23" s="45"/>
      <c r="G23" s="42"/>
      <c r="H23" s="177"/>
      <c r="J23" s="29"/>
    </row>
  </sheetData>
  <mergeCells count="5">
    <mergeCell ref="A1:L1"/>
    <mergeCell ref="A2:L2"/>
    <mergeCell ref="A3:L3"/>
    <mergeCell ref="A4:L4"/>
    <mergeCell ref="A5:L5"/>
  </mergeCells>
  <pageMargins left="0.39" right="0.25" top="1" bottom="1" header="0.5" footer="0.5"/>
  <pageSetup orientation="portrait" r:id="rId1"/>
  <headerFooter alignWithMargins="0">
    <oddHeader>&amp;R&amp;8Docket No. 160021-EI, &amp;"Arial,Italic"et al&amp;"Arial,Regular".
FPL POD No. 5
Attachment A
Page &amp;P of &amp;N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view="pageLayout" zoomScaleNormal="100" workbookViewId="0">
      <selection activeCell="G9" sqref="G9"/>
    </sheetView>
  </sheetViews>
  <sheetFormatPr defaultRowHeight="12.75"/>
  <cols>
    <col min="1" max="1" width="2.7109375" customWidth="1"/>
    <col min="2" max="2" width="65.7109375" customWidth="1"/>
    <col min="3" max="3" width="6.28515625" customWidth="1"/>
    <col min="4" max="4" width="13.42578125" customWidth="1"/>
    <col min="5" max="5" width="10" customWidth="1"/>
  </cols>
  <sheetData>
    <row r="1" spans="1:4">
      <c r="A1" s="34" t="s">
        <v>33</v>
      </c>
      <c r="B1" s="9"/>
      <c r="C1" s="9"/>
      <c r="D1" s="9"/>
    </row>
    <row r="2" spans="1:4">
      <c r="A2" s="34" t="s">
        <v>70</v>
      </c>
      <c r="B2" s="9"/>
      <c r="C2" s="9"/>
      <c r="D2" s="9"/>
    </row>
    <row r="3" spans="1:4">
      <c r="A3" s="34" t="s">
        <v>65</v>
      </c>
      <c r="B3" s="9"/>
      <c r="C3" s="9"/>
      <c r="D3" s="9"/>
    </row>
    <row r="4" spans="1:4">
      <c r="A4" s="34" t="s">
        <v>69</v>
      </c>
      <c r="B4" s="9"/>
      <c r="C4" s="9"/>
      <c r="D4" s="9"/>
    </row>
    <row r="5" spans="1:4">
      <c r="A5" s="377" t="s">
        <v>19</v>
      </c>
      <c r="B5" s="377"/>
      <c r="C5" s="377"/>
      <c r="D5" s="377"/>
    </row>
    <row r="6" spans="1:4">
      <c r="A6" s="1"/>
      <c r="B6" s="1"/>
      <c r="C6" s="1"/>
      <c r="D6" s="1"/>
    </row>
    <row r="7" spans="1:4">
      <c r="D7" s="11" t="s">
        <v>15</v>
      </c>
    </row>
    <row r="8" spans="1:4">
      <c r="D8" s="10"/>
    </row>
    <row r="9" spans="1:4">
      <c r="A9" s="4" t="s">
        <v>29</v>
      </c>
      <c r="B9" s="4"/>
      <c r="C9" s="4"/>
      <c r="D9" s="14">
        <v>1063.3150000000001</v>
      </c>
    </row>
    <row r="10" spans="1:4">
      <c r="A10" s="4"/>
      <c r="B10" s="4"/>
      <c r="C10" s="4"/>
      <c r="D10" s="15"/>
    </row>
    <row r="11" spans="1:4">
      <c r="A11" s="4" t="s">
        <v>16</v>
      </c>
      <c r="B11" s="4"/>
      <c r="C11" s="4"/>
      <c r="D11" s="16"/>
    </row>
    <row r="12" spans="1:4">
      <c r="A12" s="4"/>
      <c r="B12" s="12" t="s">
        <v>54</v>
      </c>
      <c r="C12" s="12"/>
      <c r="D12" s="28">
        <f>-((417.482*0.38575)-85.747)*0.948824</f>
        <v>-71.443298527555996</v>
      </c>
    </row>
    <row r="13" spans="1:4">
      <c r="A13" s="4"/>
      <c r="B13" s="152" t="s">
        <v>576</v>
      </c>
      <c r="C13" s="4"/>
      <c r="D13" s="22">
        <f>'Exh. LK-34'!L18*-1</f>
        <v>-3.6776222437499984</v>
      </c>
    </row>
    <row r="14" spans="1:4">
      <c r="A14" s="4"/>
      <c r="B14" s="4"/>
      <c r="C14" s="4"/>
      <c r="D14" s="13"/>
    </row>
    <row r="15" spans="1:4">
      <c r="A15" s="4" t="s">
        <v>17</v>
      </c>
      <c r="B15" s="4"/>
      <c r="C15" s="4"/>
      <c r="D15" s="22">
        <f>SUM(D11:D13)</f>
        <v>-75.12092077130599</v>
      </c>
    </row>
    <row r="16" spans="1:4">
      <c r="A16" s="4"/>
      <c r="B16" s="4"/>
      <c r="C16" s="4"/>
      <c r="D16" s="15"/>
    </row>
    <row r="17" spans="1:4" ht="13.5" thickBot="1">
      <c r="A17" s="4" t="s">
        <v>18</v>
      </c>
      <c r="B17" s="4"/>
      <c r="C17" s="4"/>
      <c r="D17" s="17">
        <f>D9+D15</f>
        <v>988.19407922869402</v>
      </c>
    </row>
    <row r="18" spans="1:4" ht="13.5" thickTop="1">
      <c r="A18" s="4"/>
      <c r="B18" s="4"/>
      <c r="C18" s="4"/>
      <c r="D18" s="4"/>
    </row>
    <row r="19" spans="1:4">
      <c r="B19" s="4"/>
      <c r="C19" s="4"/>
      <c r="D19" s="4"/>
    </row>
  </sheetData>
  <mergeCells count="1">
    <mergeCell ref="A5:D5"/>
  </mergeCells>
  <pageMargins left="0.39" right="0.25" top="1" bottom="1" header="0.5" footer="0.5"/>
  <pageSetup orientation="portrait" r:id="rId1"/>
  <headerFooter alignWithMargins="0">
    <oddHeader>&amp;R&amp;8Docket No. 160021-EI, &amp;"Arial,Italic"et al&amp;"Arial,Regular".
FPL POD No. 5
Attachment A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tabSelected="1" view="pageLayout" zoomScaleNormal="100" workbookViewId="0">
      <selection activeCell="G9" sqref="G9"/>
    </sheetView>
  </sheetViews>
  <sheetFormatPr defaultRowHeight="12.75"/>
  <cols>
    <col min="1" max="1" width="10" customWidth="1"/>
    <col min="2" max="2" width="11" customWidth="1"/>
    <col min="3" max="3" width="12" customWidth="1"/>
    <col min="4" max="6" width="11.7109375" customWidth="1"/>
    <col min="7" max="7" width="5.5703125" customWidth="1"/>
    <col min="8" max="8" width="12.42578125" customWidth="1"/>
    <col min="9" max="9" width="3.140625" customWidth="1"/>
    <col min="10" max="10" width="11.7109375" customWidth="1"/>
  </cols>
  <sheetData>
    <row r="1" spans="1:10">
      <c r="A1" s="374" t="s">
        <v>33</v>
      </c>
      <c r="B1" s="374"/>
      <c r="C1" s="374"/>
      <c r="D1" s="374"/>
      <c r="E1" s="374"/>
      <c r="F1" s="374"/>
      <c r="G1" s="374"/>
      <c r="H1" s="374"/>
      <c r="I1" s="374"/>
      <c r="J1" s="374"/>
    </row>
    <row r="2" spans="1:10">
      <c r="A2" s="375" t="s">
        <v>409</v>
      </c>
      <c r="B2" s="374"/>
      <c r="C2" s="374"/>
      <c r="D2" s="374"/>
      <c r="E2" s="374"/>
      <c r="F2" s="374"/>
      <c r="G2" s="374"/>
      <c r="H2" s="374"/>
      <c r="I2" s="374"/>
      <c r="J2" s="374"/>
    </row>
    <row r="3" spans="1:10">
      <c r="A3" s="375" t="s">
        <v>410</v>
      </c>
      <c r="B3" s="374"/>
      <c r="C3" s="374"/>
      <c r="D3" s="374"/>
      <c r="E3" s="374"/>
      <c r="F3" s="374"/>
      <c r="G3" s="374"/>
      <c r="H3" s="374"/>
      <c r="I3" s="374"/>
      <c r="J3" s="374"/>
    </row>
    <row r="4" spans="1:10">
      <c r="A4" s="376" t="s">
        <v>65</v>
      </c>
      <c r="B4" s="376"/>
      <c r="C4" s="376"/>
      <c r="D4" s="376"/>
      <c r="E4" s="376"/>
      <c r="F4" s="376"/>
      <c r="G4" s="376"/>
      <c r="H4" s="376"/>
      <c r="I4" s="376"/>
      <c r="J4" s="376"/>
    </row>
    <row r="5" spans="1:10">
      <c r="A5" s="375" t="s">
        <v>373</v>
      </c>
      <c r="B5" s="374"/>
      <c r="C5" s="374"/>
      <c r="D5" s="374"/>
      <c r="E5" s="374"/>
      <c r="F5" s="374"/>
      <c r="G5" s="374"/>
      <c r="H5" s="374"/>
      <c r="I5" s="374"/>
      <c r="J5" s="374"/>
    </row>
    <row r="6" spans="1:10">
      <c r="A6" s="374" t="s">
        <v>19</v>
      </c>
      <c r="B6" s="374"/>
      <c r="C6" s="374"/>
      <c r="D6" s="374"/>
      <c r="E6" s="374"/>
      <c r="F6" s="374"/>
      <c r="G6" s="374"/>
      <c r="H6" s="374"/>
      <c r="I6" s="374"/>
      <c r="J6" s="374"/>
    </row>
    <row r="7" spans="1:10">
      <c r="A7" s="163"/>
      <c r="B7" s="163"/>
      <c r="C7" s="163"/>
      <c r="D7" s="163"/>
      <c r="E7" s="163"/>
      <c r="F7" s="163"/>
      <c r="G7" s="163"/>
      <c r="H7" s="163"/>
      <c r="I7" s="163"/>
      <c r="J7" s="163"/>
    </row>
    <row r="8" spans="1:10">
      <c r="A8" s="166" t="s">
        <v>372</v>
      </c>
      <c r="B8" s="39"/>
      <c r="C8" s="39"/>
      <c r="D8" s="39"/>
      <c r="E8" s="39"/>
      <c r="F8" s="39"/>
      <c r="G8" s="39"/>
      <c r="H8" s="60">
        <v>2017</v>
      </c>
      <c r="I8" s="39"/>
      <c r="J8" s="60">
        <v>2018</v>
      </c>
    </row>
    <row r="9" spans="1:10">
      <c r="A9" s="38"/>
      <c r="B9" s="39"/>
      <c r="C9" s="39"/>
      <c r="D9" s="39"/>
      <c r="E9" s="39"/>
      <c r="F9" s="39"/>
      <c r="G9" s="39"/>
      <c r="H9" s="39"/>
      <c r="I9" s="39"/>
      <c r="J9" s="39"/>
    </row>
    <row r="10" spans="1:10">
      <c r="A10" s="166" t="s">
        <v>411</v>
      </c>
      <c r="B10" s="39"/>
      <c r="C10" s="39"/>
      <c r="D10" s="39"/>
      <c r="E10" s="39"/>
      <c r="F10" s="39"/>
      <c r="G10" s="39"/>
      <c r="H10" s="227">
        <v>22.093</v>
      </c>
      <c r="I10" s="39"/>
      <c r="J10" s="227">
        <v>22.093</v>
      </c>
    </row>
    <row r="11" spans="1:10">
      <c r="A11" s="166" t="s">
        <v>412</v>
      </c>
      <c r="B11" s="39"/>
      <c r="C11" s="39"/>
      <c r="D11" s="39"/>
      <c r="E11" s="39"/>
      <c r="F11" s="39"/>
      <c r="G11" s="39"/>
      <c r="H11" s="258">
        <v>100.649</v>
      </c>
      <c r="I11" s="39"/>
      <c r="J11" s="258">
        <v>100.649</v>
      </c>
    </row>
    <row r="12" spans="1:10">
      <c r="A12" s="166"/>
      <c r="B12" s="39"/>
      <c r="C12" s="39"/>
      <c r="D12" s="39"/>
      <c r="E12" s="39"/>
      <c r="F12" s="39"/>
      <c r="G12" s="39"/>
      <c r="H12" s="227">
        <f>SUM(H10:H11)</f>
        <v>122.742</v>
      </c>
      <c r="I12" s="39"/>
      <c r="J12" s="227">
        <f>SUM(J10:J11)</f>
        <v>122.742</v>
      </c>
    </row>
    <row r="13" spans="1:10">
      <c r="A13" s="166"/>
      <c r="B13" s="39"/>
      <c r="C13" s="39"/>
      <c r="D13" s="39"/>
      <c r="E13" s="39"/>
      <c r="F13" s="39"/>
      <c r="G13" s="39"/>
      <c r="H13" s="39"/>
      <c r="I13" s="39"/>
      <c r="J13" s="39"/>
    </row>
    <row r="14" spans="1:10">
      <c r="A14" s="166" t="s">
        <v>374</v>
      </c>
      <c r="B14" s="166"/>
      <c r="C14" s="166"/>
      <c r="D14" s="166"/>
      <c r="E14" s="166"/>
      <c r="F14" s="166"/>
      <c r="G14" s="166"/>
      <c r="H14" s="228">
        <v>4</v>
      </c>
      <c r="I14" s="39"/>
      <c r="J14" s="228">
        <v>4</v>
      </c>
    </row>
    <row r="15" spans="1:10">
      <c r="A15" s="166"/>
      <c r="B15" s="39"/>
      <c r="C15" s="39"/>
      <c r="D15" s="39"/>
      <c r="E15" s="39"/>
      <c r="F15" s="39"/>
      <c r="G15" s="39"/>
      <c r="H15" s="39"/>
      <c r="I15" s="39"/>
      <c r="J15" s="39"/>
    </row>
    <row r="16" spans="1:10" ht="13.5" thickBot="1">
      <c r="A16" s="166" t="s">
        <v>376</v>
      </c>
      <c r="B16" s="176"/>
      <c r="C16" s="176"/>
      <c r="D16" s="176"/>
      <c r="E16" s="176"/>
      <c r="F16" s="176"/>
      <c r="G16" s="176"/>
      <c r="H16" s="230">
        <f>-H12/H14</f>
        <v>-30.685500000000001</v>
      </c>
      <c r="I16" s="39"/>
      <c r="J16" s="230">
        <f>-J12/J14</f>
        <v>-30.685500000000001</v>
      </c>
    </row>
    <row r="17" spans="1:11" ht="13.5" thickTop="1">
      <c r="A17" s="166"/>
      <c r="B17" s="166"/>
      <c r="C17" s="166"/>
      <c r="D17" s="166"/>
      <c r="E17" s="166"/>
      <c r="F17" s="166"/>
      <c r="G17" s="166"/>
      <c r="H17" s="39"/>
      <c r="I17" s="39"/>
      <c r="J17" s="39"/>
    </row>
    <row r="18" spans="1:11">
      <c r="A18" s="166" t="s">
        <v>413</v>
      </c>
      <c r="B18" s="166"/>
      <c r="C18" s="166"/>
      <c r="D18" s="166"/>
      <c r="E18" s="166"/>
      <c r="F18" s="166"/>
      <c r="G18" s="166"/>
      <c r="H18" s="227">
        <v>-1.407</v>
      </c>
      <c r="I18" s="227"/>
      <c r="J18" s="227">
        <v>-1.407</v>
      </c>
    </row>
    <row r="19" spans="1:11">
      <c r="A19" s="166" t="s">
        <v>414</v>
      </c>
      <c r="B19" s="166"/>
      <c r="C19" s="166"/>
      <c r="D19" s="166"/>
      <c r="E19" s="166"/>
      <c r="F19" s="166"/>
      <c r="G19" s="166"/>
      <c r="H19" s="258">
        <v>-11.754</v>
      </c>
      <c r="I19" s="227"/>
      <c r="J19" s="258">
        <v>-11.754</v>
      </c>
    </row>
    <row r="20" spans="1:11">
      <c r="A20" s="166" t="s">
        <v>415</v>
      </c>
      <c r="B20" s="166"/>
      <c r="C20" s="166"/>
      <c r="D20" s="166"/>
      <c r="E20" s="166"/>
      <c r="F20" s="166"/>
      <c r="G20" s="166"/>
      <c r="H20" s="59">
        <f>SUM(H16:H19)</f>
        <v>-43.846499999999999</v>
      </c>
      <c r="I20" s="227"/>
      <c r="J20" s="59">
        <f>SUM(J16:J19)</f>
        <v>-43.846499999999999</v>
      </c>
    </row>
    <row r="21" spans="1:11">
      <c r="A21" s="166"/>
      <c r="B21" s="166"/>
      <c r="C21" s="166"/>
      <c r="D21" s="166"/>
      <c r="E21" s="166"/>
      <c r="F21" s="166"/>
      <c r="G21" s="166"/>
      <c r="H21" s="227"/>
      <c r="I21" s="227"/>
      <c r="J21" s="227"/>
    </row>
    <row r="22" spans="1:11">
      <c r="A22" s="166" t="s">
        <v>418</v>
      </c>
      <c r="B22" s="39"/>
      <c r="C22" s="39"/>
      <c r="D22" s="39"/>
      <c r="E22" s="39"/>
      <c r="F22" s="39"/>
      <c r="G22" s="39"/>
      <c r="H22" s="233">
        <v>0.94858699999999996</v>
      </c>
      <c r="I22" s="232"/>
      <c r="J22" s="233">
        <v>0.94865900000000003</v>
      </c>
      <c r="K22" s="191"/>
    </row>
    <row r="23" spans="1:11">
      <c r="A23" s="166"/>
      <c r="B23" s="39"/>
      <c r="C23" s="39"/>
      <c r="D23" s="39"/>
      <c r="E23" s="39"/>
      <c r="F23" s="39"/>
      <c r="G23" s="39"/>
      <c r="H23" s="232"/>
      <c r="I23" s="232"/>
      <c r="J23" s="232"/>
      <c r="K23" s="191"/>
    </row>
    <row r="24" spans="1:11" ht="13.5" thickBot="1">
      <c r="A24" s="166" t="s">
        <v>416</v>
      </c>
      <c r="B24" s="39"/>
      <c r="C24" s="39"/>
      <c r="D24" s="39"/>
      <c r="E24" s="39"/>
      <c r="F24" s="39"/>
      <c r="G24" s="39"/>
      <c r="H24" s="230">
        <f>H20*H22</f>
        <v>-41.592219895499994</v>
      </c>
      <c r="I24" s="232"/>
      <c r="J24" s="230">
        <f>J20*J22</f>
        <v>-41.595376843499999</v>
      </c>
      <c r="K24" s="191"/>
    </row>
    <row r="25" spans="1:11" ht="13.5" thickTop="1">
      <c r="A25" s="166"/>
      <c r="B25" s="39"/>
      <c r="C25" s="39"/>
      <c r="D25" s="39"/>
      <c r="E25" s="39"/>
      <c r="F25" s="39"/>
      <c r="G25" s="39"/>
      <c r="H25" s="229"/>
      <c r="I25" s="232"/>
      <c r="J25" s="229"/>
      <c r="K25" s="191"/>
    </row>
    <row r="26" spans="1:11">
      <c r="A26" s="166"/>
      <c r="B26" s="39"/>
      <c r="C26" s="39"/>
      <c r="D26" s="39"/>
      <c r="E26" s="39"/>
      <c r="F26" s="39"/>
      <c r="G26" s="39"/>
      <c r="H26" s="229"/>
      <c r="I26" s="232"/>
      <c r="J26" s="229"/>
      <c r="K26" s="191"/>
    </row>
    <row r="27" spans="1:11">
      <c r="A27" s="166"/>
      <c r="B27" s="39"/>
      <c r="C27" s="39"/>
      <c r="D27" s="39"/>
      <c r="E27" s="39"/>
      <c r="F27" s="39"/>
      <c r="G27" s="39"/>
      <c r="H27" s="39"/>
      <c r="I27" s="39"/>
      <c r="J27" s="39"/>
    </row>
    <row r="28" spans="1:11">
      <c r="A28" s="166" t="s">
        <v>379</v>
      </c>
      <c r="B28" s="39"/>
      <c r="C28" s="39"/>
      <c r="D28" s="39"/>
      <c r="E28" s="39"/>
      <c r="F28" s="39"/>
      <c r="G28" s="39"/>
      <c r="H28" s="231">
        <f>(B56-B51)*H22</f>
        <v>20.796584241250009</v>
      </c>
      <c r="I28" s="39"/>
      <c r="J28" s="231">
        <f>(E56-E51)*J22</f>
        <v>62.394013924249982</v>
      </c>
    </row>
    <row r="29" spans="1:11">
      <c r="A29" s="29"/>
      <c r="B29" s="42"/>
      <c r="C29" s="42"/>
      <c r="D29" s="42"/>
      <c r="E29" s="42"/>
      <c r="F29" s="42"/>
      <c r="G29" s="42"/>
      <c r="H29" s="42"/>
      <c r="I29" s="42"/>
      <c r="J29" s="42"/>
    </row>
    <row r="30" spans="1:11">
      <c r="A30" s="41" t="s">
        <v>55</v>
      </c>
      <c r="B30" s="41"/>
      <c r="C30" s="41"/>
      <c r="D30" s="41"/>
      <c r="E30" s="41"/>
      <c r="F30" s="41"/>
      <c r="G30" s="41"/>
      <c r="H30" s="51">
        <f>'Exh. LK-28'!J19</f>
        <v>9.8804316192411479E-2</v>
      </c>
      <c r="I30" s="41"/>
      <c r="J30" s="51">
        <f>'Exh. LK-29'!J19</f>
        <v>9.9784915778226832E-2</v>
      </c>
    </row>
    <row r="31" spans="1:11">
      <c r="A31" s="41"/>
      <c r="B31" s="41"/>
      <c r="C31" s="41"/>
      <c r="D31" s="41"/>
      <c r="E31" s="41"/>
      <c r="F31" s="41"/>
      <c r="G31" s="41"/>
      <c r="H31" s="41"/>
      <c r="I31" s="41"/>
      <c r="J31" s="41"/>
    </row>
    <row r="32" spans="1:11" ht="13.5" thickBot="1">
      <c r="A32" s="167" t="s">
        <v>377</v>
      </c>
      <c r="B32" s="167"/>
      <c r="C32" s="167"/>
      <c r="D32" s="167"/>
      <c r="E32" s="167"/>
      <c r="F32" s="167"/>
      <c r="G32" s="167"/>
      <c r="H32" s="58">
        <f>H28*H30</f>
        <v>2.0547922850945879</v>
      </c>
      <c r="I32" s="41"/>
      <c r="J32" s="58">
        <f>J28*J30</f>
        <v>6.2259814244967968</v>
      </c>
    </row>
    <row r="33" spans="1:10" ht="13.5" thickTop="1">
      <c r="A33" s="167"/>
      <c r="B33" s="167"/>
      <c r="C33" s="167"/>
      <c r="D33" s="167"/>
      <c r="E33" s="167"/>
      <c r="F33" s="167"/>
      <c r="G33" s="167"/>
      <c r="H33" s="44"/>
      <c r="I33" s="41"/>
      <c r="J33" s="44"/>
    </row>
    <row r="34" spans="1:10">
      <c r="A34" s="167"/>
      <c r="B34" s="167"/>
      <c r="C34" s="167"/>
      <c r="D34" s="167"/>
      <c r="E34" s="167"/>
      <c r="F34" s="167"/>
      <c r="G34" s="167"/>
      <c r="H34" s="44"/>
      <c r="I34" s="41"/>
      <c r="J34" s="44"/>
    </row>
    <row r="35" spans="1:10">
      <c r="A35" s="29"/>
      <c r="B35" s="167" t="s">
        <v>382</v>
      </c>
      <c r="C35" s="42"/>
      <c r="D35" s="42"/>
      <c r="E35" s="42"/>
      <c r="F35" s="42"/>
      <c r="G35" s="42"/>
      <c r="H35" s="42"/>
      <c r="I35" s="42"/>
      <c r="J35" s="42"/>
    </row>
    <row r="36" spans="1:10">
      <c r="A36" s="29"/>
      <c r="B36" s="155" t="s">
        <v>57</v>
      </c>
      <c r="C36" s="42"/>
      <c r="D36" s="42"/>
      <c r="E36" s="42"/>
      <c r="F36" s="42"/>
      <c r="G36" s="42"/>
      <c r="H36" s="42"/>
      <c r="I36" s="42"/>
      <c r="J36" s="42"/>
    </row>
    <row r="37" spans="1:10">
      <c r="A37" s="234">
        <v>42705</v>
      </c>
      <c r="B37" s="236">
        <f>H12</f>
        <v>122.742</v>
      </c>
      <c r="C37" s="167"/>
      <c r="D37" s="234">
        <v>43070</v>
      </c>
      <c r="E37" s="237">
        <f>B49</f>
        <v>92.056500000000014</v>
      </c>
      <c r="F37" s="167"/>
      <c r="G37" s="167"/>
      <c r="H37" s="42"/>
      <c r="I37" s="42"/>
      <c r="J37" s="42"/>
    </row>
    <row r="38" spans="1:10">
      <c r="A38" s="235">
        <v>42736</v>
      </c>
      <c r="B38" s="45">
        <f>B37+($H$16/12)</f>
        <v>120.18487500000001</v>
      </c>
      <c r="C38" s="42"/>
      <c r="D38" s="235">
        <v>43101</v>
      </c>
      <c r="E38" s="45">
        <f>E37+($J$16/12)</f>
        <v>89.499375000000015</v>
      </c>
      <c r="F38" s="42"/>
      <c r="G38" s="42"/>
      <c r="H38" s="42"/>
      <c r="I38" s="42"/>
      <c r="J38" s="42"/>
    </row>
    <row r="39" spans="1:10">
      <c r="A39" s="234">
        <v>42767</v>
      </c>
      <c r="B39" s="45">
        <f t="shared" ref="B39:B49" si="0">B38+($H$16/12)</f>
        <v>117.62775000000001</v>
      </c>
      <c r="C39" s="42"/>
      <c r="D39" s="234">
        <v>43132</v>
      </c>
      <c r="E39" s="45">
        <f t="shared" ref="E39:E49" si="1">E38+($J$16/12)</f>
        <v>86.942250000000016</v>
      </c>
      <c r="F39" s="42"/>
      <c r="G39" s="42"/>
      <c r="H39" s="42"/>
      <c r="I39" s="42"/>
      <c r="J39" s="42"/>
    </row>
    <row r="40" spans="1:10">
      <c r="A40" s="235">
        <v>42795</v>
      </c>
      <c r="B40" s="45">
        <f t="shared" si="0"/>
        <v>115.07062500000001</v>
      </c>
      <c r="C40" s="42"/>
      <c r="D40" s="235">
        <v>43160</v>
      </c>
      <c r="E40" s="45">
        <f t="shared" si="1"/>
        <v>84.385125000000016</v>
      </c>
      <c r="F40" s="42"/>
      <c r="G40" s="42"/>
      <c r="H40" s="42"/>
      <c r="I40" s="42"/>
      <c r="J40" s="42"/>
    </row>
    <row r="41" spans="1:10">
      <c r="A41" s="234">
        <v>42826</v>
      </c>
      <c r="B41" s="45">
        <f t="shared" si="0"/>
        <v>112.51350000000001</v>
      </c>
      <c r="C41" s="42"/>
      <c r="D41" s="234">
        <v>43191</v>
      </c>
      <c r="E41" s="45">
        <f t="shared" si="1"/>
        <v>81.828000000000017</v>
      </c>
      <c r="F41" s="42"/>
      <c r="G41" s="42"/>
      <c r="H41" s="42"/>
      <c r="I41" s="42"/>
      <c r="J41" s="42"/>
    </row>
    <row r="42" spans="1:10">
      <c r="A42" s="235">
        <v>42856</v>
      </c>
      <c r="B42" s="45">
        <f t="shared" si="0"/>
        <v>109.95637500000001</v>
      </c>
      <c r="C42" s="42"/>
      <c r="D42" s="235">
        <v>43221</v>
      </c>
      <c r="E42" s="45">
        <f t="shared" si="1"/>
        <v>79.270875000000018</v>
      </c>
      <c r="F42" s="42"/>
      <c r="G42" s="42"/>
      <c r="H42" s="42"/>
      <c r="I42" s="42"/>
      <c r="J42" s="42"/>
    </row>
    <row r="43" spans="1:10">
      <c r="A43" s="234">
        <v>42887</v>
      </c>
      <c r="B43" s="45">
        <f t="shared" si="0"/>
        <v>107.39925000000001</v>
      </c>
      <c r="C43" s="42"/>
      <c r="D43" s="234">
        <v>43252</v>
      </c>
      <c r="E43" s="45">
        <f t="shared" si="1"/>
        <v>76.713750000000019</v>
      </c>
      <c r="F43" s="42"/>
      <c r="G43" s="42"/>
      <c r="H43" s="42"/>
      <c r="I43" s="42"/>
      <c r="J43" s="42"/>
    </row>
    <row r="44" spans="1:10">
      <c r="A44" s="235">
        <v>42917</v>
      </c>
      <c r="B44" s="45">
        <f t="shared" si="0"/>
        <v>104.84212500000001</v>
      </c>
      <c r="C44" s="42"/>
      <c r="D44" s="235">
        <v>43282</v>
      </c>
      <c r="E44" s="45">
        <f t="shared" si="1"/>
        <v>74.15662500000002</v>
      </c>
      <c r="F44" s="42"/>
      <c r="G44" s="42"/>
      <c r="H44" s="42"/>
      <c r="I44" s="42"/>
      <c r="J44" s="42"/>
    </row>
    <row r="45" spans="1:10">
      <c r="A45" s="234">
        <v>42948</v>
      </c>
      <c r="B45" s="45">
        <f t="shared" si="0"/>
        <v>102.28500000000001</v>
      </c>
      <c r="C45" s="42"/>
      <c r="D45" s="234">
        <v>43313</v>
      </c>
      <c r="E45" s="45">
        <f t="shared" si="1"/>
        <v>71.59950000000002</v>
      </c>
      <c r="F45" s="42"/>
      <c r="G45" s="42"/>
      <c r="H45" s="42"/>
      <c r="I45" s="42"/>
      <c r="J45" s="45"/>
    </row>
    <row r="46" spans="1:10">
      <c r="A46" s="235">
        <v>42979</v>
      </c>
      <c r="B46" s="45">
        <f t="shared" si="0"/>
        <v>99.727875000000012</v>
      </c>
      <c r="C46" s="42"/>
      <c r="D46" s="235">
        <v>43344</v>
      </c>
      <c r="E46" s="45">
        <f t="shared" si="1"/>
        <v>69.042375000000021</v>
      </c>
      <c r="F46" s="42"/>
      <c r="G46" s="42"/>
      <c r="H46" s="42"/>
      <c r="I46" s="42"/>
      <c r="J46" s="42"/>
    </row>
    <row r="47" spans="1:10">
      <c r="A47" s="234">
        <v>43009</v>
      </c>
      <c r="B47" s="45">
        <f t="shared" si="0"/>
        <v>97.170750000000012</v>
      </c>
      <c r="C47" s="42"/>
      <c r="D47" s="234">
        <v>43374</v>
      </c>
      <c r="E47" s="45">
        <f t="shared" si="1"/>
        <v>66.485250000000022</v>
      </c>
      <c r="F47" s="42"/>
      <c r="G47" s="42"/>
      <c r="H47" s="42"/>
      <c r="I47" s="42"/>
      <c r="J47" s="42"/>
    </row>
    <row r="48" spans="1:10">
      <c r="A48" s="235">
        <v>43040</v>
      </c>
      <c r="B48" s="45">
        <f t="shared" si="0"/>
        <v>94.613625000000013</v>
      </c>
      <c r="C48" s="42"/>
      <c r="D48" s="235">
        <v>43405</v>
      </c>
      <c r="E48" s="45">
        <f t="shared" si="1"/>
        <v>63.928125000000023</v>
      </c>
      <c r="F48" s="42"/>
      <c r="G48" s="42"/>
      <c r="H48" s="42"/>
      <c r="I48" s="42"/>
      <c r="J48" s="42"/>
    </row>
    <row r="49" spans="1:10">
      <c r="A49" s="234">
        <v>43070</v>
      </c>
      <c r="B49" s="198">
        <f t="shared" si="0"/>
        <v>92.056500000000014</v>
      </c>
      <c r="C49" s="42"/>
      <c r="D49" s="234">
        <v>43435</v>
      </c>
      <c r="E49" s="198">
        <f t="shared" si="1"/>
        <v>61.371000000000024</v>
      </c>
      <c r="F49" s="42"/>
      <c r="G49" s="42"/>
      <c r="H49" s="42"/>
      <c r="I49" s="42"/>
      <c r="J49" s="42"/>
    </row>
    <row r="50" spans="1:10">
      <c r="B50" s="26"/>
      <c r="C50" s="26"/>
      <c r="D50" s="26"/>
      <c r="E50" s="26"/>
      <c r="F50" s="26"/>
      <c r="G50" s="26"/>
      <c r="H50" s="26"/>
      <c r="I50" s="26"/>
      <c r="J50" s="26"/>
    </row>
    <row r="51" spans="1:10" ht="13.5" thickBot="1">
      <c r="A51" s="158" t="s">
        <v>383</v>
      </c>
      <c r="B51" s="209">
        <f>SUM(B37:B50)/13</f>
        <v>107.39924999999999</v>
      </c>
      <c r="C51" s="26"/>
      <c r="D51" s="26"/>
      <c r="E51" s="209">
        <f>SUM(E37:E50)/13</f>
        <v>76.713750000000019</v>
      </c>
      <c r="F51" s="26"/>
      <c r="G51" s="26"/>
      <c r="H51" s="26"/>
      <c r="I51" s="26"/>
      <c r="J51" s="26"/>
    </row>
    <row r="52" spans="1:10" ht="13.5" thickTop="1">
      <c r="A52" s="158" t="s">
        <v>384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>
      <c r="B53" s="26"/>
      <c r="C53" s="26"/>
      <c r="D53" s="26"/>
      <c r="E53" s="26"/>
      <c r="F53" s="26"/>
      <c r="G53" s="26"/>
      <c r="H53" s="26"/>
      <c r="I53" s="26"/>
      <c r="J53" s="26"/>
    </row>
    <row r="54" spans="1:10">
      <c r="B54" s="26"/>
      <c r="C54" s="26"/>
      <c r="D54" s="26"/>
      <c r="E54" s="26"/>
      <c r="F54" s="26"/>
      <c r="G54" s="26"/>
      <c r="H54" s="26"/>
      <c r="I54" s="26"/>
      <c r="J54" s="26"/>
    </row>
    <row r="55" spans="1:10">
      <c r="A55" s="167" t="s">
        <v>385</v>
      </c>
      <c r="B55" s="167"/>
      <c r="C55" s="167"/>
      <c r="D55" s="167"/>
      <c r="E55" s="167"/>
      <c r="F55" s="26"/>
      <c r="G55" s="26"/>
      <c r="H55" s="26"/>
      <c r="I55" s="26"/>
      <c r="J55" s="26"/>
    </row>
    <row r="56" spans="1:10">
      <c r="A56" s="167">
        <v>2017</v>
      </c>
      <c r="B56" s="236">
        <f>(22.093+100.649+23.501+112.403)/2</f>
        <v>129.32300000000001</v>
      </c>
      <c r="C56" s="167"/>
      <c r="D56" s="167">
        <v>2018</v>
      </c>
      <c r="E56" s="236">
        <f>(23.501+112.403+24.908+124.157)/2</f>
        <v>142.4845</v>
      </c>
      <c r="F56" s="26"/>
      <c r="G56" s="26"/>
      <c r="H56" s="26"/>
      <c r="I56" s="26"/>
      <c r="J56" s="26"/>
    </row>
    <row r="57" spans="1:10">
      <c r="B57" s="26"/>
      <c r="C57" s="26"/>
      <c r="D57" s="26"/>
      <c r="E57" s="26"/>
      <c r="F57" s="26"/>
      <c r="G57" s="26"/>
      <c r="H57" s="26"/>
      <c r="I57" s="26"/>
      <c r="J57" s="26"/>
    </row>
    <row r="58" spans="1:10">
      <c r="B58" s="26"/>
      <c r="C58" s="26"/>
      <c r="D58" s="26"/>
      <c r="E58" s="26"/>
      <c r="F58" s="26"/>
      <c r="G58" s="26"/>
      <c r="H58" s="26"/>
      <c r="I58" s="26"/>
      <c r="J58" s="26"/>
    </row>
    <row r="59" spans="1:10">
      <c r="B59" s="26"/>
      <c r="C59" s="26"/>
      <c r="D59" s="26"/>
      <c r="E59" s="26"/>
      <c r="F59" s="26"/>
      <c r="G59" s="26"/>
      <c r="H59" s="26"/>
      <c r="I59" s="26"/>
      <c r="J59" s="26"/>
    </row>
    <row r="60" spans="1:10">
      <c r="B60" s="26"/>
      <c r="C60" s="26"/>
      <c r="D60" s="26"/>
      <c r="E60" s="26"/>
      <c r="F60" s="26"/>
      <c r="G60" s="26"/>
      <c r="H60" s="26"/>
      <c r="I60" s="26"/>
      <c r="J60" s="26"/>
    </row>
    <row r="61" spans="1:10">
      <c r="B61" s="26"/>
      <c r="C61" s="26"/>
      <c r="D61" s="26"/>
      <c r="E61" s="26"/>
      <c r="F61" s="26"/>
      <c r="G61" s="26"/>
      <c r="H61" s="26"/>
      <c r="I61" s="26"/>
      <c r="J61" s="26"/>
    </row>
    <row r="62" spans="1:10">
      <c r="B62" s="26"/>
      <c r="C62" s="26"/>
      <c r="D62" s="26"/>
      <c r="E62" s="26"/>
      <c r="F62" s="26"/>
      <c r="G62" s="26"/>
      <c r="H62" s="26"/>
      <c r="I62" s="26"/>
      <c r="J62" s="26"/>
    </row>
    <row r="63" spans="1:10">
      <c r="B63" s="26"/>
      <c r="C63" s="26"/>
      <c r="D63" s="26"/>
      <c r="E63" s="26"/>
      <c r="F63" s="26"/>
      <c r="G63" s="26"/>
      <c r="H63" s="26"/>
      <c r="I63" s="26"/>
      <c r="J63" s="26"/>
    </row>
    <row r="64" spans="1:10">
      <c r="B64" s="26"/>
      <c r="C64" s="26"/>
      <c r="D64" s="26"/>
      <c r="E64" s="26"/>
      <c r="F64" s="26"/>
      <c r="G64" s="26"/>
      <c r="H64" s="26"/>
      <c r="I64" s="26"/>
      <c r="J64" s="26"/>
    </row>
    <row r="65" spans="2:10">
      <c r="B65" s="26"/>
      <c r="C65" s="26"/>
      <c r="D65" s="26"/>
      <c r="E65" s="26"/>
      <c r="F65" s="26"/>
      <c r="G65" s="26"/>
      <c r="H65" s="26"/>
      <c r="I65" s="26"/>
      <c r="J65" s="26"/>
    </row>
    <row r="66" spans="2:10">
      <c r="B66" s="26"/>
      <c r="C66" s="26"/>
      <c r="D66" s="26"/>
      <c r="E66" s="26"/>
      <c r="F66" s="26"/>
      <c r="G66" s="26"/>
      <c r="H66" s="26"/>
      <c r="I66" s="26"/>
      <c r="J66" s="26"/>
    </row>
    <row r="67" spans="2:10">
      <c r="B67" s="26"/>
      <c r="C67" s="26"/>
      <c r="D67" s="26"/>
      <c r="E67" s="26"/>
      <c r="F67" s="26"/>
      <c r="G67" s="26"/>
      <c r="H67" s="26"/>
      <c r="I67" s="26"/>
      <c r="J67" s="26"/>
    </row>
    <row r="68" spans="2:10">
      <c r="B68" s="26"/>
      <c r="C68" s="26"/>
      <c r="D68" s="26"/>
      <c r="E68" s="26"/>
      <c r="F68" s="26"/>
      <c r="G68" s="26"/>
      <c r="H68" s="26"/>
      <c r="I68" s="26"/>
      <c r="J68" s="26"/>
    </row>
    <row r="69" spans="2:10">
      <c r="B69" s="26"/>
      <c r="C69" s="26"/>
      <c r="D69" s="26"/>
      <c r="E69" s="26"/>
      <c r="F69" s="26"/>
      <c r="G69" s="26"/>
      <c r="H69" s="26"/>
      <c r="I69" s="26"/>
      <c r="J69" s="26"/>
    </row>
    <row r="70" spans="2:10">
      <c r="B70" s="26"/>
      <c r="C70" s="26"/>
      <c r="D70" s="26"/>
      <c r="E70" s="26"/>
      <c r="F70" s="26"/>
      <c r="G70" s="26"/>
      <c r="H70" s="26"/>
      <c r="I70" s="26"/>
      <c r="J70" s="26"/>
    </row>
    <row r="71" spans="2:10">
      <c r="B71" s="26"/>
      <c r="C71" s="26"/>
      <c r="D71" s="26"/>
      <c r="E71" s="26"/>
      <c r="F71" s="26"/>
      <c r="G71" s="26"/>
      <c r="H71" s="26"/>
      <c r="I71" s="26"/>
      <c r="J71" s="26"/>
    </row>
    <row r="72" spans="2:10">
      <c r="B72" s="26"/>
      <c r="C72" s="26"/>
      <c r="D72" s="26"/>
      <c r="E72" s="26"/>
      <c r="F72" s="26"/>
      <c r="G72" s="26"/>
      <c r="H72" s="26"/>
      <c r="I72" s="26"/>
      <c r="J72" s="26"/>
    </row>
    <row r="73" spans="2:10">
      <c r="B73" s="26"/>
      <c r="C73" s="26"/>
      <c r="D73" s="26"/>
      <c r="E73" s="26"/>
      <c r="F73" s="26"/>
      <c r="G73" s="26"/>
      <c r="H73" s="26"/>
      <c r="I73" s="26"/>
      <c r="J73" s="26"/>
    </row>
    <row r="74" spans="2:10">
      <c r="B74" s="26"/>
      <c r="C74" s="26"/>
      <c r="D74" s="26"/>
      <c r="E74" s="26"/>
      <c r="F74" s="26"/>
      <c r="G74" s="26"/>
      <c r="H74" s="26"/>
      <c r="I74" s="26"/>
      <c r="J74" s="26"/>
    </row>
    <row r="75" spans="2:10">
      <c r="B75" s="26"/>
      <c r="C75" s="26"/>
      <c r="D75" s="26"/>
      <c r="E75" s="26"/>
      <c r="F75" s="26"/>
      <c r="G75" s="26"/>
      <c r="H75" s="26"/>
      <c r="I75" s="26"/>
      <c r="J75" s="26"/>
    </row>
    <row r="76" spans="2:10">
      <c r="B76" s="26"/>
      <c r="C76" s="26"/>
      <c r="D76" s="26"/>
      <c r="E76" s="26"/>
      <c r="F76" s="26"/>
      <c r="G76" s="26"/>
      <c r="H76" s="26"/>
      <c r="I76" s="26"/>
      <c r="J76" s="26"/>
    </row>
  </sheetData>
  <mergeCells count="6">
    <mergeCell ref="A1:J1"/>
    <mergeCell ref="A2:J2"/>
    <mergeCell ref="A4:J4"/>
    <mergeCell ref="A5:J5"/>
    <mergeCell ref="A6:J6"/>
    <mergeCell ref="A3:J3"/>
  </mergeCells>
  <pageMargins left="0.39" right="0.25" top="1" bottom="1" header="0.5" footer="0.5"/>
  <pageSetup orientation="portrait" r:id="rId1"/>
  <headerFooter alignWithMargins="0">
    <oddHeader>&amp;R&amp;8Docket No. 160021-EI, &amp;"Arial,Italic"et al&amp;"Arial,Regular".
FPL POD No. 5
Attachment A
Page &amp;P of &amp;N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showGridLines="0" tabSelected="1" view="pageLayout" zoomScaleNormal="100" workbookViewId="0">
      <selection activeCell="G9" sqref="G9"/>
    </sheetView>
  </sheetViews>
  <sheetFormatPr defaultRowHeight="12.75"/>
  <cols>
    <col min="1" max="1" width="1.85546875" customWidth="1"/>
    <col min="2" max="2" width="71.7109375" customWidth="1"/>
    <col min="3" max="3" width="6.140625" customWidth="1"/>
    <col min="4" max="4" width="13.42578125" customWidth="1"/>
    <col min="5" max="5" width="4.85546875" customWidth="1"/>
    <col min="7" max="7" width="12" customWidth="1"/>
    <col min="16" max="16" width="9.5703125" bestFit="1" customWidth="1"/>
  </cols>
  <sheetData>
    <row r="1" spans="1:19">
      <c r="A1" s="34" t="s">
        <v>33</v>
      </c>
      <c r="B1" s="9"/>
      <c r="C1" s="9"/>
      <c r="D1" s="9"/>
    </row>
    <row r="2" spans="1:19">
      <c r="A2" s="34" t="s">
        <v>47</v>
      </c>
      <c r="B2" s="9"/>
      <c r="C2" s="9"/>
      <c r="D2" s="9"/>
    </row>
    <row r="3" spans="1:19">
      <c r="A3" s="34" t="s">
        <v>65</v>
      </c>
      <c r="B3" s="9"/>
      <c r="C3" s="9"/>
      <c r="D3" s="9"/>
      <c r="G3" s="56"/>
      <c r="H3" s="56"/>
      <c r="I3" s="56"/>
      <c r="J3" s="56"/>
      <c r="K3" s="56"/>
      <c r="L3" s="56"/>
    </row>
    <row r="4" spans="1:19">
      <c r="A4" s="34" t="s">
        <v>66</v>
      </c>
      <c r="B4" s="9"/>
      <c r="C4" s="9"/>
      <c r="D4" s="9"/>
      <c r="G4" s="56"/>
      <c r="H4" s="29"/>
      <c r="I4" s="29"/>
      <c r="J4" s="29"/>
      <c r="K4" s="29"/>
      <c r="L4" s="29"/>
    </row>
    <row r="5" spans="1:19">
      <c r="A5" s="377" t="s">
        <v>19</v>
      </c>
      <c r="B5" s="377"/>
      <c r="C5" s="377"/>
      <c r="D5" s="377"/>
    </row>
    <row r="6" spans="1:19">
      <c r="A6" s="1"/>
      <c r="B6" s="1"/>
      <c r="C6" s="1"/>
      <c r="D6" s="1"/>
      <c r="F6" s="25" t="s">
        <v>34</v>
      </c>
      <c r="I6" s="189" t="s">
        <v>345</v>
      </c>
    </row>
    <row r="7" spans="1:19">
      <c r="D7" s="11" t="s">
        <v>15</v>
      </c>
      <c r="F7" s="11" t="s">
        <v>35</v>
      </c>
      <c r="I7" s="190" t="s">
        <v>346</v>
      </c>
    </row>
    <row r="8" spans="1:19">
      <c r="D8" s="10"/>
    </row>
    <row r="9" spans="1:19">
      <c r="A9" s="53" t="s">
        <v>48</v>
      </c>
      <c r="B9" s="3"/>
      <c r="C9" s="3"/>
      <c r="D9" s="89">
        <v>866.35400000000004</v>
      </c>
      <c r="F9" s="33">
        <f>1/(1-(0.00072+0.00065))</f>
        <v>1.0013718794748805</v>
      </c>
      <c r="G9" t="s">
        <v>36</v>
      </c>
      <c r="I9" s="56"/>
      <c r="J9" s="56"/>
      <c r="K9" s="56"/>
      <c r="L9" s="56"/>
      <c r="M9" s="29"/>
      <c r="N9" s="29"/>
      <c r="O9" s="29"/>
      <c r="P9" s="29"/>
      <c r="Q9" s="29"/>
      <c r="R9" s="29"/>
      <c r="S9" s="29"/>
    </row>
    <row r="10" spans="1:19">
      <c r="A10" s="53"/>
      <c r="B10" s="3"/>
      <c r="C10" s="3"/>
      <c r="D10" s="27"/>
      <c r="F10" s="33"/>
      <c r="I10" s="56"/>
      <c r="J10" s="56"/>
      <c r="K10" s="56"/>
      <c r="L10" s="56"/>
      <c r="M10" s="29"/>
      <c r="N10" s="29"/>
      <c r="O10" s="29"/>
      <c r="P10" s="29"/>
      <c r="Q10" s="29"/>
      <c r="R10" s="29"/>
      <c r="S10" s="29"/>
    </row>
    <row r="11" spans="1:19">
      <c r="A11" s="3" t="s">
        <v>30</v>
      </c>
      <c r="B11" s="3"/>
      <c r="C11" s="4"/>
      <c r="D11" s="16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</row>
    <row r="12" spans="1:19">
      <c r="A12" s="3"/>
      <c r="B12" s="158" t="s">
        <v>387</v>
      </c>
      <c r="C12" s="4"/>
      <c r="D12" s="16">
        <f>'Exh. LK-6'!H17*F9</f>
        <v>-4.7228084976417684</v>
      </c>
      <c r="I12" s="226">
        <f>'Exh. LK-6'!H17</f>
        <v>-4.7163382499999997</v>
      </c>
      <c r="J12" s="29"/>
      <c r="K12" s="29"/>
      <c r="L12" s="29"/>
      <c r="M12" s="29"/>
      <c r="N12" s="29"/>
      <c r="O12" s="29"/>
      <c r="P12" s="29"/>
      <c r="Q12" s="29"/>
      <c r="R12" s="29"/>
      <c r="S12" s="29"/>
    </row>
    <row r="13" spans="1:19">
      <c r="A13" s="3"/>
      <c r="B13" s="158" t="s">
        <v>347</v>
      </c>
      <c r="C13" s="4"/>
      <c r="D13" s="226">
        <f>'Exh. LK-8'!H24*F9</f>
        <v>-41.649279408289345</v>
      </c>
      <c r="I13" s="226">
        <f>'Exh. LK-8'!H24</f>
        <v>-41.592219895499994</v>
      </c>
      <c r="J13" s="29"/>
      <c r="K13" s="29"/>
      <c r="L13" s="29"/>
      <c r="M13" s="29"/>
      <c r="N13" s="29"/>
      <c r="O13" s="29"/>
      <c r="P13" s="29"/>
      <c r="Q13" s="29"/>
      <c r="R13" s="29"/>
      <c r="S13" s="29"/>
    </row>
    <row r="14" spans="1:19">
      <c r="B14" s="158" t="s">
        <v>419</v>
      </c>
      <c r="C14" s="4"/>
      <c r="D14" s="13">
        <f>I14*F9</f>
        <v>-195.4117140482461</v>
      </c>
      <c r="F14" s="33" t="s">
        <v>43</v>
      </c>
      <c r="G14" s="29"/>
      <c r="H14" s="29"/>
      <c r="I14" s="88">
        <v>-195.14400000000001</v>
      </c>
      <c r="L14" s="158" t="s">
        <v>420</v>
      </c>
    </row>
    <row r="15" spans="1:19">
      <c r="B15" s="158" t="s">
        <v>463</v>
      </c>
      <c r="C15" s="4"/>
      <c r="D15" s="13">
        <f>I15*F9</f>
        <v>-4.3782672164815768</v>
      </c>
      <c r="F15" s="33"/>
      <c r="G15" s="29"/>
      <c r="H15" s="29"/>
      <c r="I15" s="88">
        <f>'Exh. LK-17'!H21</f>
        <v>-4.3722689903949972</v>
      </c>
    </row>
    <row r="16" spans="1:19">
      <c r="B16" s="158" t="s">
        <v>464</v>
      </c>
      <c r="C16" s="4"/>
      <c r="D16" s="13">
        <f>I16*F9</f>
        <v>-0.96160322960765743</v>
      </c>
      <c r="F16" s="33"/>
      <c r="G16" s="29"/>
      <c r="H16" s="29"/>
      <c r="I16" s="88">
        <f>'Exh. LK-21'!G48</f>
        <v>-0.96028583318309502</v>
      </c>
    </row>
    <row r="17" spans="1:16">
      <c r="B17" s="158" t="s">
        <v>348</v>
      </c>
      <c r="C17" s="4"/>
      <c r="D17" s="13">
        <f>I17*F9</f>
        <v>-22.574193680971277</v>
      </c>
      <c r="F17" s="33"/>
      <c r="G17" s="29"/>
      <c r="H17" s="29"/>
      <c r="I17" s="88">
        <f>'Exh. LK-23'!H33</f>
        <v>-22.543267035628347</v>
      </c>
    </row>
    <row r="18" spans="1:16">
      <c r="B18" s="157" t="s">
        <v>282</v>
      </c>
      <c r="C18" s="4"/>
      <c r="D18" s="13">
        <f>-D36</f>
        <v>3.9738171441638555</v>
      </c>
      <c r="F18" s="33"/>
      <c r="G18" s="29"/>
      <c r="H18" s="29"/>
    </row>
    <row r="19" spans="1:16">
      <c r="B19" s="157" t="s">
        <v>586</v>
      </c>
      <c r="C19" s="4"/>
      <c r="D19" s="13">
        <f>I19*F9</f>
        <v>-1.2329391266034466</v>
      </c>
      <c r="F19" s="33"/>
      <c r="G19" s="29"/>
      <c r="H19" s="29"/>
      <c r="I19" s="88">
        <f>-4.925/4</f>
        <v>-1.23125</v>
      </c>
      <c r="L19" s="158" t="s">
        <v>587</v>
      </c>
    </row>
    <row r="20" spans="1:16">
      <c r="B20" s="157" t="s">
        <v>408</v>
      </c>
      <c r="C20" s="4"/>
      <c r="D20" s="13">
        <f>-('Exh. LK-15'!M28)/1000</f>
        <v>-0.21395660061286775</v>
      </c>
      <c r="F20" s="33"/>
      <c r="G20" s="29"/>
      <c r="H20" s="29"/>
    </row>
    <row r="21" spans="1:16">
      <c r="B21" s="157"/>
      <c r="C21" s="4"/>
      <c r="D21" s="13"/>
      <c r="F21" s="33"/>
      <c r="G21" s="29"/>
      <c r="H21" s="29"/>
      <c r="N21" s="158"/>
    </row>
    <row r="22" spans="1:16">
      <c r="A22" s="3" t="s">
        <v>31</v>
      </c>
      <c r="B22" s="4"/>
      <c r="C22" s="4"/>
      <c r="D22" s="13"/>
      <c r="N22" s="158"/>
      <c r="P22" s="204"/>
    </row>
    <row r="23" spans="1:16">
      <c r="A23" s="3"/>
      <c r="B23" s="4" t="str">
        <f>'Exh. LK-27 - Page 1'!B12</f>
        <v>Remove Nuclear Fuel in Process From Rate Base</v>
      </c>
      <c r="C23" s="4"/>
      <c r="D23" s="13">
        <f>'Exh. LK-27 - Page 1'!D12*'Exh. LK-28'!$J$19</f>
        <v>-40.175939833680168</v>
      </c>
      <c r="J23" s="158" t="s">
        <v>467</v>
      </c>
      <c r="N23" s="158"/>
      <c r="P23" s="204"/>
    </row>
    <row r="24" spans="1:16">
      <c r="A24" s="4"/>
      <c r="B24" s="4" t="str">
        <f>'Exh. LK-27 - Page 1'!B13</f>
        <v>Reduce Accumulated Depreciation to Reflect Depreciation Expense Reduction</v>
      </c>
      <c r="C24" s="4"/>
      <c r="D24" s="13">
        <f>'Exh. LK-27 - Page 1'!D13*'Exh. LK-28'!$J$19</f>
        <v>9.608620945395824</v>
      </c>
      <c r="J24" s="204">
        <f>D14+D24-(D24*0.38575)</f>
        <v>-189.50961863253673</v>
      </c>
    </row>
    <row r="25" spans="1:16">
      <c r="A25" s="4"/>
      <c r="B25" s="4" t="str">
        <f>'Exh. LK-27 - Page 1'!B14</f>
        <v>Reduce Accumulated Fossil Dismantling to Reflect Dismantling Expense Reductions</v>
      </c>
      <c r="C25" s="4"/>
      <c r="D25" s="13">
        <f>'Exh. LK-27 - Page 1'!D14*'Exh. LK-28'!$J$19</f>
        <v>0.26343971645108938</v>
      </c>
    </row>
    <row r="26" spans="1:16">
      <c r="A26" s="4"/>
      <c r="B26" s="4" t="str">
        <f>'Exh. LK-27 - Page 1'!B15</f>
        <v xml:space="preserve">Increase Rate Base to Reflect Extended Amortization of Capital Recovery Costs </v>
      </c>
      <c r="C26" s="4"/>
      <c r="D26" s="13">
        <f>'Exh. LK-27 - Page 1'!D15*'Exh. LK-28'!$J$19</f>
        <v>1.1136860420990948</v>
      </c>
    </row>
    <row r="27" spans="1:16">
      <c r="A27" s="4"/>
      <c r="B27" s="4" t="str">
        <f>'Exh. LK-27 - Page 1'!B16</f>
        <v>Amortize Injuries and Damages Excess Reserve Balance Over 4 Years</v>
      </c>
      <c r="C27" s="4"/>
      <c r="D27" s="13">
        <f>'Exh. LK-27 - Page 1'!D16*'Exh. LK-28'!$J$19</f>
        <v>0.24255615095344377</v>
      </c>
    </row>
    <row r="28" spans="1:16">
      <c r="A28" s="4"/>
      <c r="B28" s="4" t="str">
        <f>'Exh. LK-27 - Page 1'!B17</f>
        <v>Amortize End of Life M&amp;S Inv and Nuclear Last Core Excess Reserve Balance Over 4 Years</v>
      </c>
      <c r="C28" s="4"/>
      <c r="D28" s="13">
        <f>'Exh. LK-27 - Page 1'!D17*'Exh. LK-28'!$J$19</f>
        <v>2.0547922850945879</v>
      </c>
    </row>
    <row r="29" spans="1:16">
      <c r="A29" s="4"/>
      <c r="B29" s="4" t="str">
        <f>'Exh. LK-27 - Page 1'!B18</f>
        <v>Remove Accrued Revenues from Cash Working Capital</v>
      </c>
      <c r="C29" s="4"/>
      <c r="D29" s="13">
        <f>'Exh. LK-27 - Page 1'!D18*'Exh. LK-28'!$J$19</f>
        <v>-22.577774293127945</v>
      </c>
    </row>
    <row r="30" spans="1:16">
      <c r="A30" s="4"/>
      <c r="B30" s="4" t="str">
        <f>'Exh. LK-27 - Page 1'!B19</f>
        <v>Eliminate Unamortized Rate Case Expense</v>
      </c>
      <c r="C30" s="4"/>
      <c r="D30" s="13">
        <f>'Exh. LK-27 - Page 1'!D19*'Exh. LK-28'!$J$19</f>
        <v>-0.42574779847310107</v>
      </c>
    </row>
    <row r="31" spans="1:16">
      <c r="A31" s="4"/>
      <c r="B31" s="4" t="str">
        <f>'Exh. LK-27 - Page 1'!B20</f>
        <v>Correct Company Admitted Error for Balance of Deferred Pension Debit</v>
      </c>
      <c r="C31" s="4"/>
      <c r="D31" s="13">
        <f>'Exh. LK-27 - Page 1'!D20*'Exh. LK-28'!$J$19</f>
        <v>-0.3485816275268277</v>
      </c>
    </row>
    <row r="32" spans="1:16">
      <c r="A32" s="4"/>
      <c r="B32" s="4"/>
      <c r="C32" s="4"/>
      <c r="D32" s="13"/>
    </row>
    <row r="33" spans="1:8">
      <c r="A33" s="3" t="s">
        <v>32</v>
      </c>
      <c r="B33" s="4"/>
      <c r="C33" s="4"/>
      <c r="D33" s="15"/>
    </row>
    <row r="34" spans="1:8">
      <c r="A34" s="8"/>
      <c r="B34" s="8" t="s">
        <v>52</v>
      </c>
      <c r="C34" s="4"/>
      <c r="D34" s="13">
        <f>'Exh. LK-28'!J39</f>
        <v>-4.7423995122258837</v>
      </c>
    </row>
    <row r="35" spans="1:8">
      <c r="A35" s="8"/>
      <c r="B35" s="157" t="s">
        <v>363</v>
      </c>
      <c r="C35" s="4"/>
      <c r="D35" s="13">
        <f>'Exh. LK-28'!J63</f>
        <v>-5.97457774952065</v>
      </c>
    </row>
    <row r="36" spans="1:8">
      <c r="A36" s="8"/>
      <c r="B36" s="157" t="s">
        <v>282</v>
      </c>
      <c r="C36" s="4"/>
      <c r="D36" s="13">
        <f>'Exh. LK-28'!J83</f>
        <v>-3.9738171441638555</v>
      </c>
    </row>
    <row r="37" spans="1:8">
      <c r="A37" s="8"/>
      <c r="B37" s="157" t="s">
        <v>579</v>
      </c>
      <c r="C37" s="4"/>
      <c r="D37" s="13">
        <f>'Exh. LK-28'!J103</f>
        <v>-3.7931890921560236</v>
      </c>
    </row>
    <row r="38" spans="1:8">
      <c r="A38" s="8"/>
      <c r="B38" s="157" t="s">
        <v>599</v>
      </c>
      <c r="C38" s="4"/>
      <c r="D38" s="13">
        <f>'Exh. LK-28'!J123</f>
        <v>-12.986012962143953</v>
      </c>
    </row>
    <row r="39" spans="1:8">
      <c r="A39" s="8"/>
      <c r="B39" s="218" t="s">
        <v>349</v>
      </c>
      <c r="C39" s="4"/>
      <c r="D39" s="13">
        <f>'Exh. LK-28'!J142</f>
        <v>-117.40184151259714</v>
      </c>
    </row>
    <row r="40" spans="1:8">
      <c r="A40" s="8"/>
      <c r="B40" s="8" t="s">
        <v>53</v>
      </c>
      <c r="C40" s="4"/>
      <c r="D40" s="35">
        <f>'Exh. LK-28'!J161</f>
        <v>-469.60736605038949</v>
      </c>
      <c r="F40" t="s">
        <v>63</v>
      </c>
      <c r="H40" s="88">
        <f>D40/(11.5-9)</f>
        <v>-187.84294642015578</v>
      </c>
    </row>
    <row r="41" spans="1:8">
      <c r="A41" s="8"/>
      <c r="B41" s="157" t="s">
        <v>283</v>
      </c>
      <c r="C41" s="4"/>
      <c r="D41" s="35">
        <f>'Exh. LK-28'!J181</f>
        <v>-135.86911222523594</v>
      </c>
      <c r="H41" s="88"/>
    </row>
    <row r="42" spans="1:8">
      <c r="A42" s="8"/>
      <c r="B42" s="157" t="s">
        <v>588</v>
      </c>
      <c r="D42" s="372">
        <v>-7.3040000000000003</v>
      </c>
      <c r="H42" s="88"/>
    </row>
    <row r="43" spans="1:8">
      <c r="A43" s="4"/>
      <c r="B43" s="4"/>
      <c r="C43" s="4"/>
      <c r="D43" s="15"/>
    </row>
    <row r="44" spans="1:8">
      <c r="A44" s="3" t="s">
        <v>44</v>
      </c>
      <c r="B44" s="4"/>
      <c r="C44" s="4"/>
      <c r="D44" s="31">
        <f>SUM(D12:D42)</f>
        <v>-1079.0682093255371</v>
      </c>
    </row>
    <row r="45" spans="1:8">
      <c r="A45" s="4"/>
      <c r="B45" s="4"/>
      <c r="C45" s="4"/>
      <c r="D45" s="15"/>
    </row>
    <row r="46" spans="1:8" ht="13.5" thickBot="1">
      <c r="A46" s="53" t="s">
        <v>46</v>
      </c>
      <c r="B46" s="4"/>
      <c r="C46" s="4"/>
      <c r="D46" s="32">
        <f>D9+D44</f>
        <v>-212.71420932553701</v>
      </c>
    </row>
    <row r="47" spans="1:8" ht="13.5" thickTop="1">
      <c r="A47" s="4"/>
      <c r="B47" s="4"/>
      <c r="C47" s="4"/>
      <c r="D47" s="4"/>
    </row>
    <row r="48" spans="1:8">
      <c r="B48" s="4"/>
      <c r="C48" s="4"/>
      <c r="D48" s="4"/>
    </row>
  </sheetData>
  <mergeCells count="1">
    <mergeCell ref="A5:D5"/>
  </mergeCells>
  <phoneticPr fontId="29" type="noConversion"/>
  <pageMargins left="0.39" right="0.25" top="1" bottom="1" header="0.5" footer="0.5"/>
  <pageSetup orientation="portrait" r:id="rId1"/>
  <headerFooter alignWithMargins="0">
    <oddHeader>&amp;R&amp;8Docket No. 160021-EI, &amp;"Arial,Italic"et al&amp;"Arial,Regular".
FPL POD No. 5
Attachment A
Page &amp;P of &amp;N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showGridLines="0" tabSelected="1" view="pageLayout" zoomScaleNormal="100" workbookViewId="0">
      <selection activeCell="G9" sqref="G9"/>
    </sheetView>
  </sheetViews>
  <sheetFormatPr defaultRowHeight="12.75"/>
  <cols>
    <col min="1" max="1" width="1.85546875" customWidth="1"/>
    <col min="2" max="2" width="71.7109375" customWidth="1"/>
    <col min="3" max="3" width="8.85546875" customWidth="1"/>
    <col min="4" max="4" width="13.42578125" customWidth="1"/>
    <col min="5" max="5" width="4.85546875" customWidth="1"/>
    <col min="7" max="7" width="12" customWidth="1"/>
  </cols>
  <sheetData>
    <row r="1" spans="1:19">
      <c r="A1" s="34" t="s">
        <v>33</v>
      </c>
      <c r="B1" s="9"/>
      <c r="C1" s="9"/>
      <c r="D1" s="9"/>
    </row>
    <row r="2" spans="1:19">
      <c r="A2" s="34" t="s">
        <v>47</v>
      </c>
      <c r="B2" s="9"/>
      <c r="C2" s="9"/>
      <c r="D2" s="9"/>
    </row>
    <row r="3" spans="1:19">
      <c r="A3" s="34" t="s">
        <v>65</v>
      </c>
      <c r="B3" s="9"/>
      <c r="C3" s="9"/>
      <c r="D3" s="9"/>
      <c r="G3" s="56"/>
      <c r="H3" s="56"/>
      <c r="I3" s="56"/>
      <c r="J3" s="56"/>
      <c r="K3" s="56"/>
      <c r="L3" s="56"/>
    </row>
    <row r="4" spans="1:19">
      <c r="A4" s="34" t="s">
        <v>67</v>
      </c>
      <c r="B4" s="9"/>
      <c r="C4" s="9"/>
      <c r="D4" s="9"/>
      <c r="G4" s="56"/>
      <c r="H4" s="29"/>
      <c r="I4" s="29"/>
      <c r="J4" s="29"/>
      <c r="K4" s="29"/>
      <c r="L4" s="29"/>
    </row>
    <row r="5" spans="1:19">
      <c r="A5" s="377" t="s">
        <v>19</v>
      </c>
      <c r="B5" s="377"/>
      <c r="C5" s="377"/>
      <c r="D5" s="377"/>
    </row>
    <row r="6" spans="1:19">
      <c r="A6" s="1"/>
      <c r="B6" s="1"/>
      <c r="C6" s="1"/>
      <c r="D6" s="1"/>
      <c r="F6" s="25" t="s">
        <v>34</v>
      </c>
      <c r="I6" s="189" t="s">
        <v>345</v>
      </c>
    </row>
    <row r="7" spans="1:19">
      <c r="D7" s="11" t="s">
        <v>15</v>
      </c>
      <c r="F7" s="11" t="s">
        <v>35</v>
      </c>
      <c r="I7" s="190" t="s">
        <v>346</v>
      </c>
    </row>
    <row r="8" spans="1:19">
      <c r="D8" s="10"/>
    </row>
    <row r="9" spans="1:19">
      <c r="A9" s="53" t="s">
        <v>321</v>
      </c>
      <c r="B9" s="3"/>
      <c r="C9" s="3"/>
      <c r="D9" s="27">
        <v>1133.5930000000001</v>
      </c>
      <c r="F9" s="33">
        <f>1/(1-(0.00072+0.00065))</f>
        <v>1.0013718794748805</v>
      </c>
      <c r="G9" t="s">
        <v>36</v>
      </c>
      <c r="I9" s="56"/>
      <c r="J9" s="56"/>
      <c r="K9" s="56"/>
      <c r="L9" s="56"/>
      <c r="M9" s="29"/>
      <c r="N9" s="29"/>
      <c r="O9" s="29"/>
      <c r="P9" s="29"/>
      <c r="Q9" s="29"/>
      <c r="R9" s="29"/>
      <c r="S9" s="29"/>
    </row>
    <row r="10" spans="1:19">
      <c r="A10" s="53"/>
      <c r="B10" s="3"/>
      <c r="C10" s="3"/>
      <c r="D10" s="27"/>
      <c r="F10" s="33"/>
      <c r="I10" s="56"/>
      <c r="J10" s="56"/>
      <c r="K10" s="56"/>
      <c r="L10" s="56"/>
      <c r="M10" s="29"/>
      <c r="N10" s="29"/>
      <c r="O10" s="29"/>
      <c r="P10" s="29"/>
      <c r="Q10" s="29"/>
      <c r="R10" s="29"/>
      <c r="S10" s="29"/>
    </row>
    <row r="11" spans="1:19">
      <c r="A11" s="3" t="s">
        <v>30</v>
      </c>
      <c r="B11" s="3"/>
      <c r="C11" s="4"/>
      <c r="D11" s="16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</row>
    <row r="12" spans="1:19">
      <c r="A12" s="3"/>
      <c r="B12" s="158" t="s">
        <v>370</v>
      </c>
      <c r="C12" s="4"/>
      <c r="D12" s="13">
        <f>-1.296*F9</f>
        <v>-1.2977779557994451</v>
      </c>
      <c r="I12" s="226">
        <f>-1.296</f>
        <v>-1.296</v>
      </c>
      <c r="J12" s="29"/>
      <c r="K12" s="152" t="s">
        <v>371</v>
      </c>
      <c r="L12" s="29"/>
      <c r="M12" s="29"/>
      <c r="N12" s="29"/>
      <c r="O12" s="29"/>
      <c r="P12" s="29"/>
      <c r="Q12" s="29"/>
      <c r="R12" s="29"/>
      <c r="S12" s="29"/>
    </row>
    <row r="13" spans="1:19">
      <c r="A13" s="3"/>
      <c r="B13" s="158" t="s">
        <v>387</v>
      </c>
      <c r="C13" s="4"/>
      <c r="D13" s="226">
        <f>'Exh. LK-6'!J17*F9</f>
        <v>-4.7264697635760982</v>
      </c>
      <c r="I13" s="226">
        <f>'Exh. LK-6'!J17</f>
        <v>-4.7199944999999994</v>
      </c>
      <c r="J13" s="29"/>
      <c r="K13" s="152"/>
      <c r="L13" s="29"/>
      <c r="M13" s="29"/>
      <c r="N13" s="29"/>
      <c r="O13" s="29"/>
      <c r="P13" s="29"/>
      <c r="Q13" s="29"/>
      <c r="R13" s="29"/>
      <c r="S13" s="29"/>
    </row>
    <row r="14" spans="1:19">
      <c r="A14" s="3"/>
      <c r="B14" s="158" t="s">
        <v>347</v>
      </c>
      <c r="C14" s="4"/>
      <c r="D14" s="13">
        <f>'Exh. LK-8'!J24*F9</f>
        <v>-41.652440687241516</v>
      </c>
      <c r="I14" s="13">
        <f>'Exh. LK-8'!J24</f>
        <v>-41.595376843499999</v>
      </c>
      <c r="J14" s="29"/>
      <c r="K14" s="29"/>
      <c r="L14" s="29"/>
      <c r="M14" s="29"/>
      <c r="N14" s="29"/>
      <c r="O14" s="29"/>
      <c r="P14" s="29"/>
      <c r="Q14" s="29"/>
      <c r="R14" s="29"/>
      <c r="S14" s="29"/>
    </row>
    <row r="15" spans="1:19">
      <c r="B15" s="158" t="s">
        <v>419</v>
      </c>
      <c r="C15" s="4"/>
      <c r="D15" s="13">
        <f>I15*F9</f>
        <v>-198.54801077476142</v>
      </c>
      <c r="F15" s="33" t="s">
        <v>43</v>
      </c>
      <c r="G15" s="29"/>
      <c r="H15" s="29"/>
      <c r="I15" s="88">
        <f>-198.276</f>
        <v>-198.27600000000001</v>
      </c>
      <c r="K15" s="158" t="s">
        <v>420</v>
      </c>
    </row>
    <row r="16" spans="1:19">
      <c r="B16" s="158" t="s">
        <v>463</v>
      </c>
      <c r="C16" s="4"/>
      <c r="D16" s="13">
        <f>I16*F9</f>
        <v>-4.3814406248333517</v>
      </c>
      <c r="F16" s="33"/>
      <c r="G16" s="29"/>
      <c r="H16" s="29"/>
      <c r="I16" s="13">
        <f>'Exh. LK-17'!J21</f>
        <v>-4.3754380511773308</v>
      </c>
    </row>
    <row r="17" spans="1:16">
      <c r="B17" s="158" t="s">
        <v>464</v>
      </c>
      <c r="C17" s="4"/>
      <c r="D17" s="13">
        <f>I17*F9</f>
        <v>-0.96230020847373576</v>
      </c>
      <c r="F17" s="33"/>
      <c r="G17" s="29"/>
      <c r="H17" s="29"/>
      <c r="I17" s="88">
        <f>'Exh. LK-21'!I48</f>
        <v>-0.96098185718812679</v>
      </c>
    </row>
    <row r="18" spans="1:16">
      <c r="B18" s="158" t="s">
        <v>348</v>
      </c>
      <c r="C18" s="4"/>
      <c r="D18" s="13">
        <f>I18*F9</f>
        <v>-22.591732663583105</v>
      </c>
      <c r="F18" s="33"/>
      <c r="G18" s="29"/>
      <c r="H18" s="29"/>
      <c r="I18" s="88">
        <f>'Exh. LK-23'!J33</f>
        <v>-22.560781989833998</v>
      </c>
    </row>
    <row r="19" spans="1:16">
      <c r="B19" s="157" t="s">
        <v>282</v>
      </c>
      <c r="C19" s="4"/>
      <c r="D19" s="13">
        <f>-D37</f>
        <v>4.7351890789973297</v>
      </c>
      <c r="F19" s="33"/>
      <c r="G19" s="29"/>
      <c r="H19" s="29"/>
    </row>
    <row r="20" spans="1:16">
      <c r="B20" s="157" t="s">
        <v>586</v>
      </c>
      <c r="C20" s="4"/>
      <c r="D20" s="13">
        <f>I20*F9</f>
        <v>-1.2329391266034466</v>
      </c>
      <c r="F20" s="33"/>
      <c r="G20" s="29"/>
      <c r="H20" s="29"/>
      <c r="I20" s="88">
        <f>-4.925/4</f>
        <v>-1.23125</v>
      </c>
      <c r="K20" s="158" t="s">
        <v>587</v>
      </c>
      <c r="L20" s="158"/>
    </row>
    <row r="21" spans="1:16">
      <c r="B21" s="157" t="s">
        <v>408</v>
      </c>
      <c r="C21" s="4"/>
      <c r="D21" s="13">
        <f>-('Exh. LK-15'!M40)/1000</f>
        <v>-0.46882448663861626</v>
      </c>
      <c r="F21" s="33"/>
      <c r="G21" s="29"/>
      <c r="H21" s="29"/>
    </row>
    <row r="22" spans="1:16">
      <c r="B22" s="157"/>
      <c r="C22" s="4"/>
      <c r="D22" s="13"/>
      <c r="F22" s="33"/>
      <c r="G22" s="29"/>
      <c r="H22" s="29"/>
    </row>
    <row r="23" spans="1:16">
      <c r="A23" s="3" t="s">
        <v>31</v>
      </c>
      <c r="B23" s="4"/>
      <c r="C23" s="4"/>
      <c r="D23" s="13"/>
      <c r="F23" s="33"/>
      <c r="G23" s="29"/>
      <c r="H23" s="29"/>
      <c r="N23" s="212"/>
      <c r="O23" s="26"/>
      <c r="P23" s="26"/>
    </row>
    <row r="24" spans="1:16">
      <c r="A24" s="4"/>
      <c r="B24" s="4" t="str">
        <f>'Exh. LK-27 - Page 2'!B12</f>
        <v>Remove Nuclear Fuel in Process From Rate Base</v>
      </c>
      <c r="C24" s="4"/>
      <c r="D24" s="13">
        <f>'Exh. LK-27 - Page 2'!D12*'Exh. LK-29'!$J$19</f>
        <v>-41.125097145046205</v>
      </c>
      <c r="F24" s="33"/>
      <c r="G24" s="29"/>
      <c r="H24" s="29"/>
      <c r="K24" s="158" t="s">
        <v>467</v>
      </c>
      <c r="N24" s="212"/>
      <c r="O24" s="26"/>
      <c r="P24" s="215"/>
    </row>
    <row r="25" spans="1:16">
      <c r="A25" s="4"/>
      <c r="B25" s="4" t="str">
        <f>'Exh. LK-27 - Page 2'!B13</f>
        <v>Reduce Accumulated Depreciation to Reflect Depreciation Expense Reduction</v>
      </c>
      <c r="C25" s="4"/>
      <c r="D25" s="13">
        <f>'Exh. LK-27 - Page 2'!D13*'Exh. LK-29'!$J$19</f>
        <v>29.360913188417022</v>
      </c>
      <c r="F25" s="33"/>
      <c r="G25" s="29"/>
      <c r="H25" s="29"/>
      <c r="K25" s="204">
        <f>D15+D25-(D25*0.38575)</f>
        <v>-180.51306984877627</v>
      </c>
      <c r="N25" s="26"/>
      <c r="O25" s="26"/>
      <c r="P25" s="26"/>
    </row>
    <row r="26" spans="1:16">
      <c r="A26" s="4"/>
      <c r="B26" s="4" t="str">
        <f>'Exh. LK-27 - Page 2'!B14</f>
        <v>Reduce Accumulated Fossil Dismantling to Refect Dismantling Expense Reduction</v>
      </c>
      <c r="C26" s="4"/>
      <c r="D26" s="13">
        <f>'Exh. LK-27 - Page 2'!D14*'Exh. LK-29'!$J$19</f>
        <v>0.79835563951026722</v>
      </c>
      <c r="F26" s="33"/>
      <c r="G26" s="29"/>
      <c r="H26" s="29"/>
      <c r="K26" s="274"/>
    </row>
    <row r="27" spans="1:16">
      <c r="A27" s="4"/>
      <c r="B27" s="4" t="str">
        <f>'Exh. LK-27 - Page 2'!B15</f>
        <v xml:space="preserve">Increase Rate Base to Reflect Extended Amortization of Capital Recovery Costs </v>
      </c>
      <c r="C27" s="4"/>
      <c r="D27" s="13">
        <f>'Exh. LK-27 - Page 2'!D15*'Exh. LK-29'!$J$19</f>
        <v>3.3750908678895128</v>
      </c>
      <c r="F27" s="33"/>
      <c r="G27" s="29"/>
      <c r="H27" s="29"/>
    </row>
    <row r="28" spans="1:16">
      <c r="A28" s="4"/>
      <c r="B28" s="4" t="str">
        <f>'Exh. LK-27 - Page 2'!B16</f>
        <v>Amortize Injuries and Damages Excess Reserve Balance Over 4 Years</v>
      </c>
      <c r="C28" s="4"/>
      <c r="D28" s="13">
        <f>'Exh. LK-27 - Page 2'!D16*'Exh. LK-29'!$J$19</f>
        <v>0.70647638048429073</v>
      </c>
      <c r="F28" s="33"/>
      <c r="G28" s="29"/>
      <c r="H28" s="29"/>
    </row>
    <row r="29" spans="1:16">
      <c r="A29" s="4"/>
      <c r="B29" s="4" t="str">
        <f>'Exh. LK-27 - Page 2'!B17</f>
        <v>Amortize End of Life M&amp;S Inv and Nuclear Last Core Excess Reserve Balance Over 4 Years</v>
      </c>
      <c r="C29" s="4"/>
      <c r="D29" s="13">
        <f>'Exh. LK-27 - Page 2'!D17*'Exh. LK-29'!$J$19</f>
        <v>6.2259814244967968</v>
      </c>
      <c r="F29" s="33"/>
      <c r="G29" s="29"/>
      <c r="H29" s="29"/>
    </row>
    <row r="30" spans="1:16">
      <c r="A30" s="4"/>
      <c r="B30" s="4" t="str">
        <f>'Exh. LK-27 - Page 2'!B18</f>
        <v>Remove Accrued Revenues from Cash Working Capital</v>
      </c>
      <c r="C30" s="4"/>
      <c r="D30" s="13">
        <f>'Exh. LK-27 - Page 2'!D18*'Exh. LK-29'!$J$19</f>
        <v>-22.930074721257633</v>
      </c>
      <c r="F30" s="33"/>
      <c r="G30" s="29"/>
      <c r="H30" s="29"/>
    </row>
    <row r="31" spans="1:16">
      <c r="A31" s="4"/>
      <c r="B31" s="4" t="str">
        <f>'Exh. LK-27 - Page 2'!B19</f>
        <v>Eliminate Unamortized Rate Case Expense</v>
      </c>
      <c r="C31" s="4"/>
      <c r="D31" s="13">
        <f>'Exh. LK-27 - Page 2'!D19*'Exh. LK-29'!$J$19</f>
        <v>-0.30713797076538218</v>
      </c>
      <c r="F31" s="33"/>
      <c r="G31" s="29"/>
      <c r="H31" s="29"/>
    </row>
    <row r="32" spans="1:16">
      <c r="A32" s="4"/>
      <c r="B32" s="4" t="str">
        <f>'Exh. LK-27 - Page 2'!B20</f>
        <v>Correct Company Admitted Error for Balance of Deferred Pension Debit</v>
      </c>
      <c r="C32" s="4"/>
      <c r="D32" s="13">
        <f>'Exh. LK-27 - Page 2'!D20*'Exh. LK-29'!$J$19</f>
        <v>-0.85814490362014029</v>
      </c>
      <c r="F32" s="33"/>
      <c r="G32" s="29"/>
      <c r="H32" s="29"/>
    </row>
    <row r="33" spans="1:8">
      <c r="A33" s="4"/>
      <c r="B33" s="4"/>
      <c r="C33" s="4"/>
      <c r="D33" s="13"/>
    </row>
    <row r="34" spans="1:8">
      <c r="A34" s="3" t="s">
        <v>32</v>
      </c>
      <c r="B34" s="4"/>
      <c r="C34" s="4"/>
      <c r="D34" s="15"/>
    </row>
    <row r="35" spans="1:8">
      <c r="A35" s="8"/>
      <c r="B35" s="8" t="s">
        <v>52</v>
      </c>
      <c r="C35" s="4"/>
      <c r="D35" s="13">
        <f>'Exh. LK-29'!J39</f>
        <v>-14.982325988170977</v>
      </c>
    </row>
    <row r="36" spans="1:8">
      <c r="A36" s="8"/>
      <c r="B36" s="157" t="s">
        <v>363</v>
      </c>
      <c r="C36" s="4"/>
      <c r="D36" s="13">
        <f>'Exh. LK-29'!J63</f>
        <v>-4.886568143175043</v>
      </c>
    </row>
    <row r="37" spans="1:8">
      <c r="A37" s="8"/>
      <c r="B37" s="157" t="s">
        <v>282</v>
      </c>
      <c r="C37" s="4"/>
      <c r="D37" s="13">
        <f>'Exh. LK-29'!J84</f>
        <v>-4.7351890789973297</v>
      </c>
    </row>
    <row r="38" spans="1:8">
      <c r="A38" s="8"/>
      <c r="B38" s="157" t="s">
        <v>579</v>
      </c>
      <c r="C38" s="4"/>
      <c r="D38" s="13">
        <f>'Exh. LK-29'!J104</f>
        <v>-2.0021269260189523</v>
      </c>
    </row>
    <row r="39" spans="1:8">
      <c r="A39" s="8"/>
      <c r="B39" s="157" t="s">
        <v>599</v>
      </c>
      <c r="C39" s="4"/>
      <c r="D39" s="13">
        <f>'Exh. LK-29'!J123</f>
        <v>-35.680009111494741</v>
      </c>
    </row>
    <row r="40" spans="1:8">
      <c r="A40" s="8"/>
      <c r="B40" s="218" t="s">
        <v>349</v>
      </c>
      <c r="C40" s="4"/>
      <c r="D40" s="13">
        <f>'Exh. LK-29'!J142</f>
        <v>-122.94140774893378</v>
      </c>
    </row>
    <row r="41" spans="1:8">
      <c r="A41" s="8"/>
      <c r="B41" s="8" t="s">
        <v>53</v>
      </c>
      <c r="C41" s="4"/>
      <c r="D41" s="35">
        <f>'Exh. LK-29'!J161</f>
        <v>-491.76563099573559</v>
      </c>
      <c r="F41" t="s">
        <v>63</v>
      </c>
      <c r="H41" s="88">
        <f>D41/(11.5-9)</f>
        <v>-196.70625239829423</v>
      </c>
    </row>
    <row r="42" spans="1:8">
      <c r="A42" s="8"/>
      <c r="B42" s="157" t="s">
        <v>283</v>
      </c>
      <c r="C42" s="4"/>
      <c r="D42" s="35">
        <f>'Exh. LK-29'!J181</f>
        <v>-156.46960883160548</v>
      </c>
      <c r="H42" s="88"/>
    </row>
    <row r="43" spans="1:8">
      <c r="A43" s="8"/>
      <c r="B43" s="157" t="s">
        <v>588</v>
      </c>
      <c r="D43" s="371">
        <v>-5.7220000000000004</v>
      </c>
      <c r="H43" s="88"/>
    </row>
    <row r="44" spans="1:8">
      <c r="A44" s="4"/>
      <c r="B44" s="4"/>
      <c r="C44" s="4"/>
      <c r="D44" s="15"/>
    </row>
    <row r="45" spans="1:8">
      <c r="A45" s="3" t="s">
        <v>44</v>
      </c>
      <c r="B45" s="4"/>
      <c r="C45" s="4"/>
      <c r="D45" s="31">
        <f>SUM(D11:D43)</f>
        <v>-1135.0652512765369</v>
      </c>
    </row>
    <row r="46" spans="1:8">
      <c r="A46" s="4"/>
      <c r="B46" s="4"/>
      <c r="C46" s="4"/>
      <c r="D46" s="15"/>
    </row>
    <row r="47" spans="1:8" ht="13.5" thickBot="1">
      <c r="A47" s="53" t="s">
        <v>323</v>
      </c>
      <c r="B47" s="4"/>
      <c r="C47" s="4"/>
      <c r="D47" s="32">
        <f>D9+D45</f>
        <v>-1.472251276536781</v>
      </c>
    </row>
    <row r="48" spans="1:8" ht="13.5" thickTop="1">
      <c r="A48" s="53"/>
      <c r="B48" s="4"/>
      <c r="C48" s="4"/>
      <c r="D48" s="210"/>
    </row>
    <row r="49" spans="1:4">
      <c r="A49" s="4"/>
      <c r="B49" s="4"/>
      <c r="C49" s="4"/>
      <c r="D49" s="4"/>
    </row>
    <row r="50" spans="1:4">
      <c r="A50" s="53" t="s">
        <v>322</v>
      </c>
      <c r="B50" s="4"/>
      <c r="C50" s="4"/>
      <c r="D50" s="211">
        <f>'Revenue Requirement-12.31.2017'!D46</f>
        <v>-212.71420932553701</v>
      </c>
    </row>
    <row r="51" spans="1:4">
      <c r="A51" s="53"/>
      <c r="B51" s="4"/>
      <c r="C51" s="4"/>
      <c r="D51" s="370"/>
    </row>
    <row r="52" spans="1:4" ht="13.5" thickBot="1">
      <c r="A52" s="53" t="s">
        <v>71</v>
      </c>
      <c r="D52" s="90">
        <f>D47-D50</f>
        <v>211.24195804900023</v>
      </c>
    </row>
    <row r="53" spans="1:4" ht="13.5" thickTop="1"/>
  </sheetData>
  <mergeCells count="1">
    <mergeCell ref="A5:D5"/>
  </mergeCells>
  <pageMargins left="0.39" right="0.25" top="1" bottom="1" header="0.5" footer="0.5"/>
  <pageSetup orientation="portrait" r:id="rId1"/>
  <headerFooter alignWithMargins="0">
    <oddHeader>&amp;R&amp;8Docket No. 160021-EI, &amp;"Arial,Italic"et al&amp;"Arial,Regular".
FPL POD No. 5
Attachment A
Page &amp;P of &amp;N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showGridLines="0" tabSelected="1" view="pageLayout" zoomScaleNormal="100" workbookViewId="0">
      <selection activeCell="G9" sqref="G9"/>
    </sheetView>
  </sheetViews>
  <sheetFormatPr defaultRowHeight="12.75"/>
  <cols>
    <col min="1" max="1" width="1.85546875" customWidth="1"/>
    <col min="2" max="2" width="71.7109375" customWidth="1"/>
    <col min="3" max="3" width="7.7109375" customWidth="1"/>
    <col min="4" max="4" width="13.42578125" customWidth="1"/>
    <col min="5" max="5" width="4.85546875" customWidth="1"/>
    <col min="7" max="7" width="12" customWidth="1"/>
  </cols>
  <sheetData>
    <row r="1" spans="1:10">
      <c r="A1" s="34" t="s">
        <v>33</v>
      </c>
      <c r="B1" s="9"/>
      <c r="C1" s="9"/>
      <c r="D1" s="9"/>
    </row>
    <row r="2" spans="1:10">
      <c r="A2" s="34" t="s">
        <v>68</v>
      </c>
      <c r="B2" s="9"/>
      <c r="C2" s="9"/>
      <c r="D2" s="9"/>
    </row>
    <row r="3" spans="1:10">
      <c r="A3" s="34" t="s">
        <v>65</v>
      </c>
      <c r="B3" s="9"/>
      <c r="C3" s="9"/>
      <c r="D3" s="9"/>
      <c r="G3" s="56"/>
      <c r="H3" s="56"/>
    </row>
    <row r="4" spans="1:10">
      <c r="A4" s="34" t="s">
        <v>69</v>
      </c>
      <c r="B4" s="9"/>
      <c r="C4" s="9"/>
      <c r="D4" s="9"/>
      <c r="G4" s="56"/>
      <c r="H4" s="29"/>
    </row>
    <row r="5" spans="1:10">
      <c r="A5" s="377" t="s">
        <v>19</v>
      </c>
      <c r="B5" s="377"/>
      <c r="C5" s="377"/>
      <c r="D5" s="377"/>
    </row>
    <row r="6" spans="1:10">
      <c r="A6" s="1"/>
      <c r="B6" s="1"/>
      <c r="C6" s="1"/>
      <c r="D6" s="1"/>
      <c r="F6" s="25" t="s">
        <v>34</v>
      </c>
      <c r="J6" s="189" t="s">
        <v>345</v>
      </c>
    </row>
    <row r="7" spans="1:10">
      <c r="D7" s="11" t="s">
        <v>15</v>
      </c>
      <c r="F7" s="11" t="s">
        <v>35</v>
      </c>
      <c r="J7" s="190" t="s">
        <v>346</v>
      </c>
    </row>
    <row r="8" spans="1:10">
      <c r="D8" s="10"/>
    </row>
    <row r="9" spans="1:10">
      <c r="A9" s="53" t="s">
        <v>325</v>
      </c>
      <c r="B9" s="3"/>
      <c r="C9" s="3"/>
      <c r="D9" s="27">
        <v>209.024</v>
      </c>
      <c r="F9" s="33">
        <f>1/(1-(0.00072+0.00065))</f>
        <v>1.0013718794748805</v>
      </c>
      <c r="G9" t="s">
        <v>36</v>
      </c>
    </row>
    <row r="10" spans="1:10">
      <c r="A10" s="4"/>
      <c r="B10" s="4"/>
      <c r="C10" s="4"/>
      <c r="D10" s="15"/>
    </row>
    <row r="11" spans="1:10">
      <c r="A11" s="3" t="s">
        <v>30</v>
      </c>
      <c r="B11" s="4"/>
      <c r="C11" s="4"/>
      <c r="D11" s="15"/>
    </row>
    <row r="12" spans="1:10">
      <c r="A12" s="4"/>
      <c r="B12" s="158" t="s">
        <v>356</v>
      </c>
      <c r="C12" s="4"/>
      <c r="D12" s="13">
        <f>'Exh. LK-34'!L14*F9</f>
        <v>-11.990777364990029</v>
      </c>
      <c r="J12" s="13">
        <f>'Exh. LK-34'!L14</f>
        <v>-11.974349999999994</v>
      </c>
    </row>
    <row r="13" spans="1:10">
      <c r="A13" s="4"/>
      <c r="B13" s="4"/>
      <c r="C13" s="4"/>
      <c r="D13" s="13"/>
    </row>
    <row r="14" spans="1:10">
      <c r="A14" s="3" t="s">
        <v>31</v>
      </c>
      <c r="B14" s="4"/>
      <c r="C14" s="4"/>
      <c r="D14" s="13"/>
    </row>
    <row r="15" spans="1:10">
      <c r="A15" s="3"/>
      <c r="B15" s="4" t="str">
        <f>+'Exh. LK-35'!B12</f>
        <v>Reflect Additional ADIT - Bonus Depreciation</v>
      </c>
      <c r="C15" s="4"/>
      <c r="D15" s="13">
        <f>+'Exh. LK-35'!D12*'Exh. LK-30'!H16</f>
        <v>-9.4689367401622562</v>
      </c>
    </row>
    <row r="16" spans="1:10">
      <c r="A16" s="4"/>
      <c r="B16" s="4" t="str">
        <f>+'Exh. LK-35'!B13</f>
        <v>Reflect Accum Depr and ADIT Effects of Depreciation Expense Reduction</v>
      </c>
      <c r="C16" s="4"/>
      <c r="D16" s="13">
        <f>+'Exh. LK-35'!D13*'Exh. LK-30'!H16</f>
        <v>-0.48742391656021961</v>
      </c>
    </row>
    <row r="17" spans="1:8">
      <c r="A17" s="4"/>
      <c r="B17" s="4"/>
      <c r="C17" s="4"/>
      <c r="D17" s="13"/>
    </row>
    <row r="18" spans="1:8">
      <c r="A18" s="3" t="s">
        <v>32</v>
      </c>
      <c r="B18" s="4"/>
      <c r="C18" s="4"/>
      <c r="D18" s="15"/>
    </row>
    <row r="19" spans="1:8">
      <c r="A19" s="3"/>
      <c r="B19" s="157" t="s">
        <v>599</v>
      </c>
      <c r="C19" s="4"/>
      <c r="D19" s="13">
        <f>'Exh. LK-30'!H34</f>
        <v>-1.3325805892149898</v>
      </c>
    </row>
    <row r="20" spans="1:8">
      <c r="A20" s="3"/>
      <c r="B20" s="218" t="s">
        <v>349</v>
      </c>
      <c r="C20" s="4"/>
      <c r="D20" s="13">
        <f>'Exh. LK-30'!H50</f>
        <v>-4.8645999964095772</v>
      </c>
    </row>
    <row r="21" spans="1:8">
      <c r="A21" s="8"/>
      <c r="B21" s="8" t="s">
        <v>53</v>
      </c>
      <c r="C21" s="4"/>
      <c r="D21" s="13">
        <f>'Exh. LK-30'!H72</f>
        <v>-19.458399985638298</v>
      </c>
      <c r="F21" t="s">
        <v>63</v>
      </c>
      <c r="H21" s="88">
        <f>D21/(11-9)</f>
        <v>-9.729199992819149</v>
      </c>
    </row>
    <row r="22" spans="1:8">
      <c r="A22" s="8"/>
      <c r="B22" s="157" t="s">
        <v>578</v>
      </c>
      <c r="C22" s="4"/>
      <c r="D22" s="35">
        <f>'Exh. LK-30'!H91</f>
        <v>-7.3655819528778563</v>
      </c>
      <c r="H22" s="88"/>
    </row>
    <row r="23" spans="1:8">
      <c r="A23" s="8"/>
      <c r="B23" s="157" t="s">
        <v>588</v>
      </c>
      <c r="D23">
        <v>6.4999999999999997E-3</v>
      </c>
    </row>
    <row r="24" spans="1:8">
      <c r="A24" s="4"/>
      <c r="B24" s="4"/>
      <c r="C24" s="4"/>
      <c r="D24" s="15"/>
    </row>
    <row r="25" spans="1:8">
      <c r="A25" s="3" t="s">
        <v>44</v>
      </c>
      <c r="B25" s="4"/>
      <c r="C25" s="4"/>
      <c r="D25" s="31">
        <f>SUM(D13:D23)</f>
        <v>-42.971023180863192</v>
      </c>
    </row>
    <row r="26" spans="1:8">
      <c r="A26" s="4"/>
      <c r="B26" s="4"/>
      <c r="C26" s="4"/>
      <c r="D26" s="15"/>
    </row>
    <row r="27" spans="1:8" ht="13.5" thickBot="1">
      <c r="A27" s="53" t="s">
        <v>49</v>
      </c>
      <c r="B27" s="4"/>
      <c r="C27" s="4"/>
      <c r="D27" s="32">
        <f>D9+D25</f>
        <v>166.0529768191368</v>
      </c>
    </row>
    <row r="28" spans="1:8" ht="13.5" thickTop="1">
      <c r="A28" s="4"/>
      <c r="B28" s="4"/>
      <c r="C28" s="4"/>
      <c r="D28" s="4"/>
    </row>
    <row r="29" spans="1:8">
      <c r="B29" s="4"/>
      <c r="C29" s="4"/>
      <c r="D29" s="4"/>
    </row>
    <row r="36" spans="4:4">
      <c r="D36" s="274"/>
    </row>
  </sheetData>
  <mergeCells count="1">
    <mergeCell ref="A5:D5"/>
  </mergeCells>
  <pageMargins left="0.39" right="0.25" top="1" bottom="1" header="0.5" footer="0.5"/>
  <pageSetup orientation="portrait" r:id="rId1"/>
  <headerFooter alignWithMargins="0">
    <oddHeader>&amp;R&amp;8Docket No. 160021-EI, &amp;"Arial,Italic"et al&amp;"Arial,Regular".
FPL POD No. 5
Attachment A
Page &amp;P of &amp;N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81"/>
  <sheetViews>
    <sheetView showGridLines="0" showZeros="0" tabSelected="1" view="pageLayout" topLeftCell="D1" zoomScaleNormal="100" workbookViewId="0">
      <selection activeCell="G9" sqref="G9"/>
    </sheetView>
  </sheetViews>
  <sheetFormatPr defaultRowHeight="15"/>
  <cols>
    <col min="1" max="1" width="5.42578125" style="106" customWidth="1"/>
    <col min="2" max="2" width="39.85546875" style="106" customWidth="1"/>
    <col min="3" max="14" width="11.7109375" style="106" customWidth="1"/>
    <col min="15" max="15" width="9.140625" style="106"/>
    <col min="16" max="16" width="10.5703125" style="106" bestFit="1" customWidth="1"/>
    <col min="17" max="16384" width="9.140625" style="106"/>
  </cols>
  <sheetData>
    <row r="1" spans="1:18" ht="15.75" thickBot="1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8">
      <c r="A2" s="107" t="s">
        <v>81</v>
      </c>
      <c r="E2" s="107" t="s">
        <v>82</v>
      </c>
      <c r="K2" s="107" t="s">
        <v>83</v>
      </c>
    </row>
    <row r="3" spans="1:18">
      <c r="F3" s="107" t="s">
        <v>84</v>
      </c>
      <c r="K3" s="107" t="s">
        <v>275</v>
      </c>
    </row>
    <row r="4" spans="1:18">
      <c r="A4" s="107" t="s">
        <v>86</v>
      </c>
      <c r="F4" s="107" t="s">
        <v>87</v>
      </c>
      <c r="K4" s="107" t="s">
        <v>276</v>
      </c>
    </row>
    <row r="5" spans="1:18">
      <c r="B5" s="107" t="s">
        <v>89</v>
      </c>
      <c r="F5" s="107" t="s">
        <v>90</v>
      </c>
      <c r="K5" s="107" t="s">
        <v>277</v>
      </c>
    </row>
    <row r="6" spans="1:18">
      <c r="K6" s="107"/>
    </row>
    <row r="7" spans="1:18">
      <c r="A7" s="107" t="s">
        <v>93</v>
      </c>
      <c r="G7" s="107" t="s">
        <v>94</v>
      </c>
      <c r="K7" s="107" t="s">
        <v>95</v>
      </c>
    </row>
    <row r="8" spans="1:18" ht="15.75" thickBot="1">
      <c r="A8" s="105"/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</row>
    <row r="9" spans="1:18">
      <c r="B9" s="108" t="s">
        <v>37</v>
      </c>
      <c r="C9" s="108" t="s">
        <v>96</v>
      </c>
      <c r="D9" s="108" t="s">
        <v>97</v>
      </c>
      <c r="E9" s="108" t="s">
        <v>98</v>
      </c>
      <c r="F9" s="108" t="s">
        <v>99</v>
      </c>
      <c r="G9" s="108" t="s">
        <v>100</v>
      </c>
      <c r="H9" s="108" t="s">
        <v>101</v>
      </c>
      <c r="I9" s="108" t="s">
        <v>102</v>
      </c>
      <c r="J9" s="108" t="s">
        <v>103</v>
      </c>
      <c r="K9" s="108" t="s">
        <v>104</v>
      </c>
      <c r="L9" s="108" t="s">
        <v>105</v>
      </c>
      <c r="M9" s="108" t="s">
        <v>106</v>
      </c>
      <c r="N9" s="108" t="s">
        <v>107</v>
      </c>
    </row>
    <row r="10" spans="1:18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</row>
    <row r="11" spans="1:18" ht="102.75" thickBot="1">
      <c r="A11" s="110" t="s">
        <v>108</v>
      </c>
      <c r="B11" s="110" t="s">
        <v>109</v>
      </c>
      <c r="C11" s="110" t="s">
        <v>110</v>
      </c>
      <c r="D11" s="110" t="s">
        <v>111</v>
      </c>
      <c r="E11" s="110" t="s">
        <v>112</v>
      </c>
      <c r="F11" s="110" t="s">
        <v>113</v>
      </c>
      <c r="G11" s="110" t="s">
        <v>114</v>
      </c>
      <c r="H11" s="110" t="s">
        <v>115</v>
      </c>
      <c r="I11" s="110" t="s">
        <v>116</v>
      </c>
      <c r="J11" s="110" t="s">
        <v>117</v>
      </c>
      <c r="K11" s="110" t="s">
        <v>118</v>
      </c>
      <c r="L11" s="110" t="s">
        <v>119</v>
      </c>
      <c r="M11" s="110" t="s">
        <v>120</v>
      </c>
      <c r="N11" s="110" t="s">
        <v>121</v>
      </c>
    </row>
    <row r="12" spans="1:18">
      <c r="A12" s="111" t="s">
        <v>122</v>
      </c>
      <c r="B12" s="112" t="s">
        <v>123</v>
      </c>
      <c r="C12" s="113"/>
      <c r="D12" s="113"/>
      <c r="E12" s="113"/>
      <c r="F12" s="113"/>
      <c r="G12" s="113"/>
      <c r="H12" s="113"/>
      <c r="I12" s="113"/>
      <c r="J12" s="114"/>
      <c r="K12" s="113"/>
      <c r="L12" s="114"/>
      <c r="M12" s="113"/>
      <c r="N12" s="113"/>
    </row>
    <row r="13" spans="1:18">
      <c r="A13" s="111" t="s">
        <v>124</v>
      </c>
      <c r="B13" s="115" t="s">
        <v>129</v>
      </c>
      <c r="C13" s="116" t="s">
        <v>130</v>
      </c>
      <c r="D13" s="116" t="s">
        <v>131</v>
      </c>
      <c r="E13" s="114">
        <v>800000</v>
      </c>
      <c r="F13" s="117">
        <v>123076.92307692308</v>
      </c>
      <c r="G13" s="114">
        <v>0</v>
      </c>
      <c r="H13" s="114">
        <v>7000</v>
      </c>
      <c r="I13" s="118">
        <v>30</v>
      </c>
      <c r="J13" s="114">
        <v>29.798668593110715</v>
      </c>
      <c r="K13" s="114">
        <v>6296.8888888888896</v>
      </c>
      <c r="L13" s="114">
        <v>6326.6875574820006</v>
      </c>
      <c r="M13" s="114">
        <v>0</v>
      </c>
      <c r="N13" s="114">
        <v>1073.8342572578367</v>
      </c>
      <c r="P13" s="159"/>
      <c r="Q13" s="160"/>
    </row>
    <row r="14" spans="1:18">
      <c r="A14" s="111" t="s">
        <v>128</v>
      </c>
      <c r="B14" s="115" t="s">
        <v>129</v>
      </c>
      <c r="C14" s="116" t="s">
        <v>133</v>
      </c>
      <c r="D14" s="116" t="s">
        <v>134</v>
      </c>
      <c r="E14" s="114">
        <v>500000</v>
      </c>
      <c r="F14" s="117">
        <v>384615.38461538462</v>
      </c>
      <c r="G14" s="114">
        <v>0</v>
      </c>
      <c r="H14" s="114">
        <v>4375</v>
      </c>
      <c r="I14" s="118">
        <v>30</v>
      </c>
      <c r="J14" s="114">
        <v>115.83757556116686</v>
      </c>
      <c r="K14" s="114">
        <v>24468.888888888894</v>
      </c>
      <c r="L14" s="114">
        <v>24584.726464450061</v>
      </c>
      <c r="M14" s="114">
        <v>0</v>
      </c>
      <c r="N14" s="114">
        <v>3318.342281742096</v>
      </c>
      <c r="P14" s="159"/>
      <c r="Q14" s="160"/>
      <c r="R14" s="143"/>
    </row>
    <row r="15" spans="1:18">
      <c r="A15" s="111" t="s">
        <v>132</v>
      </c>
      <c r="B15" s="115" t="s">
        <v>136</v>
      </c>
      <c r="C15" s="116" t="s">
        <v>137</v>
      </c>
      <c r="D15" s="116" t="s">
        <v>138</v>
      </c>
      <c r="E15" s="114">
        <v>500000</v>
      </c>
      <c r="F15" s="117">
        <v>500000</v>
      </c>
      <c r="G15" s="114">
        <v>1905</v>
      </c>
      <c r="H15" s="114">
        <v>5650</v>
      </c>
      <c r="I15" s="118">
        <v>10</v>
      </c>
      <c r="J15" s="114">
        <v>750.66930260869583</v>
      </c>
      <c r="K15" s="114">
        <v>13750.000000000002</v>
      </c>
      <c r="L15" s="114">
        <v>14500.669302608698</v>
      </c>
      <c r="M15" s="114">
        <v>1127.125</v>
      </c>
      <c r="N15" s="114">
        <v>3314.3350404347843</v>
      </c>
      <c r="P15" s="159"/>
      <c r="Q15" s="160"/>
    </row>
    <row r="16" spans="1:18">
      <c r="A16" s="111" t="s">
        <v>135</v>
      </c>
      <c r="B16" s="115" t="s">
        <v>140</v>
      </c>
      <c r="C16" s="116" t="s">
        <v>141</v>
      </c>
      <c r="D16" s="116" t="s">
        <v>142</v>
      </c>
      <c r="E16" s="114">
        <v>500000</v>
      </c>
      <c r="F16" s="117">
        <v>418172</v>
      </c>
      <c r="G16" s="114">
        <v>6480</v>
      </c>
      <c r="H16" s="114">
        <v>2199.0569799999998</v>
      </c>
      <c r="I16" s="118">
        <v>31</v>
      </c>
      <c r="J16" s="114">
        <v>279.96969567567601</v>
      </c>
      <c r="K16" s="114">
        <v>23522.174999999999</v>
      </c>
      <c r="L16" s="114">
        <v>23802.144695675674</v>
      </c>
      <c r="M16" s="114">
        <v>3499.9784225675717</v>
      </c>
      <c r="N16" s="114">
        <v>1189.5139800000004</v>
      </c>
      <c r="P16" s="159"/>
      <c r="Q16" s="160"/>
    </row>
    <row r="17" spans="1:17">
      <c r="A17" s="111" t="s">
        <v>139</v>
      </c>
      <c r="B17" s="115" t="s">
        <v>144</v>
      </c>
      <c r="C17" s="116" t="s">
        <v>145</v>
      </c>
      <c r="D17" s="116" t="s">
        <v>146</v>
      </c>
      <c r="E17" s="114">
        <v>300000</v>
      </c>
      <c r="F17" s="117">
        <v>229586</v>
      </c>
      <c r="G17" s="114">
        <v>4030</v>
      </c>
      <c r="H17" s="114">
        <v>1593.9194026842999</v>
      </c>
      <c r="I17" s="118">
        <v>30.083333333333332</v>
      </c>
      <c r="J17" s="114">
        <v>186.74760949999995</v>
      </c>
      <c r="K17" s="114">
        <v>12397.644000000002</v>
      </c>
      <c r="L17" s="114">
        <v>12584.391609500002</v>
      </c>
      <c r="M17" s="114">
        <v>2438.9455763749975</v>
      </c>
      <c r="N17" s="114">
        <v>969.19829700000037</v>
      </c>
      <c r="P17" s="159"/>
      <c r="Q17" s="160"/>
    </row>
    <row r="18" spans="1:17">
      <c r="A18" s="111" t="s">
        <v>143</v>
      </c>
      <c r="B18" s="115" t="s">
        <v>148</v>
      </c>
      <c r="C18" s="116" t="s">
        <v>149</v>
      </c>
      <c r="D18" s="116" t="s">
        <v>150</v>
      </c>
      <c r="E18" s="114">
        <v>400000</v>
      </c>
      <c r="F18" s="117">
        <v>394991</v>
      </c>
      <c r="G18" s="114">
        <v>6364</v>
      </c>
      <c r="H18" s="114">
        <v>1996.1578276349001</v>
      </c>
      <c r="I18" s="118">
        <v>31.083333333333332</v>
      </c>
      <c r="J18" s="114">
        <v>268.95969937499996</v>
      </c>
      <c r="K18" s="114">
        <v>22316.9915</v>
      </c>
      <c r="L18" s="114">
        <v>22585.951199374998</v>
      </c>
      <c r="M18" s="114">
        <v>4010.1608781249988</v>
      </c>
      <c r="N18" s="114">
        <v>1256.9665679687489</v>
      </c>
      <c r="P18" s="159"/>
      <c r="Q18" s="160"/>
    </row>
    <row r="19" spans="1:17">
      <c r="A19" s="111" t="s">
        <v>147</v>
      </c>
      <c r="B19" s="115" t="s">
        <v>152</v>
      </c>
      <c r="C19" s="116" t="s">
        <v>153</v>
      </c>
      <c r="D19" s="116" t="s">
        <v>154</v>
      </c>
      <c r="E19" s="114">
        <v>300000</v>
      </c>
      <c r="F19" s="117">
        <v>219161</v>
      </c>
      <c r="G19" s="114">
        <v>2693</v>
      </c>
      <c r="H19" s="114">
        <v>1738.1988999999999</v>
      </c>
      <c r="I19" s="118">
        <v>30</v>
      </c>
      <c r="J19" s="114">
        <v>148.14823983772823</v>
      </c>
      <c r="K19" s="114">
        <v>13587.982000000002</v>
      </c>
      <c r="L19" s="114">
        <v>13736.13023983773</v>
      </c>
      <c r="M19" s="114">
        <v>1692.1411686815431</v>
      </c>
      <c r="N19" s="114">
        <v>1091.8111716024339</v>
      </c>
      <c r="P19" s="159"/>
      <c r="Q19" s="160"/>
    </row>
    <row r="20" spans="1:17">
      <c r="A20" s="111" t="s">
        <v>151</v>
      </c>
      <c r="B20" s="115" t="s">
        <v>156</v>
      </c>
      <c r="C20" s="116" t="s">
        <v>157</v>
      </c>
      <c r="D20" s="116" t="s">
        <v>158</v>
      </c>
      <c r="E20" s="114">
        <v>300000</v>
      </c>
      <c r="F20" s="117">
        <v>300000</v>
      </c>
      <c r="G20" s="114">
        <v>4893</v>
      </c>
      <c r="H20" s="114">
        <v>1634.9651999999999</v>
      </c>
      <c r="I20" s="118">
        <v>30</v>
      </c>
      <c r="J20" s="114">
        <v>217.59881898305076</v>
      </c>
      <c r="K20" s="114">
        <v>14850</v>
      </c>
      <c r="L20" s="114">
        <v>15067.59881898305</v>
      </c>
      <c r="M20" s="114">
        <v>2922.2079567796586</v>
      </c>
      <c r="N20" s="114">
        <v>976.43755000000067</v>
      </c>
      <c r="P20" s="159"/>
      <c r="Q20" s="160"/>
    </row>
    <row r="21" spans="1:17">
      <c r="A21" s="111" t="s">
        <v>155</v>
      </c>
      <c r="B21" s="115" t="s">
        <v>160</v>
      </c>
      <c r="C21" s="116" t="s">
        <v>161</v>
      </c>
      <c r="D21" s="116" t="s">
        <v>162</v>
      </c>
      <c r="E21" s="114">
        <v>200000</v>
      </c>
      <c r="F21" s="117">
        <v>170695</v>
      </c>
      <c r="G21" s="114">
        <v>2212</v>
      </c>
      <c r="H21" s="114">
        <v>910.97675841360001</v>
      </c>
      <c r="I21" s="118">
        <v>30.166666666666668</v>
      </c>
      <c r="J21" s="114">
        <v>103.52415288461536</v>
      </c>
      <c r="K21" s="114">
        <v>9985.6574999999993</v>
      </c>
      <c r="L21" s="114">
        <v>10089.181652884616</v>
      </c>
      <c r="M21" s="114">
        <v>1142.5349824519235</v>
      </c>
      <c r="N21" s="114">
        <v>470.71639999999968</v>
      </c>
      <c r="P21" s="159"/>
      <c r="Q21" s="160"/>
    </row>
    <row r="22" spans="1:17">
      <c r="A22" s="111" t="s">
        <v>159</v>
      </c>
      <c r="B22" s="115" t="s">
        <v>160</v>
      </c>
      <c r="C22" s="116" t="s">
        <v>164</v>
      </c>
      <c r="D22" s="116" t="s">
        <v>165</v>
      </c>
      <c r="E22" s="114">
        <v>300000</v>
      </c>
      <c r="F22" s="117">
        <v>230521</v>
      </c>
      <c r="G22" s="114">
        <v>600</v>
      </c>
      <c r="H22" s="114">
        <v>4097.3441145185998</v>
      </c>
      <c r="I22" s="118">
        <v>30.083333333333332</v>
      </c>
      <c r="J22" s="114">
        <v>156.35639722007733</v>
      </c>
      <c r="K22" s="114">
        <v>13485.478499999999</v>
      </c>
      <c r="L22" s="114">
        <v>13641.834897220077</v>
      </c>
      <c r="M22" s="114">
        <v>395.56784486486453</v>
      </c>
      <c r="N22" s="114">
        <v>2705.5007000000019</v>
      </c>
      <c r="P22" s="159"/>
      <c r="Q22" s="160"/>
    </row>
    <row r="23" spans="1:17">
      <c r="A23" s="111" t="s">
        <v>163</v>
      </c>
      <c r="B23" s="115" t="s">
        <v>278</v>
      </c>
      <c r="C23" s="116" t="s">
        <v>279</v>
      </c>
      <c r="D23" s="116" t="s">
        <v>130</v>
      </c>
      <c r="E23" s="114">
        <v>300000</v>
      </c>
      <c r="F23" s="117">
        <v>253846.15384615384</v>
      </c>
      <c r="G23" s="114">
        <v>84</v>
      </c>
      <c r="H23" s="114">
        <v>3523.7678806824001</v>
      </c>
      <c r="I23" s="118">
        <v>10.083333333333334</v>
      </c>
      <c r="J23" s="114">
        <v>298.72915199999989</v>
      </c>
      <c r="K23" s="114">
        <v>13875</v>
      </c>
      <c r="L23" s="114">
        <v>14173.729152</v>
      </c>
      <c r="M23" s="114">
        <v>2.9371421538461555</v>
      </c>
      <c r="N23" s="114">
        <v>123.44826830769227</v>
      </c>
      <c r="P23" s="159"/>
      <c r="Q23" s="160"/>
    </row>
    <row r="24" spans="1:17">
      <c r="A24" s="111" t="s">
        <v>166</v>
      </c>
      <c r="B24" s="115" t="s">
        <v>167</v>
      </c>
      <c r="C24" s="116" t="s">
        <v>168</v>
      </c>
      <c r="D24" s="116" t="s">
        <v>169</v>
      </c>
      <c r="E24" s="114">
        <v>600000</v>
      </c>
      <c r="F24" s="117">
        <v>600000</v>
      </c>
      <c r="G24" s="114">
        <v>3260</v>
      </c>
      <c r="H24" s="114">
        <v>7838.8020777156999</v>
      </c>
      <c r="I24" s="118">
        <v>30.083333333333332</v>
      </c>
      <c r="J24" s="114">
        <v>369.3480201492535</v>
      </c>
      <c r="K24" s="114">
        <v>35700</v>
      </c>
      <c r="L24" s="114">
        <v>36069.348020149257</v>
      </c>
      <c r="M24" s="114">
        <v>2233.2632647388045</v>
      </c>
      <c r="N24" s="114">
        <v>5369.1501499999958</v>
      </c>
      <c r="P24" s="159"/>
      <c r="Q24" s="160"/>
    </row>
    <row r="25" spans="1:17">
      <c r="A25" s="111" t="s">
        <v>170</v>
      </c>
      <c r="B25" s="115" t="s">
        <v>171</v>
      </c>
      <c r="C25" s="116" t="s">
        <v>172</v>
      </c>
      <c r="D25" s="116" t="s">
        <v>173</v>
      </c>
      <c r="E25" s="114">
        <v>500000</v>
      </c>
      <c r="F25" s="117">
        <v>500000</v>
      </c>
      <c r="G25" s="114">
        <v>499.63499999999999</v>
      </c>
      <c r="H25" s="114">
        <v>6256.2488130922002</v>
      </c>
      <c r="I25" s="118">
        <v>30.083333333333332</v>
      </c>
      <c r="J25" s="114">
        <v>232.65432468085072</v>
      </c>
      <c r="K25" s="114">
        <v>29799.999999999996</v>
      </c>
      <c r="L25" s="114">
        <v>30032.654324680847</v>
      </c>
      <c r="M25" s="114">
        <v>263.89198180851076</v>
      </c>
      <c r="N25" s="114">
        <v>4796.3395799999944</v>
      </c>
      <c r="P25" s="159"/>
      <c r="Q25" s="160"/>
    </row>
    <row r="26" spans="1:17">
      <c r="A26" s="111" t="s">
        <v>174</v>
      </c>
      <c r="B26" s="115" t="s">
        <v>175</v>
      </c>
      <c r="C26" s="116" t="s">
        <v>176</v>
      </c>
      <c r="D26" s="116" t="s">
        <v>177</v>
      </c>
      <c r="E26" s="114">
        <v>400000</v>
      </c>
      <c r="F26" s="117">
        <v>400000</v>
      </c>
      <c r="G26" s="114">
        <v>989</v>
      </c>
      <c r="H26" s="114">
        <v>5408.2598802127995</v>
      </c>
      <c r="I26" s="118">
        <v>30.166666666666668</v>
      </c>
      <c r="J26" s="114">
        <v>205.95012000000011</v>
      </c>
      <c r="K26" s="114">
        <v>20999.999999999996</v>
      </c>
      <c r="L26" s="114">
        <v>21205.950119999998</v>
      </c>
      <c r="M26" s="114">
        <v>775.51339000000087</v>
      </c>
      <c r="N26" s="114">
        <v>4081.4769400000009</v>
      </c>
      <c r="P26" s="159"/>
      <c r="Q26" s="160"/>
    </row>
    <row r="27" spans="1:17">
      <c r="A27" s="111" t="s">
        <v>178</v>
      </c>
      <c r="B27" s="115" t="s">
        <v>179</v>
      </c>
      <c r="C27" s="116" t="s">
        <v>180</v>
      </c>
      <c r="D27" s="116" t="s">
        <v>181</v>
      </c>
      <c r="E27" s="114">
        <v>500000</v>
      </c>
      <c r="F27" s="117">
        <v>500000</v>
      </c>
      <c r="G27" s="114">
        <v>670</v>
      </c>
      <c r="H27" s="114">
        <v>6890</v>
      </c>
      <c r="I27" s="118">
        <v>30</v>
      </c>
      <c r="J27" s="114">
        <v>252.3468660512824</v>
      </c>
      <c r="K27" s="114">
        <v>28450.000000000015</v>
      </c>
      <c r="L27" s="114">
        <v>28702.346866051299</v>
      </c>
      <c r="M27" s="114">
        <v>504.75449579487139</v>
      </c>
      <c r="N27" s="114">
        <v>5204.5933486153926</v>
      </c>
      <c r="P27" s="159"/>
      <c r="Q27" s="160"/>
    </row>
    <row r="28" spans="1:17">
      <c r="A28" s="111" t="s">
        <v>182</v>
      </c>
      <c r="B28" s="115" t="s">
        <v>183</v>
      </c>
      <c r="C28" s="116" t="s">
        <v>184</v>
      </c>
      <c r="D28" s="116" t="s">
        <v>185</v>
      </c>
      <c r="E28" s="114">
        <v>250000</v>
      </c>
      <c r="F28" s="117">
        <v>250000</v>
      </c>
      <c r="G28" s="114">
        <v>225</v>
      </c>
      <c r="H28" s="114">
        <v>3488</v>
      </c>
      <c r="I28" s="118">
        <v>30</v>
      </c>
      <c r="J28" s="114">
        <v>117.97319999999991</v>
      </c>
      <c r="K28" s="114">
        <v>12812.500000000002</v>
      </c>
      <c r="L28" s="114">
        <v>12930.4732</v>
      </c>
      <c r="M28" s="114">
        <v>179.375</v>
      </c>
      <c r="N28" s="114">
        <v>2642.1506999999979</v>
      </c>
      <c r="P28" s="159"/>
      <c r="Q28" s="160"/>
    </row>
    <row r="29" spans="1:17">
      <c r="A29" s="111" t="s">
        <v>186</v>
      </c>
      <c r="B29" s="115" t="s">
        <v>148</v>
      </c>
      <c r="C29" s="116" t="s">
        <v>187</v>
      </c>
      <c r="D29" s="116" t="s">
        <v>188</v>
      </c>
      <c r="E29" s="114">
        <v>240000</v>
      </c>
      <c r="F29" s="117">
        <v>204431</v>
      </c>
      <c r="G29" s="114">
        <v>2775</v>
      </c>
      <c r="H29" s="114">
        <v>1260.4268872463999</v>
      </c>
      <c r="I29" s="118">
        <v>31.083333333333332</v>
      </c>
      <c r="J29" s="114">
        <v>129.82613172413787</v>
      </c>
      <c r="K29" s="114">
        <v>11550.351500000001</v>
      </c>
      <c r="L29" s="114">
        <v>11680.177631724138</v>
      </c>
      <c r="M29" s="114">
        <v>1566.8447094827582</v>
      </c>
      <c r="N29" s="114">
        <v>715.93143999999938</v>
      </c>
      <c r="P29" s="159"/>
      <c r="Q29" s="160"/>
    </row>
    <row r="30" spans="1:17">
      <c r="A30" s="111" t="s">
        <v>189</v>
      </c>
      <c r="B30" s="115" t="s">
        <v>167</v>
      </c>
      <c r="C30" s="116" t="s">
        <v>190</v>
      </c>
      <c r="D30" s="116" t="s">
        <v>191</v>
      </c>
      <c r="E30" s="114">
        <v>300000</v>
      </c>
      <c r="F30" s="117">
        <v>272444</v>
      </c>
      <c r="G30" s="114">
        <v>5802</v>
      </c>
      <c r="H30" s="114">
        <v>1526.6618999999998</v>
      </c>
      <c r="I30" s="118">
        <v>30</v>
      </c>
      <c r="J30" s="114">
        <v>244.28873333333365</v>
      </c>
      <c r="K30" s="114">
        <v>16210.417999999998</v>
      </c>
      <c r="L30" s="114">
        <v>16454.706733333333</v>
      </c>
      <c r="M30" s="114">
        <v>3142.74956666667</v>
      </c>
      <c r="N30" s="114">
        <v>826.94235000000037</v>
      </c>
      <c r="P30" s="159"/>
      <c r="Q30" s="160"/>
    </row>
    <row r="31" spans="1:17">
      <c r="A31" s="111" t="s">
        <v>192</v>
      </c>
      <c r="B31" s="115" t="s">
        <v>193</v>
      </c>
      <c r="C31" s="116" t="s">
        <v>194</v>
      </c>
      <c r="D31" s="116" t="s">
        <v>195</v>
      </c>
      <c r="E31" s="114">
        <v>600000</v>
      </c>
      <c r="F31" s="117">
        <v>600000</v>
      </c>
      <c r="G31" s="114">
        <v>1482</v>
      </c>
      <c r="H31" s="114">
        <v>8250</v>
      </c>
      <c r="I31" s="118">
        <v>30.166666666666668</v>
      </c>
      <c r="J31" s="114">
        <v>318.52271810126609</v>
      </c>
      <c r="K31" s="114">
        <v>24750</v>
      </c>
      <c r="L31" s="114">
        <v>25068.522718101267</v>
      </c>
      <c r="M31" s="114">
        <v>1207.7063533227843</v>
      </c>
      <c r="N31" s="114">
        <v>6622.6438000000071</v>
      </c>
      <c r="P31" s="159"/>
      <c r="Q31" s="160"/>
    </row>
    <row r="32" spans="1:17">
      <c r="A32" s="111" t="s">
        <v>196</v>
      </c>
      <c r="B32" s="115" t="s">
        <v>197</v>
      </c>
      <c r="C32" s="116" t="s">
        <v>198</v>
      </c>
      <c r="D32" s="116" t="s">
        <v>199</v>
      </c>
      <c r="E32" s="114">
        <v>400000</v>
      </c>
      <c r="F32" s="117">
        <v>400000</v>
      </c>
      <c r="G32" s="114">
        <v>1984</v>
      </c>
      <c r="H32" s="114">
        <v>5700</v>
      </c>
      <c r="I32" s="118">
        <v>30</v>
      </c>
      <c r="J32" s="114">
        <v>240.9678384073504</v>
      </c>
      <c r="K32" s="114">
        <v>15199.999999999998</v>
      </c>
      <c r="L32" s="114">
        <v>15440.967838407349</v>
      </c>
      <c r="M32" s="114">
        <v>1683.6441003215912</v>
      </c>
      <c r="N32" s="114">
        <v>4450.9954524655395</v>
      </c>
      <c r="P32" s="159"/>
      <c r="Q32" s="160"/>
    </row>
    <row r="33" spans="1:17">
      <c r="A33" s="111" t="s">
        <v>200</v>
      </c>
      <c r="B33" s="115" t="s">
        <v>201</v>
      </c>
      <c r="C33" s="116" t="s">
        <v>202</v>
      </c>
      <c r="D33" s="116" t="s">
        <v>203</v>
      </c>
      <c r="E33" s="114">
        <v>600000</v>
      </c>
      <c r="F33" s="117">
        <v>600000</v>
      </c>
      <c r="G33" s="114">
        <v>840</v>
      </c>
      <c r="H33" s="114">
        <v>8150</v>
      </c>
      <c r="I33" s="118">
        <v>30.083333333333332</v>
      </c>
      <c r="J33" s="114">
        <v>290.27771999999965</v>
      </c>
      <c r="K33" s="114">
        <v>24300</v>
      </c>
      <c r="L33" s="114">
        <v>24590.277719999998</v>
      </c>
      <c r="M33" s="114">
        <v>695.73413000000016</v>
      </c>
      <c r="N33" s="114">
        <v>6537.0190599999914</v>
      </c>
      <c r="P33" s="159"/>
      <c r="Q33" s="160"/>
    </row>
    <row r="34" spans="1:17">
      <c r="A34" s="111" t="s">
        <v>204</v>
      </c>
      <c r="B34" s="115" t="s">
        <v>201</v>
      </c>
      <c r="C34" s="116" t="s">
        <v>205</v>
      </c>
      <c r="D34" s="116" t="s">
        <v>206</v>
      </c>
      <c r="E34" s="114">
        <v>500000</v>
      </c>
      <c r="F34" s="117">
        <v>500000</v>
      </c>
      <c r="G34" s="114">
        <v>1650</v>
      </c>
      <c r="H34" s="114">
        <v>6775</v>
      </c>
      <c r="I34" s="118">
        <v>30.083333333333332</v>
      </c>
      <c r="J34" s="114">
        <v>277.57019604017205</v>
      </c>
      <c r="K34" s="114">
        <v>20250</v>
      </c>
      <c r="L34" s="114">
        <v>20527.570196040171</v>
      </c>
      <c r="M34" s="114">
        <v>1494.7360120516503</v>
      </c>
      <c r="N34" s="114">
        <v>6080.6172548780432</v>
      </c>
      <c r="P34" s="159"/>
      <c r="Q34" s="160"/>
    </row>
    <row r="35" spans="1:17">
      <c r="A35" s="111" t="s">
        <v>207</v>
      </c>
      <c r="B35" s="115" t="s">
        <v>208</v>
      </c>
      <c r="C35" s="116" t="s">
        <v>209</v>
      </c>
      <c r="D35" s="116" t="s">
        <v>210</v>
      </c>
      <c r="E35" s="114">
        <v>500000</v>
      </c>
      <c r="F35" s="117">
        <v>500000</v>
      </c>
      <c r="G35" s="114">
        <v>645</v>
      </c>
      <c r="H35" s="114">
        <v>5650</v>
      </c>
      <c r="I35" s="118">
        <v>10.083333333333334</v>
      </c>
      <c r="J35" s="114">
        <v>643.48515807692274</v>
      </c>
      <c r="K35" s="114">
        <v>16249.999999999998</v>
      </c>
      <c r="L35" s="114">
        <v>16893.485158076921</v>
      </c>
      <c r="M35" s="114">
        <v>442.43813999999992</v>
      </c>
      <c r="N35" s="114">
        <v>4008.3342033653807</v>
      </c>
      <c r="P35" s="159"/>
      <c r="Q35" s="160"/>
    </row>
    <row r="36" spans="1:17">
      <c r="A36" s="111" t="s">
        <v>211</v>
      </c>
      <c r="B36" s="115" t="s">
        <v>212</v>
      </c>
      <c r="C36" s="116" t="s">
        <v>213</v>
      </c>
      <c r="D36" s="116" t="s">
        <v>214</v>
      </c>
      <c r="E36" s="114">
        <v>600000</v>
      </c>
      <c r="F36" s="117">
        <v>600000</v>
      </c>
      <c r="G36" s="114">
        <v>0</v>
      </c>
      <c r="H36" s="114">
        <v>6600</v>
      </c>
      <c r="I36" s="118">
        <v>10</v>
      </c>
      <c r="J36" s="114">
        <v>524.8632788763698</v>
      </c>
      <c r="K36" s="114">
        <v>18000</v>
      </c>
      <c r="L36" s="114">
        <v>18524.863278876372</v>
      </c>
      <c r="M36" s="114">
        <v>0</v>
      </c>
      <c r="N36" s="114">
        <v>4395.7299605895969</v>
      </c>
      <c r="P36" s="159"/>
      <c r="Q36" s="160"/>
    </row>
    <row r="37" spans="1:17">
      <c r="A37" s="111" t="s">
        <v>215</v>
      </c>
      <c r="B37" s="115" t="s">
        <v>216</v>
      </c>
      <c r="C37" s="116" t="s">
        <v>217</v>
      </c>
      <c r="D37" s="116" t="s">
        <v>218</v>
      </c>
      <c r="E37" s="114">
        <v>300000</v>
      </c>
      <c r="F37" s="117">
        <v>300000</v>
      </c>
      <c r="G37" s="114">
        <v>0</v>
      </c>
      <c r="H37" s="114">
        <v>2625</v>
      </c>
      <c r="I37" s="118">
        <v>30</v>
      </c>
      <c r="J37" s="114">
        <v>87.492066921425305</v>
      </c>
      <c r="K37" s="114">
        <v>15690.000000000002</v>
      </c>
      <c r="L37" s="114">
        <v>15777.492066921428</v>
      </c>
      <c r="M37" s="114">
        <v>0</v>
      </c>
      <c r="N37" s="114">
        <v>2511.7514212025844</v>
      </c>
      <c r="P37" s="159"/>
      <c r="Q37" s="160"/>
    </row>
    <row r="38" spans="1:17">
      <c r="A38" s="111" t="s">
        <v>219</v>
      </c>
      <c r="P38" s="165"/>
      <c r="Q38" s="161"/>
    </row>
    <row r="39" spans="1:17">
      <c r="A39" s="111" t="s">
        <v>223</v>
      </c>
      <c r="B39" s="112" t="s">
        <v>225</v>
      </c>
      <c r="C39" s="113"/>
      <c r="D39" s="113"/>
      <c r="E39" s="113"/>
      <c r="F39" s="113"/>
      <c r="G39" s="113"/>
      <c r="H39" s="113"/>
      <c r="I39" s="113"/>
      <c r="J39" s="114"/>
      <c r="K39" s="113"/>
      <c r="L39" s="114"/>
      <c r="M39" s="113"/>
      <c r="N39" s="113"/>
      <c r="P39" s="165"/>
      <c r="Q39" s="161"/>
    </row>
    <row r="40" spans="1:17">
      <c r="A40" s="111" t="s">
        <v>224</v>
      </c>
      <c r="B40" s="115" t="s">
        <v>227</v>
      </c>
      <c r="C40" s="116" t="s">
        <v>228</v>
      </c>
      <c r="D40" s="116" t="s">
        <v>229</v>
      </c>
      <c r="E40" s="114">
        <v>288000</v>
      </c>
      <c r="F40" s="117">
        <v>168957.30515384616</v>
      </c>
      <c r="G40" s="114">
        <v>96</v>
      </c>
      <c r="H40" s="114">
        <v>3334</v>
      </c>
      <c r="I40" s="118">
        <v>12.25</v>
      </c>
      <c r="J40" s="114">
        <v>279.98712000000006</v>
      </c>
      <c r="K40" s="114">
        <v>8901.044385981706</v>
      </c>
      <c r="L40" s="114">
        <v>9181.0315059817058</v>
      </c>
      <c r="M40" s="114">
        <v>8.2782500000000034</v>
      </c>
      <c r="N40" s="114">
        <v>575.02824999999984</v>
      </c>
      <c r="P40" s="165"/>
      <c r="Q40" s="161"/>
    </row>
    <row r="41" spans="1:17">
      <c r="A41" s="111" t="s">
        <v>226</v>
      </c>
      <c r="P41" s="144"/>
    </row>
    <row r="42" spans="1:17">
      <c r="A42" s="111"/>
      <c r="P42" s="144"/>
    </row>
    <row r="43" spans="1:17" ht="15.75" thickBot="1">
      <c r="A43" s="105"/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P43" s="144"/>
    </row>
    <row r="44" spans="1:17">
      <c r="A44" s="109"/>
      <c r="B44" s="119" t="s">
        <v>280</v>
      </c>
      <c r="C44" s="109"/>
      <c r="D44" s="109"/>
      <c r="E44" s="109"/>
      <c r="F44" s="109"/>
      <c r="G44" s="109"/>
      <c r="H44" s="109"/>
      <c r="I44" s="109"/>
      <c r="J44" s="109"/>
      <c r="K44" s="119" t="s">
        <v>231</v>
      </c>
      <c r="L44" s="109"/>
      <c r="M44" s="109"/>
      <c r="N44" s="109"/>
      <c r="P44" s="144"/>
    </row>
    <row r="45" spans="1:17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P45" s="144"/>
    </row>
    <row r="46" spans="1:17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P46" s="144"/>
    </row>
    <row r="47" spans="1:17">
      <c r="A47" s="111" t="s">
        <v>122</v>
      </c>
      <c r="B47" s="112" t="s">
        <v>232</v>
      </c>
      <c r="C47" s="113"/>
      <c r="D47" s="113"/>
      <c r="E47" s="113"/>
      <c r="F47" s="113"/>
      <c r="G47" s="113"/>
      <c r="H47" s="113"/>
      <c r="I47" s="113"/>
      <c r="J47" s="114"/>
      <c r="K47" s="113"/>
      <c r="L47" s="114"/>
      <c r="M47" s="113"/>
      <c r="N47" s="113"/>
      <c r="P47" s="144"/>
    </row>
    <row r="48" spans="1:17">
      <c r="A48" s="111" t="s">
        <v>124</v>
      </c>
      <c r="B48" s="115" t="s">
        <v>233</v>
      </c>
      <c r="C48" s="116" t="s">
        <v>213</v>
      </c>
      <c r="D48" s="116" t="s">
        <v>126</v>
      </c>
      <c r="E48" s="114">
        <v>600000</v>
      </c>
      <c r="F48" s="117">
        <v>600000</v>
      </c>
      <c r="G48" s="114">
        <v>0</v>
      </c>
      <c r="H48" s="114">
        <v>32</v>
      </c>
      <c r="I48" s="118">
        <v>3</v>
      </c>
      <c r="J48" s="114">
        <v>999.2668338799914</v>
      </c>
      <c r="K48" s="114">
        <v>6882.2</v>
      </c>
      <c r="L48" s="114">
        <v>7881.4668338799911</v>
      </c>
      <c r="M48" s="114">
        <v>0</v>
      </c>
      <c r="N48" s="114">
        <v>14.222</v>
      </c>
      <c r="P48" s="144"/>
    </row>
    <row r="49" spans="1:16">
      <c r="A49" s="111" t="s">
        <v>128</v>
      </c>
      <c r="P49" s="144"/>
    </row>
    <row r="50" spans="1:16">
      <c r="A50" s="111" t="s">
        <v>132</v>
      </c>
      <c r="B50" s="112" t="s">
        <v>234</v>
      </c>
      <c r="C50" s="113"/>
      <c r="D50" s="113"/>
      <c r="E50" s="113"/>
      <c r="F50" s="113"/>
      <c r="G50" s="113"/>
      <c r="H50" s="113"/>
      <c r="I50" s="113"/>
      <c r="J50" s="114"/>
      <c r="K50" s="113"/>
      <c r="L50" s="114"/>
      <c r="M50" s="113"/>
      <c r="N50" s="113"/>
      <c r="P50" s="144"/>
    </row>
    <row r="51" spans="1:16">
      <c r="A51" s="111" t="s">
        <v>135</v>
      </c>
      <c r="B51" s="115" t="s">
        <v>235</v>
      </c>
      <c r="C51" s="116" t="s">
        <v>236</v>
      </c>
      <c r="D51" s="116" t="s">
        <v>237</v>
      </c>
      <c r="E51" s="114">
        <v>85000</v>
      </c>
      <c r="F51" s="117">
        <v>85000</v>
      </c>
      <c r="G51" s="114">
        <v>0</v>
      </c>
      <c r="H51" s="114">
        <v>720</v>
      </c>
      <c r="I51" s="118">
        <v>30</v>
      </c>
      <c r="J51" s="114">
        <v>16.482394382022481</v>
      </c>
      <c r="K51" s="114">
        <v>974.97833333333335</v>
      </c>
      <c r="L51" s="114">
        <v>991.4607277153558</v>
      </c>
      <c r="M51" s="114">
        <v>0</v>
      </c>
      <c r="N51" s="114">
        <v>596</v>
      </c>
      <c r="P51" s="144"/>
    </row>
    <row r="52" spans="1:16">
      <c r="A52" s="111" t="s">
        <v>139</v>
      </c>
      <c r="B52" s="115" t="s">
        <v>238</v>
      </c>
      <c r="C52" s="116" t="s">
        <v>239</v>
      </c>
      <c r="D52" s="116" t="s">
        <v>240</v>
      </c>
      <c r="E52" s="114">
        <v>15000</v>
      </c>
      <c r="F52" s="117">
        <v>15000</v>
      </c>
      <c r="G52" s="114">
        <v>0</v>
      </c>
      <c r="H52" s="114">
        <v>520</v>
      </c>
      <c r="I52" s="118">
        <v>31.5</v>
      </c>
      <c r="J52" s="114">
        <v>16.501559999999984</v>
      </c>
      <c r="K52" s="114">
        <v>183.30500000000001</v>
      </c>
      <c r="L52" s="114">
        <v>199.80655999999999</v>
      </c>
      <c r="M52" s="114">
        <v>0</v>
      </c>
      <c r="N52" s="114">
        <v>92.133709999999908</v>
      </c>
      <c r="P52" s="144"/>
    </row>
    <row r="53" spans="1:16">
      <c r="A53" s="111" t="s">
        <v>143</v>
      </c>
      <c r="B53" s="115" t="s">
        <v>238</v>
      </c>
      <c r="C53" s="116" t="s">
        <v>241</v>
      </c>
      <c r="D53" s="116" t="s">
        <v>242</v>
      </c>
      <c r="E53" s="114">
        <v>45750</v>
      </c>
      <c r="F53" s="117">
        <v>45750</v>
      </c>
      <c r="G53" s="114">
        <v>0</v>
      </c>
      <c r="H53" s="114">
        <v>711</v>
      </c>
      <c r="I53" s="118">
        <v>27.5</v>
      </c>
      <c r="J53" s="114">
        <v>25.844039999999978</v>
      </c>
      <c r="K53" s="114">
        <v>570.44446232876703</v>
      </c>
      <c r="L53" s="114">
        <v>596.28850232876698</v>
      </c>
      <c r="M53" s="114">
        <v>0</v>
      </c>
      <c r="N53" s="114">
        <v>101.22248999999994</v>
      </c>
      <c r="P53" s="144"/>
    </row>
    <row r="54" spans="1:16">
      <c r="A54" s="111" t="s">
        <v>147</v>
      </c>
      <c r="B54" s="115" t="s">
        <v>243</v>
      </c>
      <c r="C54" s="116" t="s">
        <v>244</v>
      </c>
      <c r="D54" s="116" t="s">
        <v>245</v>
      </c>
      <c r="E54" s="114">
        <v>45960</v>
      </c>
      <c r="F54" s="117">
        <v>45960</v>
      </c>
      <c r="G54" s="114">
        <v>0</v>
      </c>
      <c r="H54" s="114">
        <v>397</v>
      </c>
      <c r="I54" s="118">
        <v>30.5</v>
      </c>
      <c r="J54" s="114">
        <v>13.006567850467276</v>
      </c>
      <c r="K54" s="114">
        <v>573.06289592634187</v>
      </c>
      <c r="L54" s="114">
        <v>586.06946377680913</v>
      </c>
      <c r="M54" s="114">
        <v>0</v>
      </c>
      <c r="N54" s="114">
        <v>93.213736261682129</v>
      </c>
      <c r="P54" s="144"/>
    </row>
    <row r="55" spans="1:16">
      <c r="A55" s="111" t="s">
        <v>151</v>
      </c>
      <c r="B55" s="115" t="s">
        <v>246</v>
      </c>
      <c r="C55" s="116" t="s">
        <v>244</v>
      </c>
      <c r="D55" s="116" t="s">
        <v>245</v>
      </c>
      <c r="E55" s="114">
        <v>16510</v>
      </c>
      <c r="F55" s="117">
        <v>16510</v>
      </c>
      <c r="G55" s="114">
        <v>0</v>
      </c>
      <c r="H55" s="114">
        <v>132</v>
      </c>
      <c r="I55" s="118">
        <v>30.5</v>
      </c>
      <c r="J55" s="114">
        <v>4.3203600000000026</v>
      </c>
      <c r="K55" s="114">
        <v>205.85875569503705</v>
      </c>
      <c r="L55" s="114">
        <v>210.17911569503707</v>
      </c>
      <c r="M55" s="114">
        <v>0</v>
      </c>
      <c r="N55" s="114">
        <v>30.962580000000024</v>
      </c>
      <c r="P55" s="144"/>
    </row>
    <row r="56" spans="1:16">
      <c r="A56" s="111" t="s">
        <v>155</v>
      </c>
      <c r="B56" s="115" t="s">
        <v>247</v>
      </c>
      <c r="C56" s="116" t="s">
        <v>244</v>
      </c>
      <c r="D56" s="116" t="s">
        <v>245</v>
      </c>
      <c r="E56" s="114">
        <v>4480</v>
      </c>
      <c r="F56" s="117">
        <v>4480</v>
      </c>
      <c r="G56" s="114">
        <v>0</v>
      </c>
      <c r="H56" s="114">
        <v>83</v>
      </c>
      <c r="I56" s="118">
        <v>30.5</v>
      </c>
      <c r="J56" s="114">
        <v>2.71692</v>
      </c>
      <c r="K56" s="114">
        <v>55.859916748259607</v>
      </c>
      <c r="L56" s="114">
        <v>58.576836748259609</v>
      </c>
      <c r="M56" s="114">
        <v>0</v>
      </c>
      <c r="N56" s="114">
        <v>19.471260000000001</v>
      </c>
      <c r="P56" s="144"/>
    </row>
    <row r="57" spans="1:16">
      <c r="A57" s="111" t="s">
        <v>159</v>
      </c>
      <c r="B57" s="115" t="s">
        <v>243</v>
      </c>
      <c r="C57" s="116" t="s">
        <v>248</v>
      </c>
      <c r="D57" s="116" t="s">
        <v>249</v>
      </c>
      <c r="E57" s="114">
        <v>28300</v>
      </c>
      <c r="F57" s="117">
        <v>28300</v>
      </c>
      <c r="G57" s="114">
        <v>0</v>
      </c>
      <c r="H57" s="114">
        <v>371</v>
      </c>
      <c r="I57" s="118">
        <v>35</v>
      </c>
      <c r="J57" s="114">
        <v>10.595879999999987</v>
      </c>
      <c r="K57" s="114">
        <v>352.86509910172919</v>
      </c>
      <c r="L57" s="114">
        <v>363.46097910172915</v>
      </c>
      <c r="M57" s="114">
        <v>0</v>
      </c>
      <c r="N57" s="114">
        <v>104.19281999999988</v>
      </c>
      <c r="P57" s="144"/>
    </row>
    <row r="58" spans="1:16">
      <c r="A58" s="111" t="s">
        <v>163</v>
      </c>
      <c r="B58" s="115" t="s">
        <v>238</v>
      </c>
      <c r="C58" s="116" t="s">
        <v>250</v>
      </c>
      <c r="D58" s="116" t="s">
        <v>251</v>
      </c>
      <c r="E58" s="114">
        <v>8635</v>
      </c>
      <c r="F58" s="117">
        <v>8635</v>
      </c>
      <c r="G58" s="114">
        <v>0</v>
      </c>
      <c r="H58" s="114">
        <v>182</v>
      </c>
      <c r="I58" s="118">
        <v>25.083333333333332</v>
      </c>
      <c r="J58" s="114">
        <v>7.26</v>
      </c>
      <c r="K58" s="114">
        <v>105.51811830638522</v>
      </c>
      <c r="L58" s="114">
        <v>112.77811830638522</v>
      </c>
      <c r="M58" s="114">
        <v>0</v>
      </c>
      <c r="N58" s="114">
        <v>19.965</v>
      </c>
      <c r="P58" s="144"/>
    </row>
    <row r="59" spans="1:16">
      <c r="A59" s="111" t="s">
        <v>166</v>
      </c>
      <c r="B59" s="115" t="s">
        <v>243</v>
      </c>
      <c r="C59" s="116" t="s">
        <v>252</v>
      </c>
      <c r="D59" s="116" t="s">
        <v>253</v>
      </c>
      <c r="E59" s="114">
        <v>51940</v>
      </c>
      <c r="F59" s="117">
        <v>51940</v>
      </c>
      <c r="G59" s="114">
        <v>0</v>
      </c>
      <c r="H59" s="114">
        <v>345</v>
      </c>
      <c r="I59" s="118">
        <v>33.916666666666664</v>
      </c>
      <c r="J59" s="114">
        <v>10.182720000000005</v>
      </c>
      <c r="K59" s="114">
        <v>634.6972860259001</v>
      </c>
      <c r="L59" s="114">
        <v>644.8800060259</v>
      </c>
      <c r="M59" s="114">
        <v>0</v>
      </c>
      <c r="N59" s="114">
        <v>120.49552000000004</v>
      </c>
      <c r="P59" s="144"/>
    </row>
    <row r="60" spans="1:16">
      <c r="A60" s="111" t="s">
        <v>170</v>
      </c>
      <c r="B60" s="115" t="s">
        <v>254</v>
      </c>
      <c r="C60" s="116" t="s">
        <v>255</v>
      </c>
      <c r="D60" s="116" t="s">
        <v>256</v>
      </c>
      <c r="E60" s="114">
        <v>95700</v>
      </c>
      <c r="F60" s="117">
        <v>95700</v>
      </c>
      <c r="G60" s="114">
        <v>0</v>
      </c>
      <c r="H60" s="114">
        <v>499</v>
      </c>
      <c r="I60" s="118">
        <v>22.25</v>
      </c>
      <c r="J60" s="114">
        <v>22.489170370370353</v>
      </c>
      <c r="K60" s="114">
        <v>1193.3449938693016</v>
      </c>
      <c r="L60" s="114">
        <v>1215.834164239672</v>
      </c>
      <c r="M60" s="114">
        <v>0</v>
      </c>
      <c r="N60" s="114">
        <v>112.44585185185177</v>
      </c>
      <c r="P60" s="144"/>
    </row>
    <row r="61" spans="1:16">
      <c r="A61" s="111" t="s">
        <v>174</v>
      </c>
      <c r="B61" s="115" t="s">
        <v>257</v>
      </c>
      <c r="C61" s="116" t="s">
        <v>258</v>
      </c>
      <c r="D61" s="116" t="s">
        <v>259</v>
      </c>
      <c r="E61" s="114">
        <v>242210</v>
      </c>
      <c r="F61" s="117">
        <v>242210</v>
      </c>
      <c r="G61" s="114">
        <v>0</v>
      </c>
      <c r="H61" s="114">
        <v>570</v>
      </c>
      <c r="I61" s="118">
        <v>28</v>
      </c>
      <c r="J61" s="114">
        <v>20.368919999999996</v>
      </c>
      <c r="K61" s="114">
        <v>2960.3846266666665</v>
      </c>
      <c r="L61" s="114">
        <v>2980.7535466666664</v>
      </c>
      <c r="M61" s="114">
        <v>0</v>
      </c>
      <c r="N61" s="114">
        <v>227.4529399999999</v>
      </c>
      <c r="P61" s="144"/>
    </row>
    <row r="62" spans="1:16">
      <c r="A62" s="111" t="s">
        <v>178</v>
      </c>
      <c r="B62" s="115" t="s">
        <v>257</v>
      </c>
      <c r="C62" s="116" t="s">
        <v>260</v>
      </c>
      <c r="D62" s="116" t="s">
        <v>261</v>
      </c>
      <c r="E62" s="114">
        <v>78785</v>
      </c>
      <c r="F62" s="117">
        <v>78785</v>
      </c>
      <c r="G62" s="114">
        <v>0</v>
      </c>
      <c r="H62" s="114">
        <v>442</v>
      </c>
      <c r="I62" s="118">
        <v>21</v>
      </c>
      <c r="J62" s="114">
        <v>21.054240000000032</v>
      </c>
      <c r="K62" s="114">
        <v>962.77896166666676</v>
      </c>
      <c r="L62" s="114">
        <v>983.83320166666681</v>
      </c>
      <c r="M62" s="114">
        <v>0</v>
      </c>
      <c r="N62" s="114">
        <v>143.87064000000024</v>
      </c>
      <c r="P62" s="144"/>
    </row>
    <row r="63" spans="1:16" ht="15.75" thickBot="1">
      <c r="A63" s="111" t="s">
        <v>182</v>
      </c>
      <c r="B63" s="112" t="s">
        <v>262</v>
      </c>
      <c r="C63" s="116" t="s">
        <v>263</v>
      </c>
      <c r="D63" s="116" t="s">
        <v>263</v>
      </c>
      <c r="E63" s="114">
        <v>0</v>
      </c>
      <c r="F63" s="117">
        <v>0</v>
      </c>
      <c r="G63" s="114">
        <v>0</v>
      </c>
      <c r="H63" s="114">
        <v>0</v>
      </c>
      <c r="I63" s="118">
        <v>0</v>
      </c>
      <c r="J63" s="114">
        <v>0</v>
      </c>
      <c r="K63" s="114">
        <v>0</v>
      </c>
      <c r="L63" s="114">
        <v>0</v>
      </c>
      <c r="M63" s="114">
        <v>0</v>
      </c>
      <c r="N63" s="114">
        <v>92401.669487115039</v>
      </c>
      <c r="P63" s="144"/>
    </row>
    <row r="64" spans="1:16" ht="15.75" thickTop="1">
      <c r="A64" s="111" t="s">
        <v>186</v>
      </c>
      <c r="B64" s="112" t="s">
        <v>264</v>
      </c>
      <c r="C64" s="113">
        <v>0</v>
      </c>
      <c r="D64" s="113">
        <v>0</v>
      </c>
      <c r="E64" s="132">
        <v>12296270</v>
      </c>
      <c r="F64" s="132">
        <v>10938766.766692309</v>
      </c>
      <c r="G64" s="132">
        <v>50178.635000000002</v>
      </c>
      <c r="H64" s="132">
        <v>119475.7866222009</v>
      </c>
      <c r="I64" s="113">
        <v>0</v>
      </c>
      <c r="J64" s="132">
        <v>7941.9824110843356</v>
      </c>
      <c r="K64" s="133">
        <f>SUM(K13:K62)</f>
        <v>483056.31861342792</v>
      </c>
      <c r="L64" s="133">
        <f>SUM(L13:L62)</f>
        <v>490998.30102451221</v>
      </c>
      <c r="M64" s="132">
        <v>31430.528366187042</v>
      </c>
      <c r="N64" s="132">
        <f>SUM(N13:N63)</f>
        <v>169386.12646065868</v>
      </c>
    </row>
    <row r="65" spans="1:14">
      <c r="A65" s="111" t="s">
        <v>189</v>
      </c>
      <c r="B65" s="112" t="s">
        <v>265</v>
      </c>
      <c r="C65" s="116" t="s">
        <v>263</v>
      </c>
      <c r="D65" s="116" t="s">
        <v>263</v>
      </c>
      <c r="E65" s="114">
        <v>0</v>
      </c>
      <c r="F65" s="117"/>
      <c r="G65" s="114">
        <v>0</v>
      </c>
      <c r="H65" s="114">
        <v>0</v>
      </c>
      <c r="I65" s="118">
        <v>0</v>
      </c>
      <c r="J65" s="114">
        <v>0</v>
      </c>
      <c r="K65" s="114">
        <v>0</v>
      </c>
      <c r="L65" s="114">
        <v>0</v>
      </c>
      <c r="M65" s="114">
        <v>0</v>
      </c>
      <c r="N65" s="114">
        <v>0</v>
      </c>
    </row>
    <row r="66" spans="1:14" ht="15.75" thickBot="1">
      <c r="A66" s="111" t="s">
        <v>192</v>
      </c>
      <c r="B66" s="112" t="s">
        <v>266</v>
      </c>
      <c r="C66" s="116" t="s">
        <v>263</v>
      </c>
      <c r="D66" s="116" t="s">
        <v>263</v>
      </c>
      <c r="E66" s="114">
        <v>0</v>
      </c>
      <c r="F66" s="135">
        <f>-SUM(M64:N64)</f>
        <v>-200816.65482684571</v>
      </c>
      <c r="G66" s="114">
        <v>0</v>
      </c>
      <c r="H66" s="114">
        <v>0</v>
      </c>
      <c r="I66" s="118">
        <v>0</v>
      </c>
      <c r="J66" s="114">
        <v>0</v>
      </c>
      <c r="K66" s="114">
        <v>0</v>
      </c>
      <c r="L66" s="114">
        <v>0</v>
      </c>
      <c r="M66" s="114">
        <v>0</v>
      </c>
      <c r="N66" s="114">
        <v>0</v>
      </c>
    </row>
    <row r="67" spans="1:14" ht="15.75" thickTop="1">
      <c r="A67" s="111" t="s">
        <v>196</v>
      </c>
      <c r="B67" s="112" t="s">
        <v>267</v>
      </c>
      <c r="C67" s="113">
        <v>0</v>
      </c>
      <c r="D67" s="113">
        <v>0</v>
      </c>
      <c r="E67" s="113">
        <v>0</v>
      </c>
      <c r="F67" s="132">
        <f>SUM(F64:F66)</f>
        <v>10737950.111865463</v>
      </c>
      <c r="G67" s="113">
        <v>0</v>
      </c>
      <c r="H67" s="113">
        <v>0</v>
      </c>
      <c r="I67" s="113">
        <v>0</v>
      </c>
      <c r="J67" s="113">
        <v>0</v>
      </c>
      <c r="K67" s="113">
        <v>0</v>
      </c>
      <c r="L67" s="113">
        <v>0</v>
      </c>
      <c r="M67" s="113">
        <v>0</v>
      </c>
      <c r="N67" s="113"/>
    </row>
    <row r="68" spans="1:14" ht="15.75" thickBot="1">
      <c r="A68" s="111" t="s">
        <v>200</v>
      </c>
      <c r="B68" s="112" t="s">
        <v>268</v>
      </c>
      <c r="C68" s="113">
        <v>0</v>
      </c>
      <c r="D68" s="113">
        <v>0</v>
      </c>
      <c r="E68" s="113">
        <v>0</v>
      </c>
      <c r="F68" s="137">
        <v>4.5730727550607933E-2</v>
      </c>
      <c r="G68" s="113">
        <v>0</v>
      </c>
      <c r="H68" s="113">
        <v>0</v>
      </c>
      <c r="I68" s="113">
        <v>0</v>
      </c>
      <c r="J68" s="113">
        <v>0</v>
      </c>
      <c r="K68" s="113">
        <v>0</v>
      </c>
      <c r="L68" s="113">
        <v>0</v>
      </c>
      <c r="M68" s="113">
        <v>0</v>
      </c>
      <c r="N68" s="113">
        <v>0</v>
      </c>
    </row>
    <row r="69" spans="1:14" ht="15.75" thickTop="1">
      <c r="A69" s="111" t="s">
        <v>204</v>
      </c>
    </row>
    <row r="70" spans="1:14">
      <c r="A70" s="111" t="s">
        <v>207</v>
      </c>
      <c r="B70" s="138" t="s">
        <v>269</v>
      </c>
      <c r="C70" s="119" t="s">
        <v>270</v>
      </c>
      <c r="D70" s="119"/>
      <c r="E70" s="119"/>
      <c r="F70" s="139"/>
      <c r="G70" s="139">
        <f>F64-F40</f>
        <v>10769809.461538462</v>
      </c>
    </row>
    <row r="71" spans="1:14">
      <c r="A71" s="111" t="s">
        <v>211</v>
      </c>
      <c r="B71" s="119"/>
      <c r="C71" s="119" t="s">
        <v>271</v>
      </c>
      <c r="D71" s="119"/>
      <c r="E71" s="119"/>
      <c r="F71" s="140"/>
      <c r="G71" s="140">
        <f>F66+M40+N40</f>
        <v>-200233.34832684571</v>
      </c>
    </row>
    <row r="72" spans="1:14">
      <c r="A72" s="111" t="s">
        <v>215</v>
      </c>
      <c r="B72" s="112" t="s">
        <v>272</v>
      </c>
      <c r="C72" s="112" t="s">
        <v>272</v>
      </c>
      <c r="D72" s="119"/>
      <c r="E72" s="119"/>
      <c r="F72" s="119"/>
      <c r="G72" s="141">
        <v>-4630</v>
      </c>
    </row>
    <row r="73" spans="1:14">
      <c r="A73" s="111" t="s">
        <v>219</v>
      </c>
      <c r="B73" s="119"/>
      <c r="C73" s="119" t="s">
        <v>267</v>
      </c>
      <c r="D73" s="119"/>
      <c r="E73" s="119"/>
      <c r="F73" s="119"/>
      <c r="G73" s="139">
        <f>SUM(G70:G72)</f>
        <v>10564946.113211617</v>
      </c>
    </row>
    <row r="74" spans="1:14">
      <c r="A74" s="111" t="s">
        <v>223</v>
      </c>
      <c r="B74" s="119"/>
      <c r="C74" s="119"/>
      <c r="D74" s="119"/>
      <c r="E74" s="119"/>
      <c r="F74" s="119"/>
      <c r="G74" s="119"/>
    </row>
    <row r="75" spans="1:14">
      <c r="A75" s="111" t="s">
        <v>224</v>
      </c>
      <c r="B75" s="119"/>
      <c r="C75" s="119" t="s">
        <v>273</v>
      </c>
      <c r="D75" s="119"/>
      <c r="E75" s="119"/>
      <c r="F75" s="119"/>
      <c r="G75" s="139">
        <f>L64-L40</f>
        <v>481817.26951853052</v>
      </c>
    </row>
    <row r="76" spans="1:14">
      <c r="A76" s="111" t="s">
        <v>226</v>
      </c>
      <c r="B76" s="119"/>
      <c r="C76" s="119" t="s">
        <v>274</v>
      </c>
      <c r="D76" s="119"/>
      <c r="E76" s="119"/>
      <c r="F76" s="119"/>
      <c r="G76" s="141">
        <v>5947</v>
      </c>
    </row>
    <row r="77" spans="1:14">
      <c r="A77" s="111"/>
      <c r="B77" s="119"/>
      <c r="C77" s="119"/>
      <c r="D77" s="119"/>
      <c r="E77" s="119"/>
      <c r="F77" s="119"/>
      <c r="G77" s="139">
        <f>SUM(G75:G76)</f>
        <v>487764.26951853052</v>
      </c>
    </row>
    <row r="78" spans="1:14">
      <c r="A78" s="111"/>
      <c r="B78" s="119"/>
      <c r="C78" s="119"/>
      <c r="D78" s="119"/>
      <c r="E78" s="119"/>
      <c r="F78" s="119"/>
      <c r="G78" s="139"/>
    </row>
    <row r="79" spans="1:14" ht="15.75" thickBot="1">
      <c r="A79" s="111"/>
      <c r="B79" s="119"/>
      <c r="C79" s="112" t="s">
        <v>268</v>
      </c>
      <c r="D79" s="119"/>
      <c r="E79" s="119"/>
      <c r="F79" s="119"/>
      <c r="G79" s="142">
        <f>G77/G73</f>
        <v>4.6168173911324953E-2</v>
      </c>
    </row>
    <row r="80" spans="1:14" ht="16.5" thickTop="1" thickBot="1">
      <c r="A80" s="105"/>
      <c r="B80" s="145"/>
      <c r="C80" s="145"/>
      <c r="D80" s="145"/>
      <c r="E80" s="145"/>
      <c r="F80" s="145"/>
      <c r="G80" s="145"/>
      <c r="H80" s="105"/>
      <c r="I80" s="105"/>
      <c r="J80" s="105"/>
      <c r="K80" s="105"/>
      <c r="L80" s="105"/>
      <c r="M80" s="105"/>
      <c r="N80" s="105"/>
    </row>
    <row r="81" spans="2:11">
      <c r="B81" s="119" t="s">
        <v>280</v>
      </c>
      <c r="K81" s="119" t="s">
        <v>231</v>
      </c>
    </row>
  </sheetData>
  <pageMargins left="0.39" right="0.25" top="1" bottom="1" header="0.5" footer="0.5"/>
  <pageSetup orientation="landscape" r:id="rId1"/>
  <headerFooter alignWithMargins="0">
    <oddHeader>&amp;R&amp;8Docket No. 160021-EI, &amp;"Arial,Italic"et al&amp;"Arial,Regular".
FPL POD No. 5
Attachment A
Page &amp;P of &amp;N</oddHeader>
  </headerFooter>
  <rowBreaks count="1" manualBreakCount="1">
    <brk id="46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81"/>
  <sheetViews>
    <sheetView showGridLines="0" showZeros="0" tabSelected="1" view="pageLayout" zoomScaleNormal="100" workbookViewId="0">
      <selection activeCell="G9" sqref="G9"/>
    </sheetView>
  </sheetViews>
  <sheetFormatPr defaultRowHeight="15"/>
  <cols>
    <col min="1" max="1" width="5.42578125" style="106" customWidth="1"/>
    <col min="2" max="2" width="39.85546875" style="106" customWidth="1"/>
    <col min="3" max="14" width="11.7109375" style="106" customWidth="1"/>
    <col min="15" max="15" width="9.140625" style="106"/>
    <col min="16" max="16" width="10.5703125" style="106" bestFit="1" customWidth="1"/>
    <col min="17" max="16384" width="9.140625" style="106"/>
  </cols>
  <sheetData>
    <row r="1" spans="1:18" ht="15.75" thickBot="1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8">
      <c r="A2" s="107" t="s">
        <v>81</v>
      </c>
      <c r="E2" s="107" t="s">
        <v>82</v>
      </c>
      <c r="K2" s="107" t="s">
        <v>83</v>
      </c>
    </row>
    <row r="3" spans="1:18">
      <c r="F3" s="107" t="s">
        <v>84</v>
      </c>
      <c r="K3" s="107" t="s">
        <v>275</v>
      </c>
    </row>
    <row r="4" spans="1:18">
      <c r="A4" s="107" t="s">
        <v>86</v>
      </c>
      <c r="F4" s="107" t="s">
        <v>87</v>
      </c>
      <c r="K4" s="107" t="s">
        <v>276</v>
      </c>
    </row>
    <row r="5" spans="1:18">
      <c r="B5" s="107" t="s">
        <v>89</v>
      </c>
      <c r="F5" s="107" t="s">
        <v>90</v>
      </c>
      <c r="K5" s="107" t="s">
        <v>277</v>
      </c>
    </row>
    <row r="6" spans="1:18">
      <c r="K6" s="107"/>
    </row>
    <row r="7" spans="1:18">
      <c r="A7" s="107" t="s">
        <v>93</v>
      </c>
      <c r="G7" s="107" t="s">
        <v>94</v>
      </c>
      <c r="K7" s="107" t="s">
        <v>95</v>
      </c>
    </row>
    <row r="8" spans="1:18" ht="15.75" thickBot="1">
      <c r="A8" s="105"/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</row>
    <row r="9" spans="1:18">
      <c r="B9" s="108" t="s">
        <v>37</v>
      </c>
      <c r="C9" s="108" t="s">
        <v>96</v>
      </c>
      <c r="D9" s="108" t="s">
        <v>97</v>
      </c>
      <c r="E9" s="108" t="s">
        <v>98</v>
      </c>
      <c r="F9" s="108" t="s">
        <v>99</v>
      </c>
      <c r="G9" s="108" t="s">
        <v>100</v>
      </c>
      <c r="H9" s="108" t="s">
        <v>101</v>
      </c>
      <c r="I9" s="108" t="s">
        <v>102</v>
      </c>
      <c r="J9" s="108" t="s">
        <v>103</v>
      </c>
      <c r="K9" s="108" t="s">
        <v>104</v>
      </c>
      <c r="L9" s="108" t="s">
        <v>105</v>
      </c>
      <c r="M9" s="108" t="s">
        <v>106</v>
      </c>
      <c r="N9" s="108" t="s">
        <v>107</v>
      </c>
    </row>
    <row r="10" spans="1:18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</row>
    <row r="11" spans="1:18" ht="102.75" thickBot="1">
      <c r="A11" s="110" t="s">
        <v>108</v>
      </c>
      <c r="B11" s="110" t="s">
        <v>109</v>
      </c>
      <c r="C11" s="110" t="s">
        <v>110</v>
      </c>
      <c r="D11" s="110" t="s">
        <v>111</v>
      </c>
      <c r="E11" s="110" t="s">
        <v>112</v>
      </c>
      <c r="F11" s="110" t="s">
        <v>113</v>
      </c>
      <c r="G11" s="110" t="s">
        <v>114</v>
      </c>
      <c r="H11" s="110" t="s">
        <v>115</v>
      </c>
      <c r="I11" s="110" t="s">
        <v>116</v>
      </c>
      <c r="J11" s="110" t="s">
        <v>117</v>
      </c>
      <c r="K11" s="110" t="s">
        <v>118</v>
      </c>
      <c r="L11" s="110" t="s">
        <v>119</v>
      </c>
      <c r="M11" s="110" t="s">
        <v>120</v>
      </c>
      <c r="N11" s="110" t="s">
        <v>121</v>
      </c>
    </row>
    <row r="12" spans="1:18">
      <c r="A12" s="111" t="s">
        <v>122</v>
      </c>
      <c r="B12" s="112" t="s">
        <v>123</v>
      </c>
      <c r="C12" s="113"/>
      <c r="D12" s="113"/>
      <c r="E12" s="113"/>
      <c r="F12" s="113"/>
      <c r="G12" s="113"/>
      <c r="H12" s="113"/>
      <c r="I12" s="113"/>
      <c r="J12" s="114"/>
      <c r="K12" s="113"/>
      <c r="L12" s="114"/>
      <c r="M12" s="113"/>
      <c r="N12" s="113"/>
    </row>
    <row r="13" spans="1:18">
      <c r="A13" s="111" t="s">
        <v>124</v>
      </c>
      <c r="B13" s="147">
        <v>4.1000000000000002E-2</v>
      </c>
      <c r="C13" s="116" t="s">
        <v>130</v>
      </c>
      <c r="D13" s="116" t="s">
        <v>131</v>
      </c>
      <c r="E13" s="114">
        <v>800000</v>
      </c>
      <c r="F13" s="117">
        <v>123076.92307692308</v>
      </c>
      <c r="G13" s="114">
        <v>0</v>
      </c>
      <c r="H13" s="114">
        <v>7000</v>
      </c>
      <c r="I13" s="118">
        <v>30</v>
      </c>
      <c r="J13" s="114">
        <v>29.798668593110715</v>
      </c>
      <c r="K13" s="146">
        <f>F13*B13</f>
        <v>5046.1538461538466</v>
      </c>
      <c r="L13" s="146">
        <f>J13+K13</f>
        <v>5075.9525147469576</v>
      </c>
      <c r="M13" s="114">
        <v>0</v>
      </c>
      <c r="N13" s="114">
        <v>1073.8342572578367</v>
      </c>
      <c r="P13" s="159"/>
      <c r="Q13" s="160"/>
      <c r="R13" s="161"/>
    </row>
    <row r="14" spans="1:18">
      <c r="A14" s="111" t="s">
        <v>128</v>
      </c>
      <c r="B14" s="147">
        <v>4.1000000000000002E-2</v>
      </c>
      <c r="C14" s="116" t="s">
        <v>133</v>
      </c>
      <c r="D14" s="116" t="s">
        <v>134</v>
      </c>
      <c r="E14" s="114">
        <v>500000</v>
      </c>
      <c r="F14" s="117">
        <v>384615.38461538462</v>
      </c>
      <c r="G14" s="114">
        <v>0</v>
      </c>
      <c r="H14" s="114">
        <v>4375</v>
      </c>
      <c r="I14" s="118">
        <v>30</v>
      </c>
      <c r="J14" s="114">
        <v>115.83757556116686</v>
      </c>
      <c r="K14" s="146">
        <f>F14*B14</f>
        <v>15769.23076923077</v>
      </c>
      <c r="L14" s="146">
        <f>J14+K14</f>
        <v>15885.068344791936</v>
      </c>
      <c r="M14" s="114">
        <v>0</v>
      </c>
      <c r="N14" s="114">
        <v>3318.342281742096</v>
      </c>
      <c r="P14" s="159"/>
      <c r="Q14" s="160"/>
      <c r="R14" s="164"/>
    </row>
    <row r="15" spans="1:18">
      <c r="A15" s="111" t="s">
        <v>132</v>
      </c>
      <c r="B15" s="115" t="s">
        <v>136</v>
      </c>
      <c r="C15" s="116" t="s">
        <v>137</v>
      </c>
      <c r="D15" s="116" t="s">
        <v>138</v>
      </c>
      <c r="E15" s="114">
        <v>500000</v>
      </c>
      <c r="F15" s="117">
        <v>500000</v>
      </c>
      <c r="G15" s="114">
        <v>1905</v>
      </c>
      <c r="H15" s="114">
        <v>5650</v>
      </c>
      <c r="I15" s="118">
        <v>10</v>
      </c>
      <c r="J15" s="114">
        <v>750.66930260869583</v>
      </c>
      <c r="K15" s="114">
        <v>13750.000000000002</v>
      </c>
      <c r="L15" s="114">
        <v>14500.669302608698</v>
      </c>
      <c r="M15" s="114">
        <v>1127.125</v>
      </c>
      <c r="N15" s="114">
        <v>3314.3350404347843</v>
      </c>
      <c r="P15" s="159"/>
      <c r="Q15" s="160"/>
      <c r="R15" s="161"/>
    </row>
    <row r="16" spans="1:18">
      <c r="A16" s="111" t="s">
        <v>135</v>
      </c>
      <c r="B16" s="115" t="s">
        <v>140</v>
      </c>
      <c r="C16" s="116" t="s">
        <v>141</v>
      </c>
      <c r="D16" s="116" t="s">
        <v>142</v>
      </c>
      <c r="E16" s="114">
        <v>500000</v>
      </c>
      <c r="F16" s="117">
        <v>418172</v>
      </c>
      <c r="G16" s="114">
        <v>6480</v>
      </c>
      <c r="H16" s="114">
        <v>2199.0569799999998</v>
      </c>
      <c r="I16" s="118">
        <v>31</v>
      </c>
      <c r="J16" s="114">
        <v>279.96969567567601</v>
      </c>
      <c r="K16" s="114">
        <v>23522.174999999999</v>
      </c>
      <c r="L16" s="114">
        <v>23802.144695675674</v>
      </c>
      <c r="M16" s="114">
        <v>3499.9784225675717</v>
      </c>
      <c r="N16" s="114">
        <v>1189.5139800000004</v>
      </c>
      <c r="P16" s="159"/>
      <c r="Q16" s="160"/>
      <c r="R16" s="161"/>
    </row>
    <row r="17" spans="1:18">
      <c r="A17" s="111" t="s">
        <v>139</v>
      </c>
      <c r="B17" s="115" t="s">
        <v>144</v>
      </c>
      <c r="C17" s="116" t="s">
        <v>145</v>
      </c>
      <c r="D17" s="116" t="s">
        <v>146</v>
      </c>
      <c r="E17" s="114">
        <v>300000</v>
      </c>
      <c r="F17" s="117">
        <v>229586</v>
      </c>
      <c r="G17" s="114">
        <v>4030</v>
      </c>
      <c r="H17" s="114">
        <v>1593.9194026842999</v>
      </c>
      <c r="I17" s="118">
        <v>30.083333333333332</v>
      </c>
      <c r="J17" s="114">
        <v>186.74760949999995</v>
      </c>
      <c r="K17" s="114">
        <v>12397.644000000002</v>
      </c>
      <c r="L17" s="114">
        <v>12584.391609500002</v>
      </c>
      <c r="M17" s="114">
        <v>2438.9455763749975</v>
      </c>
      <c r="N17" s="114">
        <v>969.19829700000037</v>
      </c>
      <c r="P17" s="159"/>
      <c r="Q17" s="160"/>
      <c r="R17" s="161"/>
    </row>
    <row r="18" spans="1:18">
      <c r="A18" s="111" t="s">
        <v>143</v>
      </c>
      <c r="B18" s="115" t="s">
        <v>148</v>
      </c>
      <c r="C18" s="116" t="s">
        <v>149</v>
      </c>
      <c r="D18" s="116" t="s">
        <v>150</v>
      </c>
      <c r="E18" s="114">
        <v>400000</v>
      </c>
      <c r="F18" s="117">
        <v>394991</v>
      </c>
      <c r="G18" s="114">
        <v>6364</v>
      </c>
      <c r="H18" s="114">
        <v>1996.1578276349001</v>
      </c>
      <c r="I18" s="118">
        <v>31.083333333333332</v>
      </c>
      <c r="J18" s="114">
        <v>268.95969937499996</v>
      </c>
      <c r="K18" s="114">
        <v>22316.9915</v>
      </c>
      <c r="L18" s="114">
        <v>22585.951199374998</v>
      </c>
      <c r="M18" s="114">
        <v>4010.1608781249988</v>
      </c>
      <c r="N18" s="114">
        <v>1256.9665679687489</v>
      </c>
      <c r="P18" s="159"/>
      <c r="Q18" s="160"/>
      <c r="R18" s="161"/>
    </row>
    <row r="19" spans="1:18">
      <c r="A19" s="111" t="s">
        <v>147</v>
      </c>
      <c r="B19" s="115" t="s">
        <v>152</v>
      </c>
      <c r="C19" s="116" t="s">
        <v>153</v>
      </c>
      <c r="D19" s="116" t="s">
        <v>154</v>
      </c>
      <c r="E19" s="114">
        <v>300000</v>
      </c>
      <c r="F19" s="117">
        <v>219161</v>
      </c>
      <c r="G19" s="114">
        <v>2693</v>
      </c>
      <c r="H19" s="114">
        <v>1738.1988999999999</v>
      </c>
      <c r="I19" s="118">
        <v>30</v>
      </c>
      <c r="J19" s="114">
        <v>148.14823983772823</v>
      </c>
      <c r="K19" s="114">
        <v>13587.982000000002</v>
      </c>
      <c r="L19" s="114">
        <v>13736.13023983773</v>
      </c>
      <c r="M19" s="114">
        <v>1692.1411686815431</v>
      </c>
      <c r="N19" s="114">
        <v>1091.8111716024339</v>
      </c>
      <c r="P19" s="159"/>
      <c r="Q19" s="160"/>
      <c r="R19" s="161"/>
    </row>
    <row r="20" spans="1:18">
      <c r="A20" s="111" t="s">
        <v>151</v>
      </c>
      <c r="B20" s="115" t="s">
        <v>156</v>
      </c>
      <c r="C20" s="116" t="s">
        <v>157</v>
      </c>
      <c r="D20" s="116" t="s">
        <v>158</v>
      </c>
      <c r="E20" s="114">
        <v>300000</v>
      </c>
      <c r="F20" s="117">
        <v>300000</v>
      </c>
      <c r="G20" s="114">
        <v>4893</v>
      </c>
      <c r="H20" s="114">
        <v>1634.9651999999999</v>
      </c>
      <c r="I20" s="118">
        <v>30</v>
      </c>
      <c r="J20" s="114">
        <v>217.59881898305076</v>
      </c>
      <c r="K20" s="114">
        <v>14850</v>
      </c>
      <c r="L20" s="114">
        <v>15067.59881898305</v>
      </c>
      <c r="M20" s="114">
        <v>2922.2079567796586</v>
      </c>
      <c r="N20" s="114">
        <v>976.43755000000067</v>
      </c>
      <c r="P20" s="159"/>
      <c r="Q20" s="160"/>
      <c r="R20" s="161"/>
    </row>
    <row r="21" spans="1:18">
      <c r="A21" s="111" t="s">
        <v>155</v>
      </c>
      <c r="B21" s="115" t="s">
        <v>160</v>
      </c>
      <c r="C21" s="116" t="s">
        <v>161</v>
      </c>
      <c r="D21" s="116" t="s">
        <v>162</v>
      </c>
      <c r="E21" s="114">
        <v>200000</v>
      </c>
      <c r="F21" s="117">
        <v>170695</v>
      </c>
      <c r="G21" s="114">
        <v>2212</v>
      </c>
      <c r="H21" s="114">
        <v>910.97675841360001</v>
      </c>
      <c r="I21" s="118">
        <v>30.166666666666668</v>
      </c>
      <c r="J21" s="114">
        <v>103.52415288461536</v>
      </c>
      <c r="K21" s="114">
        <v>9985.6574999999993</v>
      </c>
      <c r="L21" s="114">
        <v>10089.181652884616</v>
      </c>
      <c r="M21" s="114">
        <v>1142.5349824519235</v>
      </c>
      <c r="N21" s="114">
        <v>470.71639999999968</v>
      </c>
      <c r="P21" s="159"/>
      <c r="Q21" s="160"/>
      <c r="R21" s="161"/>
    </row>
    <row r="22" spans="1:18">
      <c r="A22" s="111" t="s">
        <v>159</v>
      </c>
      <c r="B22" s="115" t="s">
        <v>160</v>
      </c>
      <c r="C22" s="116" t="s">
        <v>164</v>
      </c>
      <c r="D22" s="116" t="s">
        <v>165</v>
      </c>
      <c r="E22" s="114">
        <v>300000</v>
      </c>
      <c r="F22" s="117">
        <v>230521</v>
      </c>
      <c r="G22" s="114">
        <v>600</v>
      </c>
      <c r="H22" s="114">
        <v>4097.3441145185998</v>
      </c>
      <c r="I22" s="118">
        <v>30.083333333333332</v>
      </c>
      <c r="J22" s="114">
        <v>156.35639722007733</v>
      </c>
      <c r="K22" s="114">
        <v>13485.478499999999</v>
      </c>
      <c r="L22" s="114">
        <v>13641.834897220077</v>
      </c>
      <c r="M22" s="114">
        <v>395.56784486486453</v>
      </c>
      <c r="N22" s="114">
        <v>2705.5007000000019</v>
      </c>
      <c r="P22" s="159"/>
      <c r="Q22" s="160"/>
      <c r="R22" s="161"/>
    </row>
    <row r="23" spans="1:18">
      <c r="A23" s="111" t="s">
        <v>163</v>
      </c>
      <c r="B23" s="115" t="s">
        <v>278</v>
      </c>
      <c r="C23" s="116" t="s">
        <v>279</v>
      </c>
      <c r="D23" s="116" t="s">
        <v>130</v>
      </c>
      <c r="E23" s="114">
        <v>300000</v>
      </c>
      <c r="F23" s="117">
        <v>253846.15384615384</v>
      </c>
      <c r="G23" s="114">
        <v>84</v>
      </c>
      <c r="H23" s="114">
        <v>3523.7678806824001</v>
      </c>
      <c r="I23" s="118">
        <v>10.083333333333334</v>
      </c>
      <c r="J23" s="114">
        <v>298.72915199999989</v>
      </c>
      <c r="K23" s="114">
        <v>13875</v>
      </c>
      <c r="L23" s="114">
        <v>14173.729152</v>
      </c>
      <c r="M23" s="114">
        <v>2.9371421538461555</v>
      </c>
      <c r="N23" s="114">
        <v>123.44826830769227</v>
      </c>
      <c r="P23" s="159"/>
      <c r="Q23" s="160"/>
      <c r="R23" s="161"/>
    </row>
    <row r="24" spans="1:18">
      <c r="A24" s="111" t="s">
        <v>166</v>
      </c>
      <c r="B24" s="115" t="s">
        <v>167</v>
      </c>
      <c r="C24" s="116" t="s">
        <v>168</v>
      </c>
      <c r="D24" s="116" t="s">
        <v>169</v>
      </c>
      <c r="E24" s="114">
        <v>600000</v>
      </c>
      <c r="F24" s="117">
        <v>600000</v>
      </c>
      <c r="G24" s="114">
        <v>3260</v>
      </c>
      <c r="H24" s="114">
        <v>7838.8020777156999</v>
      </c>
      <c r="I24" s="118">
        <v>30.083333333333332</v>
      </c>
      <c r="J24" s="114">
        <v>369.3480201492535</v>
      </c>
      <c r="K24" s="114">
        <v>35700</v>
      </c>
      <c r="L24" s="114">
        <v>36069.348020149257</v>
      </c>
      <c r="M24" s="114">
        <v>2233.2632647388045</v>
      </c>
      <c r="N24" s="114">
        <v>5369.1501499999958</v>
      </c>
      <c r="P24" s="159"/>
      <c r="Q24" s="160"/>
      <c r="R24" s="161"/>
    </row>
    <row r="25" spans="1:18">
      <c r="A25" s="111" t="s">
        <v>170</v>
      </c>
      <c r="B25" s="115" t="s">
        <v>171</v>
      </c>
      <c r="C25" s="116" t="s">
        <v>172</v>
      </c>
      <c r="D25" s="116" t="s">
        <v>173</v>
      </c>
      <c r="E25" s="114">
        <v>500000</v>
      </c>
      <c r="F25" s="117">
        <v>500000</v>
      </c>
      <c r="G25" s="114">
        <v>499.63499999999999</v>
      </c>
      <c r="H25" s="114">
        <v>6256.2488130922002</v>
      </c>
      <c r="I25" s="118">
        <v>30.083333333333332</v>
      </c>
      <c r="J25" s="114">
        <v>232.65432468085072</v>
      </c>
      <c r="K25" s="114">
        <v>29799.999999999996</v>
      </c>
      <c r="L25" s="114">
        <v>30032.654324680847</v>
      </c>
      <c r="M25" s="114">
        <v>263.89198180851076</v>
      </c>
      <c r="N25" s="114">
        <v>4796.3395799999944</v>
      </c>
      <c r="P25" s="159"/>
      <c r="Q25" s="160"/>
      <c r="R25" s="161"/>
    </row>
    <row r="26" spans="1:18">
      <c r="A26" s="111" t="s">
        <v>174</v>
      </c>
      <c r="B26" s="115" t="s">
        <v>175</v>
      </c>
      <c r="C26" s="116" t="s">
        <v>176</v>
      </c>
      <c r="D26" s="116" t="s">
        <v>177</v>
      </c>
      <c r="E26" s="114">
        <v>400000</v>
      </c>
      <c r="F26" s="117">
        <v>400000</v>
      </c>
      <c r="G26" s="114">
        <v>989</v>
      </c>
      <c r="H26" s="114">
        <v>5408.2598802127995</v>
      </c>
      <c r="I26" s="118">
        <v>30.166666666666668</v>
      </c>
      <c r="J26" s="114">
        <v>205.95012000000011</v>
      </c>
      <c r="K26" s="114">
        <v>20999.999999999996</v>
      </c>
      <c r="L26" s="114">
        <v>21205.950119999998</v>
      </c>
      <c r="M26" s="114">
        <v>775.51339000000087</v>
      </c>
      <c r="N26" s="114">
        <v>4081.4769400000009</v>
      </c>
      <c r="P26" s="159"/>
      <c r="Q26" s="160"/>
      <c r="R26" s="161"/>
    </row>
    <row r="27" spans="1:18">
      <c r="A27" s="111" t="s">
        <v>178</v>
      </c>
      <c r="B27" s="115" t="s">
        <v>179</v>
      </c>
      <c r="C27" s="116" t="s">
        <v>180</v>
      </c>
      <c r="D27" s="116" t="s">
        <v>181</v>
      </c>
      <c r="E27" s="114">
        <v>500000</v>
      </c>
      <c r="F27" s="117">
        <v>500000</v>
      </c>
      <c r="G27" s="114">
        <v>670</v>
      </c>
      <c r="H27" s="114">
        <v>6890</v>
      </c>
      <c r="I27" s="118">
        <v>30</v>
      </c>
      <c r="J27" s="114">
        <v>252.3468660512824</v>
      </c>
      <c r="K27" s="114">
        <v>28450.000000000015</v>
      </c>
      <c r="L27" s="114">
        <v>28702.346866051299</v>
      </c>
      <c r="M27" s="114">
        <v>504.75449579487139</v>
      </c>
      <c r="N27" s="114">
        <v>5204.5933486153926</v>
      </c>
      <c r="P27" s="159"/>
      <c r="Q27" s="160"/>
      <c r="R27" s="161"/>
    </row>
    <row r="28" spans="1:18">
      <c r="A28" s="111" t="s">
        <v>182</v>
      </c>
      <c r="B28" s="115" t="s">
        <v>183</v>
      </c>
      <c r="C28" s="116" t="s">
        <v>184</v>
      </c>
      <c r="D28" s="116" t="s">
        <v>185</v>
      </c>
      <c r="E28" s="114">
        <v>250000</v>
      </c>
      <c r="F28" s="117">
        <v>250000</v>
      </c>
      <c r="G28" s="114">
        <v>225</v>
      </c>
      <c r="H28" s="114">
        <v>3488</v>
      </c>
      <c r="I28" s="118">
        <v>30</v>
      </c>
      <c r="J28" s="114">
        <v>117.97319999999991</v>
      </c>
      <c r="K28" s="114">
        <v>12812.500000000002</v>
      </c>
      <c r="L28" s="114">
        <v>12930.4732</v>
      </c>
      <c r="M28" s="114">
        <v>179.375</v>
      </c>
      <c r="N28" s="114">
        <v>2642.1506999999979</v>
      </c>
      <c r="P28" s="159"/>
      <c r="Q28" s="160"/>
      <c r="R28" s="161"/>
    </row>
    <row r="29" spans="1:18">
      <c r="A29" s="111" t="s">
        <v>186</v>
      </c>
      <c r="B29" s="115" t="s">
        <v>148</v>
      </c>
      <c r="C29" s="116" t="s">
        <v>187</v>
      </c>
      <c r="D29" s="116" t="s">
        <v>188</v>
      </c>
      <c r="E29" s="114">
        <v>240000</v>
      </c>
      <c r="F29" s="117">
        <v>204431</v>
      </c>
      <c r="G29" s="114">
        <v>2775</v>
      </c>
      <c r="H29" s="114">
        <v>1260.4268872463999</v>
      </c>
      <c r="I29" s="118">
        <v>31.083333333333332</v>
      </c>
      <c r="J29" s="114">
        <v>129.82613172413787</v>
      </c>
      <c r="K29" s="114">
        <v>11550.351500000001</v>
      </c>
      <c r="L29" s="114">
        <v>11680.177631724138</v>
      </c>
      <c r="M29" s="114">
        <v>1566.8447094827582</v>
      </c>
      <c r="N29" s="114">
        <v>715.93143999999938</v>
      </c>
      <c r="P29" s="159"/>
      <c r="Q29" s="160"/>
      <c r="R29" s="161"/>
    </row>
    <row r="30" spans="1:18">
      <c r="A30" s="111" t="s">
        <v>189</v>
      </c>
      <c r="B30" s="115" t="s">
        <v>167</v>
      </c>
      <c r="C30" s="116" t="s">
        <v>190</v>
      </c>
      <c r="D30" s="116" t="s">
        <v>191</v>
      </c>
      <c r="E30" s="114">
        <v>300000</v>
      </c>
      <c r="F30" s="117">
        <v>272444</v>
      </c>
      <c r="G30" s="114">
        <v>5802</v>
      </c>
      <c r="H30" s="114">
        <v>1526.6618999999998</v>
      </c>
      <c r="I30" s="118">
        <v>30</v>
      </c>
      <c r="J30" s="114">
        <v>244.28873333333365</v>
      </c>
      <c r="K30" s="114">
        <v>16210.417999999998</v>
      </c>
      <c r="L30" s="114">
        <v>16454.706733333333</v>
      </c>
      <c r="M30" s="114">
        <v>3142.74956666667</v>
      </c>
      <c r="N30" s="114">
        <v>826.94235000000037</v>
      </c>
      <c r="P30" s="159"/>
      <c r="Q30" s="160"/>
      <c r="R30" s="161"/>
    </row>
    <row r="31" spans="1:18">
      <c r="A31" s="111" t="s">
        <v>192</v>
      </c>
      <c r="B31" s="115" t="s">
        <v>193</v>
      </c>
      <c r="C31" s="116" t="s">
        <v>194</v>
      </c>
      <c r="D31" s="116" t="s">
        <v>195</v>
      </c>
      <c r="E31" s="114">
        <v>600000</v>
      </c>
      <c r="F31" s="117">
        <v>600000</v>
      </c>
      <c r="G31" s="114">
        <v>1482</v>
      </c>
      <c r="H31" s="114">
        <v>8250</v>
      </c>
      <c r="I31" s="118">
        <v>30.166666666666668</v>
      </c>
      <c r="J31" s="114">
        <v>318.52271810126609</v>
      </c>
      <c r="K31" s="114">
        <v>24750</v>
      </c>
      <c r="L31" s="114">
        <v>25068.522718101267</v>
      </c>
      <c r="M31" s="114">
        <v>1207.7063533227843</v>
      </c>
      <c r="N31" s="114">
        <v>6622.6438000000071</v>
      </c>
      <c r="P31" s="159"/>
      <c r="Q31" s="160"/>
      <c r="R31" s="161"/>
    </row>
    <row r="32" spans="1:18">
      <c r="A32" s="111" t="s">
        <v>196</v>
      </c>
      <c r="B32" s="115" t="s">
        <v>197</v>
      </c>
      <c r="C32" s="116" t="s">
        <v>198</v>
      </c>
      <c r="D32" s="116" t="s">
        <v>199</v>
      </c>
      <c r="E32" s="114">
        <v>400000</v>
      </c>
      <c r="F32" s="117">
        <v>400000</v>
      </c>
      <c r="G32" s="114">
        <v>1984</v>
      </c>
      <c r="H32" s="114">
        <v>5700</v>
      </c>
      <c r="I32" s="118">
        <v>30</v>
      </c>
      <c r="J32" s="114">
        <v>240.9678384073504</v>
      </c>
      <c r="K32" s="114">
        <v>15199.999999999998</v>
      </c>
      <c r="L32" s="114">
        <v>15440.967838407349</v>
      </c>
      <c r="M32" s="114">
        <v>1683.6441003215912</v>
      </c>
      <c r="N32" s="114">
        <v>4450.9954524655395</v>
      </c>
      <c r="P32" s="159"/>
      <c r="Q32" s="160"/>
      <c r="R32" s="161"/>
    </row>
    <row r="33" spans="1:18">
      <c r="A33" s="111" t="s">
        <v>200</v>
      </c>
      <c r="B33" s="115" t="s">
        <v>201</v>
      </c>
      <c r="C33" s="116" t="s">
        <v>202</v>
      </c>
      <c r="D33" s="116" t="s">
        <v>203</v>
      </c>
      <c r="E33" s="114">
        <v>600000</v>
      </c>
      <c r="F33" s="117">
        <v>600000</v>
      </c>
      <c r="G33" s="114">
        <v>840</v>
      </c>
      <c r="H33" s="114">
        <v>8150</v>
      </c>
      <c r="I33" s="118">
        <v>30.083333333333332</v>
      </c>
      <c r="J33" s="114">
        <v>290.27771999999965</v>
      </c>
      <c r="K33" s="114">
        <v>24300</v>
      </c>
      <c r="L33" s="114">
        <v>24590.277719999998</v>
      </c>
      <c r="M33" s="114">
        <v>695.73413000000016</v>
      </c>
      <c r="N33" s="114">
        <v>6537.0190599999914</v>
      </c>
      <c r="P33" s="159"/>
      <c r="Q33" s="160"/>
      <c r="R33" s="161"/>
    </row>
    <row r="34" spans="1:18">
      <c r="A34" s="111" t="s">
        <v>204</v>
      </c>
      <c r="B34" s="115" t="s">
        <v>201</v>
      </c>
      <c r="C34" s="116" t="s">
        <v>205</v>
      </c>
      <c r="D34" s="116" t="s">
        <v>206</v>
      </c>
      <c r="E34" s="114">
        <v>500000</v>
      </c>
      <c r="F34" s="117">
        <v>500000</v>
      </c>
      <c r="G34" s="114">
        <v>1650</v>
      </c>
      <c r="H34" s="114">
        <v>6775</v>
      </c>
      <c r="I34" s="118">
        <v>30.083333333333332</v>
      </c>
      <c r="J34" s="114">
        <v>277.57019604017205</v>
      </c>
      <c r="K34" s="114">
        <v>20250</v>
      </c>
      <c r="L34" s="114">
        <v>20527.570196040171</v>
      </c>
      <c r="M34" s="114">
        <v>1494.7360120516503</v>
      </c>
      <c r="N34" s="114">
        <v>6080.6172548780432</v>
      </c>
      <c r="P34" s="159"/>
      <c r="Q34" s="160"/>
      <c r="R34" s="161"/>
    </row>
    <row r="35" spans="1:18">
      <c r="A35" s="111" t="s">
        <v>207</v>
      </c>
      <c r="B35" s="115" t="s">
        <v>208</v>
      </c>
      <c r="C35" s="116" t="s">
        <v>209</v>
      </c>
      <c r="D35" s="116" t="s">
        <v>210</v>
      </c>
      <c r="E35" s="114">
        <v>500000</v>
      </c>
      <c r="F35" s="117">
        <v>500000</v>
      </c>
      <c r="G35" s="114">
        <v>645</v>
      </c>
      <c r="H35" s="114">
        <v>5650</v>
      </c>
      <c r="I35" s="118">
        <v>10.083333333333334</v>
      </c>
      <c r="J35" s="114">
        <v>643.48515807692274</v>
      </c>
      <c r="K35" s="114">
        <v>16249.999999999998</v>
      </c>
      <c r="L35" s="114">
        <v>16893.485158076921</v>
      </c>
      <c r="M35" s="114">
        <v>442.43813999999992</v>
      </c>
      <c r="N35" s="114">
        <v>4008.3342033653807</v>
      </c>
      <c r="P35" s="159"/>
      <c r="Q35" s="160"/>
      <c r="R35" s="161"/>
    </row>
    <row r="36" spans="1:18">
      <c r="A36" s="111" t="s">
        <v>211</v>
      </c>
      <c r="B36" s="115" t="s">
        <v>212</v>
      </c>
      <c r="C36" s="116" t="s">
        <v>213</v>
      </c>
      <c r="D36" s="116" t="s">
        <v>214</v>
      </c>
      <c r="E36" s="114">
        <v>600000</v>
      </c>
      <c r="F36" s="117">
        <v>600000</v>
      </c>
      <c r="G36" s="114">
        <v>0</v>
      </c>
      <c r="H36" s="114">
        <v>6600</v>
      </c>
      <c r="I36" s="118">
        <v>10</v>
      </c>
      <c r="J36" s="114">
        <v>524.8632788763698</v>
      </c>
      <c r="K36" s="114">
        <v>18000</v>
      </c>
      <c r="L36" s="114">
        <v>18524.863278876372</v>
      </c>
      <c r="M36" s="114">
        <v>0</v>
      </c>
      <c r="N36" s="114">
        <v>4395.7299605895969</v>
      </c>
      <c r="P36" s="159"/>
      <c r="Q36" s="160"/>
      <c r="R36" s="161"/>
    </row>
    <row r="37" spans="1:18">
      <c r="A37" s="111" t="s">
        <v>215</v>
      </c>
      <c r="B37" s="115" t="s">
        <v>216</v>
      </c>
      <c r="C37" s="116" t="s">
        <v>217</v>
      </c>
      <c r="D37" s="116" t="s">
        <v>218</v>
      </c>
      <c r="E37" s="114">
        <v>300000</v>
      </c>
      <c r="F37" s="117">
        <v>300000</v>
      </c>
      <c r="G37" s="114">
        <v>0</v>
      </c>
      <c r="H37" s="114">
        <v>2625</v>
      </c>
      <c r="I37" s="118">
        <v>30</v>
      </c>
      <c r="J37" s="114">
        <v>87.492066921425305</v>
      </c>
      <c r="K37" s="114">
        <v>15690.000000000002</v>
      </c>
      <c r="L37" s="114">
        <v>15777.492066921428</v>
      </c>
      <c r="M37" s="114">
        <v>0</v>
      </c>
      <c r="N37" s="114">
        <v>2511.7514212025844</v>
      </c>
      <c r="P37" s="159"/>
      <c r="Q37" s="160"/>
      <c r="R37" s="161"/>
    </row>
    <row r="38" spans="1:18">
      <c r="A38" s="111" t="s">
        <v>219</v>
      </c>
      <c r="P38" s="165"/>
      <c r="Q38" s="161"/>
      <c r="R38" s="161"/>
    </row>
    <row r="39" spans="1:18">
      <c r="A39" s="111" t="s">
        <v>223</v>
      </c>
      <c r="B39" s="112" t="s">
        <v>225</v>
      </c>
      <c r="C39" s="113"/>
      <c r="D39" s="113"/>
      <c r="E39" s="113"/>
      <c r="F39" s="113"/>
      <c r="G39" s="113"/>
      <c r="H39" s="113"/>
      <c r="I39" s="113"/>
      <c r="J39" s="114"/>
      <c r="K39" s="113"/>
      <c r="L39" s="114"/>
      <c r="M39" s="113"/>
      <c r="N39" s="113"/>
      <c r="P39" s="165"/>
      <c r="Q39" s="161"/>
      <c r="R39" s="161"/>
    </row>
    <row r="40" spans="1:18">
      <c r="A40" s="111" t="s">
        <v>224</v>
      </c>
      <c r="B40" s="115" t="s">
        <v>227</v>
      </c>
      <c r="C40" s="116" t="s">
        <v>228</v>
      </c>
      <c r="D40" s="116" t="s">
        <v>229</v>
      </c>
      <c r="E40" s="114">
        <v>288000</v>
      </c>
      <c r="F40" s="117">
        <v>168957.30515384616</v>
      </c>
      <c r="G40" s="114">
        <v>96</v>
      </c>
      <c r="H40" s="114">
        <v>3334</v>
      </c>
      <c r="I40" s="118">
        <v>12.25</v>
      </c>
      <c r="J40" s="114">
        <v>279.98712000000006</v>
      </c>
      <c r="K40" s="114">
        <v>8901.044385981706</v>
      </c>
      <c r="L40" s="114">
        <v>9181.0315059817058</v>
      </c>
      <c r="M40" s="114">
        <v>8.2782500000000034</v>
      </c>
      <c r="N40" s="114">
        <v>575.02824999999984</v>
      </c>
      <c r="P40" s="165"/>
      <c r="Q40" s="161"/>
      <c r="R40" s="161"/>
    </row>
    <row r="41" spans="1:18">
      <c r="A41" s="111" t="s">
        <v>226</v>
      </c>
      <c r="P41" s="165"/>
      <c r="Q41" s="161"/>
      <c r="R41" s="161"/>
    </row>
    <row r="42" spans="1:18">
      <c r="A42" s="111"/>
      <c r="P42" s="165"/>
      <c r="Q42" s="161"/>
      <c r="R42" s="161"/>
    </row>
    <row r="43" spans="1:18" ht="15.75" thickBot="1">
      <c r="A43" s="105"/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P43" s="165"/>
      <c r="Q43" s="161"/>
      <c r="R43" s="161"/>
    </row>
    <row r="44" spans="1:18">
      <c r="A44" s="109"/>
      <c r="B44" s="119" t="s">
        <v>280</v>
      </c>
      <c r="C44" s="109"/>
      <c r="D44" s="109"/>
      <c r="E44" s="109"/>
      <c r="F44" s="109"/>
      <c r="G44" s="109"/>
      <c r="H44" s="109"/>
      <c r="I44" s="109"/>
      <c r="J44" s="109"/>
      <c r="K44" s="119" t="s">
        <v>231</v>
      </c>
      <c r="L44" s="109"/>
      <c r="M44" s="109"/>
      <c r="N44" s="109"/>
      <c r="P44" s="165"/>
      <c r="Q44" s="161"/>
      <c r="R44" s="161"/>
    </row>
    <row r="45" spans="1:18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P45" s="165"/>
      <c r="Q45" s="161"/>
      <c r="R45" s="161"/>
    </row>
    <row r="46" spans="1:18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P46" s="165"/>
      <c r="Q46" s="161"/>
      <c r="R46" s="161"/>
    </row>
    <row r="47" spans="1:18">
      <c r="A47" s="111" t="s">
        <v>122</v>
      </c>
      <c r="B47" s="112" t="s">
        <v>232</v>
      </c>
      <c r="C47" s="113"/>
      <c r="D47" s="113"/>
      <c r="E47" s="113"/>
      <c r="F47" s="113"/>
      <c r="G47" s="113"/>
      <c r="H47" s="113"/>
      <c r="I47" s="113"/>
      <c r="J47" s="114"/>
      <c r="K47" s="113"/>
      <c r="L47" s="114"/>
      <c r="M47" s="113"/>
      <c r="N47" s="113"/>
      <c r="P47" s="165"/>
      <c r="Q47" s="161"/>
      <c r="R47" s="161"/>
    </row>
    <row r="48" spans="1:18">
      <c r="A48" s="111" t="s">
        <v>124</v>
      </c>
      <c r="B48" s="115" t="s">
        <v>233</v>
      </c>
      <c r="C48" s="116" t="s">
        <v>213</v>
      </c>
      <c r="D48" s="116" t="s">
        <v>126</v>
      </c>
      <c r="E48" s="114">
        <v>600000</v>
      </c>
      <c r="F48" s="117">
        <v>600000</v>
      </c>
      <c r="G48" s="114">
        <v>0</v>
      </c>
      <c r="H48" s="114">
        <v>32</v>
      </c>
      <c r="I48" s="118">
        <v>3</v>
      </c>
      <c r="J48" s="114">
        <v>999.2668338799914</v>
      </c>
      <c r="K48" s="114">
        <v>6882.2</v>
      </c>
      <c r="L48" s="114">
        <v>7881.4668338799911</v>
      </c>
      <c r="M48" s="114">
        <v>0</v>
      </c>
      <c r="N48" s="114">
        <v>14.222</v>
      </c>
      <c r="P48" s="165"/>
      <c r="Q48" s="161"/>
      <c r="R48" s="161"/>
    </row>
    <row r="49" spans="1:18">
      <c r="A49" s="111" t="s">
        <v>128</v>
      </c>
      <c r="P49" s="165"/>
      <c r="Q49" s="161"/>
      <c r="R49" s="161"/>
    </row>
    <row r="50" spans="1:18">
      <c r="A50" s="111" t="s">
        <v>132</v>
      </c>
      <c r="B50" s="112" t="s">
        <v>234</v>
      </c>
      <c r="C50" s="113"/>
      <c r="D50" s="113"/>
      <c r="E50" s="113"/>
      <c r="F50" s="113"/>
      <c r="G50" s="113"/>
      <c r="H50" s="113"/>
      <c r="I50" s="113"/>
      <c r="J50" s="114"/>
      <c r="K50" s="113"/>
      <c r="L50" s="114"/>
      <c r="M50" s="113"/>
      <c r="N50" s="113"/>
      <c r="P50" s="165"/>
      <c r="Q50" s="161"/>
      <c r="R50" s="161"/>
    </row>
    <row r="51" spans="1:18">
      <c r="A51" s="111" t="s">
        <v>135</v>
      </c>
      <c r="B51" s="115" t="s">
        <v>235</v>
      </c>
      <c r="C51" s="116" t="s">
        <v>236</v>
      </c>
      <c r="D51" s="116" t="s">
        <v>237</v>
      </c>
      <c r="E51" s="114">
        <v>85000</v>
      </c>
      <c r="F51" s="117">
        <v>85000</v>
      </c>
      <c r="G51" s="114">
        <v>0</v>
      </c>
      <c r="H51" s="114">
        <v>720</v>
      </c>
      <c r="I51" s="118">
        <v>30</v>
      </c>
      <c r="J51" s="114">
        <v>16.482394382022481</v>
      </c>
      <c r="K51" s="114">
        <v>974.97833333333335</v>
      </c>
      <c r="L51" s="114">
        <v>991.4607277153558</v>
      </c>
      <c r="M51" s="114">
        <v>0</v>
      </c>
      <c r="N51" s="114">
        <v>596</v>
      </c>
      <c r="P51" s="165"/>
      <c r="Q51" s="161"/>
      <c r="R51" s="161"/>
    </row>
    <row r="52" spans="1:18">
      <c r="A52" s="111" t="s">
        <v>139</v>
      </c>
      <c r="B52" s="115" t="s">
        <v>238</v>
      </c>
      <c r="C52" s="116" t="s">
        <v>239</v>
      </c>
      <c r="D52" s="116" t="s">
        <v>240</v>
      </c>
      <c r="E52" s="114">
        <v>15000</v>
      </c>
      <c r="F52" s="117">
        <v>15000</v>
      </c>
      <c r="G52" s="114">
        <v>0</v>
      </c>
      <c r="H52" s="114">
        <v>520</v>
      </c>
      <c r="I52" s="118">
        <v>31.5</v>
      </c>
      <c r="J52" s="114">
        <v>16.501559999999984</v>
      </c>
      <c r="K52" s="114">
        <v>183.30500000000001</v>
      </c>
      <c r="L52" s="114">
        <v>199.80655999999999</v>
      </c>
      <c r="M52" s="114">
        <v>0</v>
      </c>
      <c r="N52" s="114">
        <v>92.133709999999908</v>
      </c>
      <c r="P52" s="144"/>
    </row>
    <row r="53" spans="1:18">
      <c r="A53" s="111" t="s">
        <v>143</v>
      </c>
      <c r="B53" s="115" t="s">
        <v>238</v>
      </c>
      <c r="C53" s="116" t="s">
        <v>241</v>
      </c>
      <c r="D53" s="116" t="s">
        <v>242</v>
      </c>
      <c r="E53" s="114">
        <v>45750</v>
      </c>
      <c r="F53" s="117">
        <v>45750</v>
      </c>
      <c r="G53" s="114">
        <v>0</v>
      </c>
      <c r="H53" s="114">
        <v>711</v>
      </c>
      <c r="I53" s="118">
        <v>27.5</v>
      </c>
      <c r="J53" s="114">
        <v>25.844039999999978</v>
      </c>
      <c r="K53" s="114">
        <v>570.44446232876703</v>
      </c>
      <c r="L53" s="114">
        <v>596.28850232876698</v>
      </c>
      <c r="M53" s="114">
        <v>0</v>
      </c>
      <c r="N53" s="114">
        <v>101.22248999999994</v>
      </c>
      <c r="P53" s="144"/>
    </row>
    <row r="54" spans="1:18">
      <c r="A54" s="111" t="s">
        <v>147</v>
      </c>
      <c r="B54" s="115" t="s">
        <v>243</v>
      </c>
      <c r="C54" s="116" t="s">
        <v>244</v>
      </c>
      <c r="D54" s="116" t="s">
        <v>245</v>
      </c>
      <c r="E54" s="114">
        <v>45960</v>
      </c>
      <c r="F54" s="117">
        <v>45960</v>
      </c>
      <c r="G54" s="114">
        <v>0</v>
      </c>
      <c r="H54" s="114">
        <v>397</v>
      </c>
      <c r="I54" s="118">
        <v>30.5</v>
      </c>
      <c r="J54" s="114">
        <v>13.006567850467276</v>
      </c>
      <c r="K54" s="114">
        <v>573.06289592634187</v>
      </c>
      <c r="L54" s="114">
        <v>586.06946377680913</v>
      </c>
      <c r="M54" s="114">
        <v>0</v>
      </c>
      <c r="N54" s="114">
        <v>93.213736261682129</v>
      </c>
      <c r="P54" s="144"/>
    </row>
    <row r="55" spans="1:18">
      <c r="A55" s="111" t="s">
        <v>151</v>
      </c>
      <c r="B55" s="115" t="s">
        <v>246</v>
      </c>
      <c r="C55" s="116" t="s">
        <v>244</v>
      </c>
      <c r="D55" s="116" t="s">
        <v>245</v>
      </c>
      <c r="E55" s="114">
        <v>16510</v>
      </c>
      <c r="F55" s="117">
        <v>16510</v>
      </c>
      <c r="G55" s="114">
        <v>0</v>
      </c>
      <c r="H55" s="114">
        <v>132</v>
      </c>
      <c r="I55" s="118">
        <v>30.5</v>
      </c>
      <c r="J55" s="114">
        <v>4.3203600000000026</v>
      </c>
      <c r="K55" s="114">
        <v>205.85875569503705</v>
      </c>
      <c r="L55" s="114">
        <v>210.17911569503707</v>
      </c>
      <c r="M55" s="114">
        <v>0</v>
      </c>
      <c r="N55" s="114">
        <v>30.962580000000024</v>
      </c>
      <c r="P55" s="144"/>
    </row>
    <row r="56" spans="1:18">
      <c r="A56" s="111" t="s">
        <v>155</v>
      </c>
      <c r="B56" s="115" t="s">
        <v>247</v>
      </c>
      <c r="C56" s="116" t="s">
        <v>244</v>
      </c>
      <c r="D56" s="116" t="s">
        <v>245</v>
      </c>
      <c r="E56" s="114">
        <v>4480</v>
      </c>
      <c r="F56" s="117">
        <v>4480</v>
      </c>
      <c r="G56" s="114">
        <v>0</v>
      </c>
      <c r="H56" s="114">
        <v>83</v>
      </c>
      <c r="I56" s="118">
        <v>30.5</v>
      </c>
      <c r="J56" s="114">
        <v>2.71692</v>
      </c>
      <c r="K56" s="114">
        <v>55.859916748259607</v>
      </c>
      <c r="L56" s="114">
        <v>58.576836748259609</v>
      </c>
      <c r="M56" s="114">
        <v>0</v>
      </c>
      <c r="N56" s="114">
        <v>19.471260000000001</v>
      </c>
      <c r="P56" s="144"/>
    </row>
    <row r="57" spans="1:18">
      <c r="A57" s="111" t="s">
        <v>159</v>
      </c>
      <c r="B57" s="115" t="s">
        <v>243</v>
      </c>
      <c r="C57" s="116" t="s">
        <v>248</v>
      </c>
      <c r="D57" s="116" t="s">
        <v>249</v>
      </c>
      <c r="E57" s="114">
        <v>28300</v>
      </c>
      <c r="F57" s="117">
        <v>28300</v>
      </c>
      <c r="G57" s="114">
        <v>0</v>
      </c>
      <c r="H57" s="114">
        <v>371</v>
      </c>
      <c r="I57" s="118">
        <v>35</v>
      </c>
      <c r="J57" s="114">
        <v>10.595879999999987</v>
      </c>
      <c r="K57" s="114">
        <v>352.86509910172919</v>
      </c>
      <c r="L57" s="114">
        <v>363.46097910172915</v>
      </c>
      <c r="M57" s="114">
        <v>0</v>
      </c>
      <c r="N57" s="114">
        <v>104.19281999999988</v>
      </c>
      <c r="P57" s="144"/>
    </row>
    <row r="58" spans="1:18">
      <c r="A58" s="111" t="s">
        <v>163</v>
      </c>
      <c r="B58" s="115" t="s">
        <v>238</v>
      </c>
      <c r="C58" s="116" t="s">
        <v>250</v>
      </c>
      <c r="D58" s="116" t="s">
        <v>251</v>
      </c>
      <c r="E58" s="114">
        <v>8635</v>
      </c>
      <c r="F58" s="117">
        <v>8635</v>
      </c>
      <c r="G58" s="114">
        <v>0</v>
      </c>
      <c r="H58" s="114">
        <v>182</v>
      </c>
      <c r="I58" s="118">
        <v>25.083333333333332</v>
      </c>
      <c r="J58" s="114">
        <v>7.26</v>
      </c>
      <c r="K58" s="114">
        <v>105.51811830638522</v>
      </c>
      <c r="L58" s="114">
        <v>112.77811830638522</v>
      </c>
      <c r="M58" s="114">
        <v>0</v>
      </c>
      <c r="N58" s="114">
        <v>19.965</v>
      </c>
      <c r="P58" s="144"/>
    </row>
    <row r="59" spans="1:18">
      <c r="A59" s="111" t="s">
        <v>166</v>
      </c>
      <c r="B59" s="115" t="s">
        <v>243</v>
      </c>
      <c r="C59" s="116" t="s">
        <v>252</v>
      </c>
      <c r="D59" s="116" t="s">
        <v>253</v>
      </c>
      <c r="E59" s="114">
        <v>51940</v>
      </c>
      <c r="F59" s="117">
        <v>51940</v>
      </c>
      <c r="G59" s="114">
        <v>0</v>
      </c>
      <c r="H59" s="114">
        <v>345</v>
      </c>
      <c r="I59" s="118">
        <v>33.916666666666664</v>
      </c>
      <c r="J59" s="114">
        <v>10.182720000000005</v>
      </c>
      <c r="K59" s="114">
        <v>634.6972860259001</v>
      </c>
      <c r="L59" s="114">
        <v>644.8800060259</v>
      </c>
      <c r="M59" s="114">
        <v>0</v>
      </c>
      <c r="N59" s="114">
        <v>120.49552000000004</v>
      </c>
      <c r="P59" s="144"/>
    </row>
    <row r="60" spans="1:18">
      <c r="A60" s="111" t="s">
        <v>170</v>
      </c>
      <c r="B60" s="115" t="s">
        <v>254</v>
      </c>
      <c r="C60" s="116" t="s">
        <v>255</v>
      </c>
      <c r="D60" s="116" t="s">
        <v>256</v>
      </c>
      <c r="E60" s="114">
        <v>95700</v>
      </c>
      <c r="F60" s="117">
        <v>95700</v>
      </c>
      <c r="G60" s="114">
        <v>0</v>
      </c>
      <c r="H60" s="114">
        <v>499</v>
      </c>
      <c r="I60" s="118">
        <v>22.25</v>
      </c>
      <c r="J60" s="114">
        <v>22.489170370370353</v>
      </c>
      <c r="K60" s="114">
        <v>1193.3449938693016</v>
      </c>
      <c r="L60" s="114">
        <v>1215.834164239672</v>
      </c>
      <c r="M60" s="114">
        <v>0</v>
      </c>
      <c r="N60" s="114">
        <v>112.44585185185177</v>
      </c>
      <c r="P60" s="144"/>
    </row>
    <row r="61" spans="1:18">
      <c r="A61" s="111" t="s">
        <v>174</v>
      </c>
      <c r="B61" s="115" t="s">
        <v>257</v>
      </c>
      <c r="C61" s="116" t="s">
        <v>258</v>
      </c>
      <c r="D61" s="116" t="s">
        <v>259</v>
      </c>
      <c r="E61" s="114">
        <v>242210</v>
      </c>
      <c r="F61" s="117">
        <v>242210</v>
      </c>
      <c r="G61" s="114">
        <v>0</v>
      </c>
      <c r="H61" s="114">
        <v>570</v>
      </c>
      <c r="I61" s="118">
        <v>28</v>
      </c>
      <c r="J61" s="114">
        <v>20.368919999999996</v>
      </c>
      <c r="K61" s="114">
        <v>2960.3846266666665</v>
      </c>
      <c r="L61" s="114">
        <v>2980.7535466666664</v>
      </c>
      <c r="M61" s="114">
        <v>0</v>
      </c>
      <c r="N61" s="114">
        <v>227.4529399999999</v>
      </c>
      <c r="P61" s="144"/>
    </row>
    <row r="62" spans="1:18">
      <c r="A62" s="111" t="s">
        <v>178</v>
      </c>
      <c r="B62" s="115" t="s">
        <v>257</v>
      </c>
      <c r="C62" s="116" t="s">
        <v>260</v>
      </c>
      <c r="D62" s="116" t="s">
        <v>261</v>
      </c>
      <c r="E62" s="114">
        <v>78785</v>
      </c>
      <c r="F62" s="117">
        <v>78785</v>
      </c>
      <c r="G62" s="114">
        <v>0</v>
      </c>
      <c r="H62" s="114">
        <v>442</v>
      </c>
      <c r="I62" s="118">
        <v>21</v>
      </c>
      <c r="J62" s="114">
        <v>21.054240000000032</v>
      </c>
      <c r="K62" s="114">
        <v>962.77896166666676</v>
      </c>
      <c r="L62" s="114">
        <v>983.83320166666681</v>
      </c>
      <c r="M62" s="114">
        <v>0</v>
      </c>
      <c r="N62" s="114">
        <v>143.87064000000024</v>
      </c>
      <c r="P62" s="144"/>
    </row>
    <row r="63" spans="1:18" ht="15.75" thickBot="1">
      <c r="A63" s="111" t="s">
        <v>182</v>
      </c>
      <c r="B63" s="112" t="s">
        <v>262</v>
      </c>
      <c r="C63" s="116" t="s">
        <v>263</v>
      </c>
      <c r="D63" s="116" t="s">
        <v>263</v>
      </c>
      <c r="E63" s="114">
        <v>0</v>
      </c>
      <c r="F63" s="117">
        <v>0</v>
      </c>
      <c r="G63" s="114">
        <v>0</v>
      </c>
      <c r="H63" s="114">
        <v>0</v>
      </c>
      <c r="I63" s="118">
        <v>0</v>
      </c>
      <c r="J63" s="114">
        <v>0</v>
      </c>
      <c r="K63" s="114">
        <v>0</v>
      </c>
      <c r="L63" s="114">
        <v>0</v>
      </c>
      <c r="M63" s="114">
        <v>0</v>
      </c>
      <c r="N63" s="114">
        <v>92401.669487115039</v>
      </c>
      <c r="P63" s="144"/>
    </row>
    <row r="64" spans="1:18" ht="15.75" thickTop="1">
      <c r="A64" s="111" t="s">
        <v>186</v>
      </c>
      <c r="B64" s="112" t="s">
        <v>264</v>
      </c>
      <c r="C64" s="113">
        <v>0</v>
      </c>
      <c r="D64" s="113">
        <v>0</v>
      </c>
      <c r="E64" s="132">
        <v>12296270</v>
      </c>
      <c r="F64" s="132">
        <v>10938766.766692309</v>
      </c>
      <c r="G64" s="132">
        <v>50178.635000000002</v>
      </c>
      <c r="H64" s="132">
        <v>119475.7866222009</v>
      </c>
      <c r="I64" s="113">
        <v>0</v>
      </c>
      <c r="J64" s="132">
        <v>7941.9824110843356</v>
      </c>
      <c r="K64" s="133">
        <f>SUM(K13:K62)</f>
        <v>473105.92545103474</v>
      </c>
      <c r="L64" s="133">
        <f>SUM(L13:L62)</f>
        <v>481047.90786211909</v>
      </c>
      <c r="M64" s="132">
        <v>31430.528366187042</v>
      </c>
      <c r="N64" s="132">
        <f>SUM(N13:N63)</f>
        <v>169386.12646065868</v>
      </c>
    </row>
    <row r="65" spans="1:14">
      <c r="A65" s="111" t="s">
        <v>189</v>
      </c>
      <c r="B65" s="112" t="s">
        <v>265</v>
      </c>
      <c r="C65" s="116" t="s">
        <v>263</v>
      </c>
      <c r="D65" s="116" t="s">
        <v>263</v>
      </c>
      <c r="E65" s="114">
        <v>0</v>
      </c>
      <c r="F65" s="117"/>
      <c r="G65" s="114">
        <v>0</v>
      </c>
      <c r="H65" s="114">
        <v>0</v>
      </c>
      <c r="I65" s="118">
        <v>0</v>
      </c>
      <c r="J65" s="114">
        <v>0</v>
      </c>
      <c r="K65" s="114">
        <v>0</v>
      </c>
      <c r="L65" s="114">
        <v>0</v>
      </c>
      <c r="M65" s="114">
        <v>0</v>
      </c>
      <c r="N65" s="114">
        <v>0</v>
      </c>
    </row>
    <row r="66" spans="1:14" ht="15.75" thickBot="1">
      <c r="A66" s="111" t="s">
        <v>192</v>
      </c>
      <c r="B66" s="112" t="s">
        <v>266</v>
      </c>
      <c r="C66" s="116" t="s">
        <v>263</v>
      </c>
      <c r="D66" s="116" t="s">
        <v>263</v>
      </c>
      <c r="E66" s="114">
        <v>0</v>
      </c>
      <c r="F66" s="135">
        <f>-SUM(M64:N64)</f>
        <v>-200816.65482684571</v>
      </c>
      <c r="G66" s="114">
        <v>0</v>
      </c>
      <c r="H66" s="114">
        <v>0</v>
      </c>
      <c r="I66" s="118">
        <v>0</v>
      </c>
      <c r="J66" s="114">
        <v>0</v>
      </c>
      <c r="K66" s="114">
        <v>0</v>
      </c>
      <c r="L66" s="114">
        <v>0</v>
      </c>
      <c r="M66" s="114">
        <v>0</v>
      </c>
      <c r="N66" s="114">
        <v>0</v>
      </c>
    </row>
    <row r="67" spans="1:14" ht="15.75" thickTop="1">
      <c r="A67" s="111" t="s">
        <v>196</v>
      </c>
      <c r="B67" s="112" t="s">
        <v>267</v>
      </c>
      <c r="C67" s="113">
        <v>0</v>
      </c>
      <c r="D67" s="113">
        <v>0</v>
      </c>
      <c r="E67" s="113">
        <v>0</v>
      </c>
      <c r="F67" s="132">
        <f>SUM(F64:F66)</f>
        <v>10737950.111865463</v>
      </c>
      <c r="G67" s="113">
        <v>0</v>
      </c>
      <c r="H67" s="113">
        <v>0</v>
      </c>
      <c r="I67" s="113">
        <v>0</v>
      </c>
      <c r="J67" s="113">
        <v>0</v>
      </c>
      <c r="K67" s="113">
        <v>0</v>
      </c>
      <c r="L67" s="113">
        <v>0</v>
      </c>
      <c r="M67" s="113">
        <v>0</v>
      </c>
      <c r="N67" s="113"/>
    </row>
    <row r="68" spans="1:14" ht="15.75" thickBot="1">
      <c r="A68" s="111" t="s">
        <v>200</v>
      </c>
      <c r="B68" s="112" t="s">
        <v>268</v>
      </c>
      <c r="C68" s="113">
        <v>0</v>
      </c>
      <c r="D68" s="113">
        <v>0</v>
      </c>
      <c r="E68" s="113">
        <v>0</v>
      </c>
      <c r="F68" s="137">
        <v>4.5730727550607933E-2</v>
      </c>
      <c r="G68" s="113">
        <v>0</v>
      </c>
      <c r="H68" s="113">
        <v>0</v>
      </c>
      <c r="I68" s="113">
        <v>0</v>
      </c>
      <c r="J68" s="113">
        <v>0</v>
      </c>
      <c r="K68" s="113">
        <v>0</v>
      </c>
      <c r="L68" s="113">
        <v>0</v>
      </c>
      <c r="M68" s="113">
        <v>0</v>
      </c>
      <c r="N68" s="113">
        <v>0</v>
      </c>
    </row>
    <row r="69" spans="1:14" ht="15.75" thickTop="1">
      <c r="A69" s="111" t="s">
        <v>204</v>
      </c>
    </row>
    <row r="70" spans="1:14">
      <c r="A70" s="111" t="s">
        <v>207</v>
      </c>
      <c r="B70" s="138" t="s">
        <v>269</v>
      </c>
      <c r="C70" s="119" t="s">
        <v>270</v>
      </c>
      <c r="D70" s="119"/>
      <c r="E70" s="119"/>
      <c r="F70" s="139"/>
      <c r="G70" s="139">
        <f>F64-F40</f>
        <v>10769809.461538462</v>
      </c>
    </row>
    <row r="71" spans="1:14">
      <c r="A71" s="111" t="s">
        <v>211</v>
      </c>
      <c r="B71" s="119"/>
      <c r="C71" s="119" t="s">
        <v>271</v>
      </c>
      <c r="D71" s="119"/>
      <c r="E71" s="119"/>
      <c r="F71" s="140"/>
      <c r="G71" s="140">
        <f>F66+M40+N40</f>
        <v>-200233.34832684571</v>
      </c>
    </row>
    <row r="72" spans="1:14">
      <c r="A72" s="111" t="s">
        <v>215</v>
      </c>
      <c r="B72" s="112" t="s">
        <v>272</v>
      </c>
      <c r="C72" s="112" t="s">
        <v>272</v>
      </c>
      <c r="D72" s="119"/>
      <c r="E72" s="119"/>
      <c r="F72" s="119"/>
      <c r="G72" s="141">
        <v>-4630</v>
      </c>
    </row>
    <row r="73" spans="1:14">
      <c r="A73" s="111" t="s">
        <v>219</v>
      </c>
      <c r="B73" s="119"/>
      <c r="C73" s="119" t="s">
        <v>267</v>
      </c>
      <c r="D73" s="119"/>
      <c r="E73" s="119"/>
      <c r="F73" s="119"/>
      <c r="G73" s="139">
        <f>SUM(G70:G72)</f>
        <v>10564946.113211617</v>
      </c>
    </row>
    <row r="74" spans="1:14">
      <c r="A74" s="111" t="s">
        <v>223</v>
      </c>
      <c r="B74" s="119"/>
      <c r="C74" s="119"/>
      <c r="D74" s="119"/>
      <c r="E74" s="119"/>
      <c r="F74" s="119"/>
      <c r="G74" s="119"/>
    </row>
    <row r="75" spans="1:14">
      <c r="A75" s="111" t="s">
        <v>224</v>
      </c>
      <c r="B75" s="119"/>
      <c r="C75" s="119" t="s">
        <v>273</v>
      </c>
      <c r="D75" s="119"/>
      <c r="E75" s="119"/>
      <c r="F75" s="119"/>
      <c r="G75" s="139">
        <f>L64-L40</f>
        <v>471866.87635613739</v>
      </c>
    </row>
    <row r="76" spans="1:14">
      <c r="A76" s="111" t="s">
        <v>226</v>
      </c>
      <c r="B76" s="119"/>
      <c r="C76" s="119" t="s">
        <v>274</v>
      </c>
      <c r="D76" s="119"/>
      <c r="E76" s="119"/>
      <c r="F76" s="119"/>
      <c r="G76" s="141">
        <v>5947</v>
      </c>
    </row>
    <row r="77" spans="1:14">
      <c r="A77" s="111"/>
      <c r="B77" s="119"/>
      <c r="C77" s="119"/>
      <c r="D77" s="119"/>
      <c r="E77" s="119"/>
      <c r="F77" s="119"/>
      <c r="G77" s="139">
        <f>SUM(G75:G76)</f>
        <v>477813.87635613739</v>
      </c>
    </row>
    <row r="78" spans="1:14">
      <c r="A78" s="111"/>
      <c r="B78" s="119"/>
      <c r="C78" s="119"/>
      <c r="D78" s="119"/>
      <c r="E78" s="119"/>
      <c r="F78" s="119"/>
      <c r="G78" s="139"/>
    </row>
    <row r="79" spans="1:14" ht="15.75" thickBot="1">
      <c r="A79" s="111"/>
      <c r="B79" s="119"/>
      <c r="C79" s="112" t="s">
        <v>268</v>
      </c>
      <c r="D79" s="119"/>
      <c r="E79" s="119"/>
      <c r="F79" s="119"/>
      <c r="G79" s="142">
        <f>G77/G73</f>
        <v>4.5226342968150521E-2</v>
      </c>
    </row>
    <row r="80" spans="1:14" ht="16.5" thickTop="1" thickBot="1">
      <c r="A80" s="105"/>
      <c r="B80" s="145"/>
      <c r="C80" s="145"/>
      <c r="D80" s="145"/>
      <c r="E80" s="145"/>
      <c r="F80" s="145"/>
      <c r="G80" s="145"/>
      <c r="H80" s="105"/>
      <c r="I80" s="105"/>
      <c r="J80" s="105"/>
      <c r="K80" s="105"/>
      <c r="L80" s="105"/>
      <c r="M80" s="105"/>
      <c r="N80" s="105"/>
    </row>
    <row r="81" spans="2:11">
      <c r="B81" s="119" t="s">
        <v>280</v>
      </c>
      <c r="K81" s="119" t="s">
        <v>231</v>
      </c>
    </row>
  </sheetData>
  <pageMargins left="0.39" right="0.25" top="1" bottom="1" header="0.5" footer="0.5"/>
  <pageSetup orientation="landscape" r:id="rId1"/>
  <headerFooter alignWithMargins="0">
    <oddHeader>&amp;R&amp;8Docket No. 160021-EI, &amp;"Arial,Italic"et al&amp;"Arial,Regular".
FPL POD No. 5
Attachment A
Page &amp;P of &amp;N</oddHeader>
  </headerFooter>
  <rowBreaks count="1" manualBreakCount="1">
    <brk id="46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90"/>
  <sheetViews>
    <sheetView showGridLines="0" showZeros="0" tabSelected="1" view="pageLayout" zoomScaleNormal="100" workbookViewId="0">
      <selection activeCell="G9" sqref="G9"/>
    </sheetView>
  </sheetViews>
  <sheetFormatPr defaultRowHeight="15"/>
  <cols>
    <col min="1" max="1" width="5.42578125" style="106" customWidth="1"/>
    <col min="2" max="2" width="43.140625" style="106" customWidth="1"/>
    <col min="3" max="13" width="11.7109375" style="106" customWidth="1"/>
    <col min="14" max="14" width="10.5703125" style="106" customWidth="1"/>
    <col min="15" max="16384" width="9.140625" style="106"/>
  </cols>
  <sheetData>
    <row r="1" spans="1:17" ht="15.75" thickBot="1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7">
      <c r="A2" s="107" t="s">
        <v>81</v>
      </c>
      <c r="E2" s="107" t="s">
        <v>82</v>
      </c>
      <c r="K2" s="107" t="s">
        <v>83</v>
      </c>
    </row>
    <row r="3" spans="1:17">
      <c r="F3" s="107" t="s">
        <v>84</v>
      </c>
      <c r="K3" s="107" t="s">
        <v>85</v>
      </c>
    </row>
    <row r="4" spans="1:17">
      <c r="A4" s="107" t="s">
        <v>86</v>
      </c>
      <c r="F4" s="107" t="s">
        <v>87</v>
      </c>
      <c r="K4" s="107" t="s">
        <v>88</v>
      </c>
    </row>
    <row r="5" spans="1:17">
      <c r="B5" s="107" t="s">
        <v>89</v>
      </c>
      <c r="F5" s="107" t="s">
        <v>90</v>
      </c>
      <c r="K5" s="107" t="s">
        <v>91</v>
      </c>
    </row>
    <row r="6" spans="1:17">
      <c r="K6" s="107" t="s">
        <v>92</v>
      </c>
    </row>
    <row r="7" spans="1:17">
      <c r="A7" s="107" t="s">
        <v>93</v>
      </c>
      <c r="G7" s="107" t="s">
        <v>94</v>
      </c>
      <c r="K7" s="107" t="s">
        <v>95</v>
      </c>
    </row>
    <row r="8" spans="1:17" ht="15.75" thickBot="1">
      <c r="A8" s="105"/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</row>
    <row r="9" spans="1:17">
      <c r="B9" s="108" t="s">
        <v>37</v>
      </c>
      <c r="C9" s="108" t="s">
        <v>96</v>
      </c>
      <c r="D9" s="108" t="s">
        <v>97</v>
      </c>
      <c r="E9" s="108" t="s">
        <v>98</v>
      </c>
      <c r="F9" s="108" t="s">
        <v>99</v>
      </c>
      <c r="G9" s="108" t="s">
        <v>100</v>
      </c>
      <c r="H9" s="108" t="s">
        <v>101</v>
      </c>
      <c r="I9" s="108" t="s">
        <v>102</v>
      </c>
      <c r="J9" s="108" t="s">
        <v>103</v>
      </c>
      <c r="K9" s="108" t="s">
        <v>104</v>
      </c>
      <c r="L9" s="108" t="s">
        <v>105</v>
      </c>
      <c r="M9" s="108" t="s">
        <v>106</v>
      </c>
      <c r="N9" s="108" t="s">
        <v>107</v>
      </c>
    </row>
    <row r="10" spans="1:17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</row>
    <row r="11" spans="1:17" ht="102.75" thickBot="1">
      <c r="A11" s="110" t="s">
        <v>108</v>
      </c>
      <c r="B11" s="110" t="s">
        <v>109</v>
      </c>
      <c r="C11" s="110" t="s">
        <v>110</v>
      </c>
      <c r="D11" s="110" t="s">
        <v>111</v>
      </c>
      <c r="E11" s="110" t="s">
        <v>112</v>
      </c>
      <c r="F11" s="110" t="s">
        <v>113</v>
      </c>
      <c r="G11" s="110" t="s">
        <v>114</v>
      </c>
      <c r="H11" s="110" t="s">
        <v>115</v>
      </c>
      <c r="I11" s="110" t="s">
        <v>116</v>
      </c>
      <c r="J11" s="110" t="s">
        <v>117</v>
      </c>
      <c r="K11" s="110" t="s">
        <v>118</v>
      </c>
      <c r="L11" s="110" t="s">
        <v>119</v>
      </c>
      <c r="M11" s="110" t="s">
        <v>120</v>
      </c>
      <c r="N11" s="110" t="s">
        <v>121</v>
      </c>
    </row>
    <row r="12" spans="1:17">
      <c r="A12" s="111" t="s">
        <v>122</v>
      </c>
      <c r="B12" s="112" t="s">
        <v>123</v>
      </c>
      <c r="C12" s="113"/>
      <c r="D12" s="113"/>
      <c r="E12" s="113"/>
      <c r="F12" s="113"/>
      <c r="G12" s="113"/>
      <c r="H12" s="113"/>
      <c r="I12" s="113"/>
      <c r="J12" s="114"/>
      <c r="K12" s="113"/>
      <c r="L12" s="114"/>
      <c r="M12" s="113"/>
      <c r="N12" s="113"/>
    </row>
    <row r="13" spans="1:17">
      <c r="A13" s="111" t="s">
        <v>124</v>
      </c>
      <c r="B13" s="115" t="s">
        <v>125</v>
      </c>
      <c r="C13" s="116" t="s">
        <v>126</v>
      </c>
      <c r="D13" s="116" t="s">
        <v>127</v>
      </c>
      <c r="E13" s="114">
        <v>650000</v>
      </c>
      <c r="F13" s="117">
        <v>100000</v>
      </c>
      <c r="G13" s="114">
        <v>0</v>
      </c>
      <c r="H13" s="114">
        <v>5687.5000000000009</v>
      </c>
      <c r="I13" s="118">
        <v>30</v>
      </c>
      <c r="J13" s="114">
        <v>24.21141823190246</v>
      </c>
      <c r="K13" s="114">
        <v>5398.6111111111122</v>
      </c>
      <c r="L13" s="114">
        <v>5422.8225293430141</v>
      </c>
      <c r="M13" s="114">
        <v>0</v>
      </c>
      <c r="N13" s="114">
        <v>872.49033402199211</v>
      </c>
      <c r="P13" s="159"/>
      <c r="Q13" s="160"/>
    </row>
    <row r="14" spans="1:17">
      <c r="A14" s="111" t="s">
        <v>128</v>
      </c>
      <c r="B14" s="115" t="s">
        <v>129</v>
      </c>
      <c r="C14" s="116" t="s">
        <v>130</v>
      </c>
      <c r="D14" s="116" t="s">
        <v>131</v>
      </c>
      <c r="E14" s="114">
        <v>800000</v>
      </c>
      <c r="F14" s="117">
        <v>800000</v>
      </c>
      <c r="G14" s="114">
        <v>0</v>
      </c>
      <c r="H14" s="114">
        <v>7000</v>
      </c>
      <c r="I14" s="118">
        <v>30</v>
      </c>
      <c r="J14" s="114">
        <v>233.31217845713439</v>
      </c>
      <c r="K14" s="114">
        <v>49280</v>
      </c>
      <c r="L14" s="114">
        <v>49513.312178457134</v>
      </c>
      <c r="M14" s="114">
        <v>0</v>
      </c>
      <c r="N14" s="114">
        <v>6853.545242178323</v>
      </c>
      <c r="P14" s="159"/>
      <c r="Q14" s="160"/>
    </row>
    <row r="15" spans="1:17">
      <c r="A15" s="111" t="s">
        <v>132</v>
      </c>
      <c r="B15" s="115" t="s">
        <v>129</v>
      </c>
      <c r="C15" s="116" t="s">
        <v>133</v>
      </c>
      <c r="D15" s="116" t="s">
        <v>134</v>
      </c>
      <c r="E15" s="114">
        <v>500000</v>
      </c>
      <c r="F15" s="117">
        <v>500000</v>
      </c>
      <c r="G15" s="114">
        <v>0</v>
      </c>
      <c r="H15" s="114">
        <v>4375</v>
      </c>
      <c r="I15" s="118">
        <v>30</v>
      </c>
      <c r="J15" s="114">
        <v>145.82011153570897</v>
      </c>
      <c r="K15" s="114">
        <v>30800.000000000011</v>
      </c>
      <c r="L15" s="114">
        <v>30945.820111535719</v>
      </c>
      <c r="M15" s="114">
        <v>0</v>
      </c>
      <c r="N15" s="114">
        <v>4186.2523686709783</v>
      </c>
      <c r="P15" s="159"/>
      <c r="Q15" s="160"/>
    </row>
    <row r="16" spans="1:17">
      <c r="A16" s="111" t="s">
        <v>135</v>
      </c>
      <c r="B16" s="115" t="s">
        <v>136</v>
      </c>
      <c r="C16" s="116" t="s">
        <v>137</v>
      </c>
      <c r="D16" s="116" t="s">
        <v>138</v>
      </c>
      <c r="E16" s="114">
        <v>500000</v>
      </c>
      <c r="F16" s="117">
        <v>500000</v>
      </c>
      <c r="G16" s="114">
        <v>1905</v>
      </c>
      <c r="H16" s="114">
        <v>5650</v>
      </c>
      <c r="I16" s="118">
        <v>10</v>
      </c>
      <c r="J16" s="114">
        <v>750.66930260869583</v>
      </c>
      <c r="K16" s="114">
        <v>13750.000000000002</v>
      </c>
      <c r="L16" s="114">
        <v>14500.669302608698</v>
      </c>
      <c r="M16" s="114">
        <v>936.625</v>
      </c>
      <c r="N16" s="114">
        <v>2754.165737826087</v>
      </c>
      <c r="P16" s="159"/>
      <c r="Q16" s="160"/>
    </row>
    <row r="17" spans="1:17">
      <c r="A17" s="111" t="s">
        <v>139</v>
      </c>
      <c r="B17" s="115" t="s">
        <v>140</v>
      </c>
      <c r="C17" s="116" t="s">
        <v>141</v>
      </c>
      <c r="D17" s="116" t="s">
        <v>142</v>
      </c>
      <c r="E17" s="114">
        <v>500000</v>
      </c>
      <c r="F17" s="117">
        <v>418172</v>
      </c>
      <c r="G17" s="114">
        <v>6480</v>
      </c>
      <c r="H17" s="114">
        <v>2199.0569799999998</v>
      </c>
      <c r="I17" s="118">
        <v>31</v>
      </c>
      <c r="J17" s="114">
        <v>279.96969567567606</v>
      </c>
      <c r="K17" s="114">
        <v>23522.174999999999</v>
      </c>
      <c r="L17" s="114">
        <v>23802.144695675674</v>
      </c>
      <c r="M17" s="114">
        <v>3291.0244868918967</v>
      </c>
      <c r="N17" s="114">
        <v>1118.4982200000004</v>
      </c>
      <c r="P17" s="159"/>
      <c r="Q17" s="160"/>
    </row>
    <row r="18" spans="1:17">
      <c r="A18" s="111" t="s">
        <v>143</v>
      </c>
      <c r="B18" s="115" t="s">
        <v>144</v>
      </c>
      <c r="C18" s="116" t="s">
        <v>145</v>
      </c>
      <c r="D18" s="116" t="s">
        <v>146</v>
      </c>
      <c r="E18" s="114">
        <v>300000</v>
      </c>
      <c r="F18" s="117">
        <v>229586</v>
      </c>
      <c r="G18" s="114">
        <v>4030</v>
      </c>
      <c r="H18" s="114">
        <v>1593.9194026842999</v>
      </c>
      <c r="I18" s="118">
        <v>30.083333333333332</v>
      </c>
      <c r="J18" s="114">
        <v>186.7476094999999</v>
      </c>
      <c r="K18" s="114">
        <v>12397.644000000002</v>
      </c>
      <c r="L18" s="114">
        <v>12584.391609500002</v>
      </c>
      <c r="M18" s="114">
        <v>2305.3047228749961</v>
      </c>
      <c r="N18" s="114">
        <v>916.09154100000103</v>
      </c>
      <c r="P18" s="159"/>
      <c r="Q18" s="160"/>
    </row>
    <row r="19" spans="1:17">
      <c r="A19" s="111" t="s">
        <v>147</v>
      </c>
      <c r="B19" s="115" t="s">
        <v>148</v>
      </c>
      <c r="C19" s="116" t="s">
        <v>149</v>
      </c>
      <c r="D19" s="116" t="s">
        <v>150</v>
      </c>
      <c r="E19" s="114">
        <v>400000</v>
      </c>
      <c r="F19" s="117">
        <v>394991</v>
      </c>
      <c r="G19" s="114">
        <v>6364</v>
      </c>
      <c r="H19" s="114">
        <v>1996.1578276349001</v>
      </c>
      <c r="I19" s="118">
        <v>31.083333333333332</v>
      </c>
      <c r="J19" s="114">
        <v>268.95969937500007</v>
      </c>
      <c r="K19" s="114">
        <v>22316.9915</v>
      </c>
      <c r="L19" s="114">
        <v>22585.951199374998</v>
      </c>
      <c r="M19" s="114">
        <v>3805.3867056250024</v>
      </c>
      <c r="N19" s="114">
        <v>1192.7810410937486</v>
      </c>
      <c r="P19" s="159"/>
      <c r="Q19" s="160"/>
    </row>
    <row r="20" spans="1:17">
      <c r="A20" s="111" t="s">
        <v>151</v>
      </c>
      <c r="B20" s="115" t="s">
        <v>152</v>
      </c>
      <c r="C20" s="116" t="s">
        <v>153</v>
      </c>
      <c r="D20" s="116" t="s">
        <v>154</v>
      </c>
      <c r="E20" s="114">
        <v>300000</v>
      </c>
      <c r="F20" s="117">
        <v>219161</v>
      </c>
      <c r="G20" s="114">
        <v>2693</v>
      </c>
      <c r="H20" s="114">
        <v>1738.1988999999999</v>
      </c>
      <c r="I20" s="118">
        <v>30</v>
      </c>
      <c r="J20" s="114">
        <v>148.14823983772828</v>
      </c>
      <c r="K20" s="114">
        <v>13587.982000000002</v>
      </c>
      <c r="L20" s="114">
        <v>13736.13023983773</v>
      </c>
      <c r="M20" s="114">
        <v>1602.0937450709966</v>
      </c>
      <c r="N20" s="114">
        <v>1033.7103553752527</v>
      </c>
      <c r="P20" s="159"/>
      <c r="Q20" s="160"/>
    </row>
    <row r="21" spans="1:17">
      <c r="A21" s="111" t="s">
        <v>155</v>
      </c>
      <c r="B21" s="115" t="s">
        <v>156</v>
      </c>
      <c r="C21" s="116" t="s">
        <v>157</v>
      </c>
      <c r="D21" s="116" t="s">
        <v>158</v>
      </c>
      <c r="E21" s="114">
        <v>300000</v>
      </c>
      <c r="F21" s="117">
        <v>300000</v>
      </c>
      <c r="G21" s="114">
        <v>4893</v>
      </c>
      <c r="H21" s="114">
        <v>1634.9651999999999</v>
      </c>
      <c r="I21" s="118">
        <v>30</v>
      </c>
      <c r="J21" s="114">
        <v>217.59881898305073</v>
      </c>
      <c r="K21" s="114">
        <v>14850</v>
      </c>
      <c r="L21" s="114">
        <v>15067.59881898305</v>
      </c>
      <c r="M21" s="114">
        <v>2759.1079777966061</v>
      </c>
      <c r="N21" s="114">
        <v>921.93871000000115</v>
      </c>
      <c r="P21" s="159"/>
      <c r="Q21" s="160"/>
    </row>
    <row r="22" spans="1:17">
      <c r="A22" s="111" t="s">
        <v>159</v>
      </c>
      <c r="B22" s="115" t="s">
        <v>160</v>
      </c>
      <c r="C22" s="116" t="s">
        <v>161</v>
      </c>
      <c r="D22" s="116" t="s">
        <v>162</v>
      </c>
      <c r="E22" s="114">
        <v>200000</v>
      </c>
      <c r="F22" s="117">
        <v>170695</v>
      </c>
      <c r="G22" s="114">
        <v>2212</v>
      </c>
      <c r="H22" s="114">
        <v>910.97675841360001</v>
      </c>
      <c r="I22" s="118">
        <v>30.166666666666668</v>
      </c>
      <c r="J22" s="114">
        <v>103.52415288461536</v>
      </c>
      <c r="K22" s="114">
        <v>9985.6574999999993</v>
      </c>
      <c r="L22" s="114">
        <v>10089.181652884616</v>
      </c>
      <c r="M22" s="114">
        <v>1069.2172295673083</v>
      </c>
      <c r="N22" s="114">
        <v>440.50999999999965</v>
      </c>
      <c r="P22" s="159"/>
      <c r="Q22" s="160"/>
    </row>
    <row r="23" spans="1:17">
      <c r="A23" s="111" t="s">
        <v>163</v>
      </c>
      <c r="B23" s="115" t="s">
        <v>160</v>
      </c>
      <c r="C23" s="116" t="s">
        <v>164</v>
      </c>
      <c r="D23" s="116" t="s">
        <v>165</v>
      </c>
      <c r="E23" s="114">
        <v>300000</v>
      </c>
      <c r="F23" s="117">
        <v>230521</v>
      </c>
      <c r="G23" s="114">
        <v>600</v>
      </c>
      <c r="H23" s="114">
        <v>4097.3441145185998</v>
      </c>
      <c r="I23" s="118">
        <v>30.083333333333332</v>
      </c>
      <c r="J23" s="114">
        <v>156.35639722007735</v>
      </c>
      <c r="K23" s="114">
        <v>13485.478499999999</v>
      </c>
      <c r="L23" s="114">
        <v>13641.834897220077</v>
      </c>
      <c r="M23" s="114">
        <v>375.62324764478711</v>
      </c>
      <c r="N23" s="114">
        <v>2569.0889000000034</v>
      </c>
      <c r="P23" s="159"/>
      <c r="Q23" s="160"/>
    </row>
    <row r="24" spans="1:17">
      <c r="A24" s="111" t="s">
        <v>166</v>
      </c>
      <c r="B24" s="115" t="s">
        <v>167</v>
      </c>
      <c r="C24" s="116" t="s">
        <v>168</v>
      </c>
      <c r="D24" s="116" t="s">
        <v>169</v>
      </c>
      <c r="E24" s="114">
        <v>600000</v>
      </c>
      <c r="F24" s="117">
        <v>600000</v>
      </c>
      <c r="G24" s="114">
        <v>3260</v>
      </c>
      <c r="H24" s="114">
        <v>7838.8020777156999</v>
      </c>
      <c r="I24" s="118">
        <v>30.083333333333332</v>
      </c>
      <c r="J24" s="114">
        <v>369.34802014925322</v>
      </c>
      <c r="K24" s="114">
        <v>35700</v>
      </c>
      <c r="L24" s="114">
        <v>36069.348020149257</v>
      </c>
      <c r="M24" s="114">
        <v>2124.7646445895498</v>
      </c>
      <c r="N24" s="114">
        <v>5108.3007499999931</v>
      </c>
      <c r="P24" s="159"/>
      <c r="Q24" s="160"/>
    </row>
    <row r="25" spans="1:17">
      <c r="A25" s="111" t="s">
        <v>170</v>
      </c>
      <c r="B25" s="115" t="s">
        <v>171</v>
      </c>
      <c r="C25" s="116" t="s">
        <v>172</v>
      </c>
      <c r="D25" s="116" t="s">
        <v>173</v>
      </c>
      <c r="E25" s="114">
        <v>500000</v>
      </c>
      <c r="F25" s="117">
        <v>500000</v>
      </c>
      <c r="G25" s="114">
        <v>499.63499999999999</v>
      </c>
      <c r="H25" s="114">
        <v>6256.2488130922002</v>
      </c>
      <c r="I25" s="118">
        <v>30.083333333333332</v>
      </c>
      <c r="J25" s="114">
        <v>232.65432468085064</v>
      </c>
      <c r="K25" s="114">
        <v>29799.999999999996</v>
      </c>
      <c r="L25" s="114">
        <v>30032.654324680847</v>
      </c>
      <c r="M25" s="114">
        <v>251.7590171276598</v>
      </c>
      <c r="N25" s="114">
        <v>4575.8182199999901</v>
      </c>
      <c r="P25" s="159"/>
      <c r="Q25" s="160"/>
    </row>
    <row r="26" spans="1:17">
      <c r="A26" s="111" t="s">
        <v>174</v>
      </c>
      <c r="B26" s="115" t="s">
        <v>175</v>
      </c>
      <c r="C26" s="116" t="s">
        <v>176</v>
      </c>
      <c r="D26" s="116" t="s">
        <v>177</v>
      </c>
      <c r="E26" s="114">
        <v>400000</v>
      </c>
      <c r="F26" s="117">
        <v>400000</v>
      </c>
      <c r="G26" s="114">
        <v>989</v>
      </c>
      <c r="H26" s="114">
        <v>5408.2598802127995</v>
      </c>
      <c r="I26" s="118">
        <v>30.166666666666668</v>
      </c>
      <c r="J26" s="114">
        <v>205.95012000000011</v>
      </c>
      <c r="K26" s="114">
        <v>20999.999999999996</v>
      </c>
      <c r="L26" s="114">
        <v>21205.950119999998</v>
      </c>
      <c r="M26" s="114">
        <v>742.62943000000132</v>
      </c>
      <c r="N26" s="114">
        <v>3908.4107800000011</v>
      </c>
      <c r="P26" s="159"/>
      <c r="Q26" s="160"/>
    </row>
    <row r="27" spans="1:17">
      <c r="A27" s="111" t="s">
        <v>178</v>
      </c>
      <c r="B27" s="115" t="s">
        <v>179</v>
      </c>
      <c r="C27" s="116" t="s">
        <v>180</v>
      </c>
      <c r="D27" s="116" t="s">
        <v>181</v>
      </c>
      <c r="E27" s="114">
        <v>500000</v>
      </c>
      <c r="F27" s="117">
        <v>500000</v>
      </c>
      <c r="G27" s="114">
        <v>670</v>
      </c>
      <c r="H27" s="114">
        <v>6890</v>
      </c>
      <c r="I27" s="118">
        <v>30</v>
      </c>
      <c r="J27" s="114">
        <v>252.3468660512826</v>
      </c>
      <c r="K27" s="114">
        <v>28450.000000000015</v>
      </c>
      <c r="L27" s="114">
        <v>28702.346866051299</v>
      </c>
      <c r="M27" s="114">
        <v>482.44490482051242</v>
      </c>
      <c r="N27" s="114">
        <v>4974.5560735384761</v>
      </c>
      <c r="P27" s="159"/>
      <c r="Q27" s="160"/>
    </row>
    <row r="28" spans="1:17">
      <c r="A28" s="111" t="s">
        <v>182</v>
      </c>
      <c r="B28" s="115" t="s">
        <v>183</v>
      </c>
      <c r="C28" s="116" t="s">
        <v>184</v>
      </c>
      <c r="D28" s="116" t="s">
        <v>185</v>
      </c>
      <c r="E28" s="114">
        <v>250000</v>
      </c>
      <c r="F28" s="117">
        <v>250000</v>
      </c>
      <c r="G28" s="114">
        <v>225</v>
      </c>
      <c r="H28" s="114">
        <v>3488</v>
      </c>
      <c r="I28" s="118">
        <v>30</v>
      </c>
      <c r="J28" s="114">
        <v>117.97319999999988</v>
      </c>
      <c r="K28" s="114">
        <v>12812.500000000002</v>
      </c>
      <c r="L28" s="114">
        <v>12930.4732</v>
      </c>
      <c r="M28" s="114">
        <v>171.875</v>
      </c>
      <c r="N28" s="114">
        <v>2531.6774999999966</v>
      </c>
      <c r="P28" s="159"/>
      <c r="Q28" s="160"/>
    </row>
    <row r="29" spans="1:17">
      <c r="A29" s="111" t="s">
        <v>186</v>
      </c>
      <c r="B29" s="115" t="s">
        <v>148</v>
      </c>
      <c r="C29" s="116" t="s">
        <v>187</v>
      </c>
      <c r="D29" s="116" t="s">
        <v>188</v>
      </c>
      <c r="E29" s="114">
        <v>240000</v>
      </c>
      <c r="F29" s="117">
        <v>204431</v>
      </c>
      <c r="G29" s="114">
        <v>2775</v>
      </c>
      <c r="H29" s="114">
        <v>1260.4268872463999</v>
      </c>
      <c r="I29" s="118">
        <v>31.083333333333332</v>
      </c>
      <c r="J29" s="114">
        <v>129.82613172413778</v>
      </c>
      <c r="K29" s="114">
        <v>11550.351500000001</v>
      </c>
      <c r="L29" s="114">
        <v>11680.177631724138</v>
      </c>
      <c r="M29" s="114">
        <v>1477.7350577586196</v>
      </c>
      <c r="N29" s="114">
        <v>675.21495999999888</v>
      </c>
      <c r="P29" s="159"/>
      <c r="Q29" s="160"/>
    </row>
    <row r="30" spans="1:17">
      <c r="A30" s="111" t="s">
        <v>189</v>
      </c>
      <c r="B30" s="115" t="s">
        <v>167</v>
      </c>
      <c r="C30" s="116" t="s">
        <v>190</v>
      </c>
      <c r="D30" s="116" t="s">
        <v>191</v>
      </c>
      <c r="E30" s="114">
        <v>300000</v>
      </c>
      <c r="F30" s="117">
        <v>272444</v>
      </c>
      <c r="G30" s="114">
        <v>5802</v>
      </c>
      <c r="H30" s="114">
        <v>1526.6618999999998</v>
      </c>
      <c r="I30" s="118">
        <v>30</v>
      </c>
      <c r="J30" s="114">
        <v>244.28873333333371</v>
      </c>
      <c r="K30" s="114">
        <v>16210.417999999998</v>
      </c>
      <c r="L30" s="114">
        <v>16454.706733333333</v>
      </c>
      <c r="M30" s="114">
        <v>2949.3495933333379</v>
      </c>
      <c r="N30" s="114">
        <v>776.05359000000067</v>
      </c>
      <c r="P30" s="159"/>
      <c r="Q30" s="160"/>
    </row>
    <row r="31" spans="1:17">
      <c r="A31" s="111" t="s">
        <v>192</v>
      </c>
      <c r="B31" s="115" t="s">
        <v>193</v>
      </c>
      <c r="C31" s="116" t="s">
        <v>194</v>
      </c>
      <c r="D31" s="116" t="s">
        <v>195</v>
      </c>
      <c r="E31" s="114">
        <v>600000</v>
      </c>
      <c r="F31" s="117">
        <v>600000</v>
      </c>
      <c r="G31" s="114">
        <v>1482</v>
      </c>
      <c r="H31" s="114">
        <v>8250</v>
      </c>
      <c r="I31" s="118">
        <v>30.166666666666668</v>
      </c>
      <c r="J31" s="114">
        <v>318.52271810126632</v>
      </c>
      <c r="K31" s="114">
        <v>24750</v>
      </c>
      <c r="L31" s="114">
        <v>25068.522718101267</v>
      </c>
      <c r="M31" s="114">
        <v>1158.5793152215181</v>
      </c>
      <c r="N31" s="114">
        <v>6353.2481200000111</v>
      </c>
      <c r="P31" s="159"/>
      <c r="Q31" s="160"/>
    </row>
    <row r="32" spans="1:17">
      <c r="A32" s="111" t="s">
        <v>196</v>
      </c>
      <c r="B32" s="115" t="s">
        <v>197</v>
      </c>
      <c r="C32" s="116" t="s">
        <v>198</v>
      </c>
      <c r="D32" s="116" t="s">
        <v>199</v>
      </c>
      <c r="E32" s="114">
        <v>400000</v>
      </c>
      <c r="F32" s="117">
        <v>400000</v>
      </c>
      <c r="G32" s="114">
        <v>1984</v>
      </c>
      <c r="H32" s="114">
        <v>5700</v>
      </c>
      <c r="I32" s="118">
        <v>30</v>
      </c>
      <c r="J32" s="114">
        <v>240.96783840735026</v>
      </c>
      <c r="K32" s="114">
        <v>15199.999999999998</v>
      </c>
      <c r="L32" s="114">
        <v>15440.967838407349</v>
      </c>
      <c r="M32" s="114">
        <v>1617.5107805053576</v>
      </c>
      <c r="N32" s="114">
        <v>4276.1609338744192</v>
      </c>
      <c r="P32" s="159"/>
      <c r="Q32" s="160"/>
    </row>
    <row r="33" spans="1:17">
      <c r="A33" s="111" t="s">
        <v>200</v>
      </c>
      <c r="B33" s="115" t="s">
        <v>201</v>
      </c>
      <c r="C33" s="116" t="s">
        <v>202</v>
      </c>
      <c r="D33" s="116" t="s">
        <v>203</v>
      </c>
      <c r="E33" s="114">
        <v>600000</v>
      </c>
      <c r="F33" s="117">
        <v>600000</v>
      </c>
      <c r="G33" s="114">
        <v>840</v>
      </c>
      <c r="H33" s="114">
        <v>8150</v>
      </c>
      <c r="I33" s="118">
        <v>30.083333333333332</v>
      </c>
      <c r="J33" s="114">
        <v>290.27771999999936</v>
      </c>
      <c r="K33" s="114">
        <v>24300</v>
      </c>
      <c r="L33" s="114">
        <v>24590.277719999998</v>
      </c>
      <c r="M33" s="114">
        <v>667.81169000000011</v>
      </c>
      <c r="N33" s="114">
        <v>6274.6637799999862</v>
      </c>
      <c r="P33" s="159"/>
      <c r="Q33" s="160"/>
    </row>
    <row r="34" spans="1:17">
      <c r="A34" s="111" t="s">
        <v>204</v>
      </c>
      <c r="B34" s="115" t="s">
        <v>201</v>
      </c>
      <c r="C34" s="116" t="s">
        <v>205</v>
      </c>
      <c r="D34" s="116" t="s">
        <v>206</v>
      </c>
      <c r="E34" s="114">
        <v>500000</v>
      </c>
      <c r="F34" s="117">
        <v>500000</v>
      </c>
      <c r="G34" s="114">
        <v>1650</v>
      </c>
      <c r="H34" s="114">
        <v>6775</v>
      </c>
      <c r="I34" s="118">
        <v>30.083333333333332</v>
      </c>
      <c r="J34" s="114">
        <v>277.57019604017182</v>
      </c>
      <c r="K34" s="114">
        <v>20250</v>
      </c>
      <c r="L34" s="114">
        <v>20527.570196040171</v>
      </c>
      <c r="M34" s="114">
        <v>1439.9670589383079</v>
      </c>
      <c r="N34" s="114">
        <v>5857.8160119512122</v>
      </c>
      <c r="P34" s="159"/>
      <c r="Q34" s="160"/>
    </row>
    <row r="35" spans="1:17">
      <c r="A35" s="111" t="s">
        <v>207</v>
      </c>
      <c r="B35" s="115" t="s">
        <v>208</v>
      </c>
      <c r="C35" s="116" t="s">
        <v>209</v>
      </c>
      <c r="D35" s="116" t="s">
        <v>210</v>
      </c>
      <c r="E35" s="114">
        <v>500000</v>
      </c>
      <c r="F35" s="117">
        <v>500000</v>
      </c>
      <c r="G35" s="114">
        <v>645</v>
      </c>
      <c r="H35" s="114">
        <v>5650</v>
      </c>
      <c r="I35" s="118">
        <v>10.083333333333334</v>
      </c>
      <c r="J35" s="114">
        <v>643.48515807692286</v>
      </c>
      <c r="K35" s="114">
        <v>16249.999999999998</v>
      </c>
      <c r="L35" s="114">
        <v>16893.485158076921</v>
      </c>
      <c r="M35" s="114">
        <v>378.47117999999966</v>
      </c>
      <c r="N35" s="114">
        <v>3428.81600528846</v>
      </c>
      <c r="P35" s="159"/>
      <c r="Q35" s="160"/>
    </row>
    <row r="36" spans="1:17">
      <c r="A36" s="111" t="s">
        <v>211</v>
      </c>
      <c r="B36" s="115" t="s">
        <v>212</v>
      </c>
      <c r="C36" s="116" t="s">
        <v>213</v>
      </c>
      <c r="D36" s="116" t="s">
        <v>214</v>
      </c>
      <c r="E36" s="114">
        <v>600000</v>
      </c>
      <c r="F36" s="117">
        <v>600000</v>
      </c>
      <c r="G36" s="114">
        <v>0</v>
      </c>
      <c r="H36" s="114">
        <v>6600</v>
      </c>
      <c r="I36" s="118">
        <v>10</v>
      </c>
      <c r="J36" s="114">
        <v>524.8632788763698</v>
      </c>
      <c r="K36" s="114">
        <v>18000</v>
      </c>
      <c r="L36" s="114">
        <v>18524.863278876372</v>
      </c>
      <c r="M36" s="114">
        <v>0</v>
      </c>
      <c r="N36" s="114">
        <v>3870.8666817132266</v>
      </c>
      <c r="P36" s="159"/>
      <c r="Q36" s="160"/>
    </row>
    <row r="37" spans="1:17">
      <c r="A37" s="111" t="s">
        <v>215</v>
      </c>
      <c r="B37" s="115" t="s">
        <v>216</v>
      </c>
      <c r="C37" s="116" t="s">
        <v>217</v>
      </c>
      <c r="D37" s="116" t="s">
        <v>218</v>
      </c>
      <c r="E37" s="114">
        <v>300000</v>
      </c>
      <c r="F37" s="117">
        <v>300000</v>
      </c>
      <c r="G37" s="114">
        <v>0</v>
      </c>
      <c r="H37" s="114">
        <v>2625</v>
      </c>
      <c r="I37" s="118">
        <v>30</v>
      </c>
      <c r="J37" s="114">
        <v>87.49206692142522</v>
      </c>
      <c r="K37" s="114">
        <v>15690.000000000002</v>
      </c>
      <c r="L37" s="114">
        <v>15777.492066921428</v>
      </c>
      <c r="M37" s="114">
        <v>0</v>
      </c>
      <c r="N37" s="114">
        <v>2424.2593542811569</v>
      </c>
      <c r="P37" s="159"/>
      <c r="Q37" s="160"/>
    </row>
    <row r="38" spans="1:17">
      <c r="A38" s="111" t="s">
        <v>219</v>
      </c>
      <c r="B38" s="115" t="s">
        <v>220</v>
      </c>
      <c r="C38" s="116" t="s">
        <v>221</v>
      </c>
      <c r="D38" s="116" t="s">
        <v>222</v>
      </c>
      <c r="E38" s="114">
        <v>500000</v>
      </c>
      <c r="F38" s="117">
        <v>423076.92307692306</v>
      </c>
      <c r="G38" s="114">
        <v>0</v>
      </c>
      <c r="H38" s="114">
        <v>4375</v>
      </c>
      <c r="I38" s="118">
        <v>30</v>
      </c>
      <c r="J38" s="114">
        <v>127.98925152247594</v>
      </c>
      <c r="K38" s="114">
        <v>28527.777777777777</v>
      </c>
      <c r="L38" s="114">
        <v>28655.767029300252</v>
      </c>
      <c r="M38" s="114">
        <v>0</v>
      </c>
      <c r="N38" s="114">
        <v>3645.0354162403669</v>
      </c>
      <c r="P38" s="159"/>
      <c r="Q38" s="160"/>
    </row>
    <row r="39" spans="1:17">
      <c r="A39" s="111" t="s">
        <v>223</v>
      </c>
      <c r="P39" s="161"/>
      <c r="Q39" s="161"/>
    </row>
    <row r="40" spans="1:17">
      <c r="A40" s="111" t="s">
        <v>224</v>
      </c>
      <c r="B40" s="112" t="s">
        <v>225</v>
      </c>
      <c r="C40" s="113"/>
      <c r="D40" s="113"/>
      <c r="E40" s="113"/>
      <c r="F40" s="113"/>
      <c r="G40" s="113"/>
      <c r="H40" s="113"/>
      <c r="I40" s="113"/>
      <c r="J40" s="114"/>
      <c r="K40" s="113"/>
      <c r="L40" s="114"/>
      <c r="M40" s="113"/>
      <c r="N40" s="113"/>
    </row>
    <row r="41" spans="1:17">
      <c r="A41" s="111" t="s">
        <v>226</v>
      </c>
      <c r="B41" s="115" t="s">
        <v>227</v>
      </c>
      <c r="C41" s="116" t="s">
        <v>228</v>
      </c>
      <c r="D41" s="116" t="s">
        <v>229</v>
      </c>
      <c r="E41" s="114">
        <v>288000</v>
      </c>
      <c r="F41" s="117">
        <v>100426.43799999999</v>
      </c>
      <c r="G41" s="114">
        <v>96</v>
      </c>
      <c r="H41" s="114">
        <v>3334</v>
      </c>
      <c r="I41" s="118">
        <v>12.25</v>
      </c>
      <c r="J41" s="114">
        <v>279.98711999999983</v>
      </c>
      <c r="K41" s="114">
        <v>5300.8283296880409</v>
      </c>
      <c r="L41" s="114">
        <v>5580.8154496880406</v>
      </c>
      <c r="M41" s="114">
        <v>4.3046900000000017</v>
      </c>
      <c r="N41" s="114">
        <v>299.01468999999986</v>
      </c>
    </row>
    <row r="42" spans="1:17" ht="15.75" thickBot="1">
      <c r="A42" s="120"/>
      <c r="B42" s="121"/>
      <c r="C42" s="122"/>
      <c r="D42" s="122"/>
      <c r="E42" s="123"/>
      <c r="F42" s="124"/>
      <c r="G42" s="123"/>
      <c r="H42" s="123"/>
      <c r="I42" s="125"/>
      <c r="J42" s="123"/>
      <c r="K42" s="123"/>
      <c r="L42" s="123"/>
      <c r="M42" s="123"/>
      <c r="N42" s="123"/>
    </row>
    <row r="43" spans="1:17">
      <c r="A43" s="126"/>
      <c r="B43" s="127" t="s">
        <v>230</v>
      </c>
      <c r="C43" s="128"/>
      <c r="D43" s="128"/>
      <c r="E43" s="129"/>
      <c r="F43" s="130"/>
      <c r="G43" s="129"/>
      <c r="H43" s="129"/>
      <c r="I43" s="131"/>
      <c r="J43" s="129"/>
      <c r="K43" s="129"/>
      <c r="L43" s="129"/>
      <c r="M43" s="129"/>
      <c r="N43" s="129" t="s">
        <v>231</v>
      </c>
    </row>
    <row r="44" spans="1:17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</row>
    <row r="45" spans="1:17">
      <c r="A45" s="126" t="s">
        <v>122</v>
      </c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</row>
    <row r="46" spans="1:17">
      <c r="A46" s="111" t="s">
        <v>124</v>
      </c>
      <c r="B46" s="112" t="s">
        <v>232</v>
      </c>
      <c r="C46" s="113"/>
      <c r="D46" s="113"/>
      <c r="E46" s="113"/>
      <c r="F46" s="113"/>
      <c r="G46" s="113"/>
      <c r="H46" s="113"/>
      <c r="I46" s="113"/>
      <c r="J46" s="114"/>
      <c r="K46" s="113"/>
      <c r="L46" s="114"/>
      <c r="M46" s="113"/>
      <c r="N46" s="113"/>
    </row>
    <row r="47" spans="1:17">
      <c r="A47" s="111" t="s">
        <v>128</v>
      </c>
      <c r="B47" s="115" t="s">
        <v>233</v>
      </c>
      <c r="C47" s="116" t="s">
        <v>213</v>
      </c>
      <c r="D47" s="116" t="s">
        <v>126</v>
      </c>
      <c r="E47" s="114">
        <v>600000</v>
      </c>
      <c r="F47" s="117">
        <v>507692.30769230769</v>
      </c>
      <c r="G47" s="114">
        <v>0</v>
      </c>
      <c r="H47" s="114">
        <v>32</v>
      </c>
      <c r="I47" s="118">
        <v>3</v>
      </c>
      <c r="J47" s="114">
        <v>874.35847964499249</v>
      </c>
      <c r="K47" s="114">
        <v>8199.2999999999993</v>
      </c>
      <c r="L47" s="114">
        <v>9073.6584796449933</v>
      </c>
      <c r="M47" s="114">
        <v>0</v>
      </c>
      <c r="N47" s="114">
        <v>3.7610000000000001</v>
      </c>
    </row>
    <row r="48" spans="1:17">
      <c r="A48" s="111" t="s">
        <v>132</v>
      </c>
    </row>
    <row r="49" spans="1:14">
      <c r="A49" s="111" t="s">
        <v>135</v>
      </c>
      <c r="B49" s="112" t="s">
        <v>234</v>
      </c>
      <c r="C49" s="113"/>
      <c r="D49" s="113"/>
      <c r="E49" s="113"/>
      <c r="F49" s="113"/>
      <c r="G49" s="113"/>
      <c r="H49" s="113"/>
      <c r="I49" s="113"/>
      <c r="J49" s="114"/>
      <c r="K49" s="113"/>
      <c r="L49" s="114"/>
      <c r="M49" s="113"/>
      <c r="N49" s="113"/>
    </row>
    <row r="50" spans="1:14">
      <c r="A50" s="111" t="s">
        <v>139</v>
      </c>
      <c r="B50" s="115" t="s">
        <v>235</v>
      </c>
      <c r="C50" s="116" t="s">
        <v>236</v>
      </c>
      <c r="D50" s="116" t="s">
        <v>237</v>
      </c>
      <c r="E50" s="114">
        <v>85000</v>
      </c>
      <c r="F50" s="117">
        <v>85000</v>
      </c>
      <c r="G50" s="114">
        <v>0</v>
      </c>
      <c r="H50" s="114">
        <v>720</v>
      </c>
      <c r="I50" s="118">
        <v>30</v>
      </c>
      <c r="J50" s="114">
        <v>16.482394382022488</v>
      </c>
      <c r="K50" s="114">
        <v>1352.6970833333335</v>
      </c>
      <c r="L50" s="114">
        <v>1369.1794777153561</v>
      </c>
      <c r="M50" s="114">
        <v>0</v>
      </c>
      <c r="N50" s="114">
        <v>580</v>
      </c>
    </row>
    <row r="51" spans="1:14">
      <c r="A51" s="111" t="s">
        <v>143</v>
      </c>
      <c r="B51" s="115" t="s">
        <v>238</v>
      </c>
      <c r="C51" s="116" t="s">
        <v>239</v>
      </c>
      <c r="D51" s="116" t="s">
        <v>240</v>
      </c>
      <c r="E51" s="114">
        <v>15000</v>
      </c>
      <c r="F51" s="117">
        <v>15000</v>
      </c>
      <c r="G51" s="114">
        <v>0</v>
      </c>
      <c r="H51" s="114">
        <v>520</v>
      </c>
      <c r="I51" s="118">
        <v>31.5</v>
      </c>
      <c r="J51" s="114">
        <v>16.501559999999969</v>
      </c>
      <c r="K51" s="114">
        <v>249.96125000000001</v>
      </c>
      <c r="L51" s="114">
        <v>266.46280999999993</v>
      </c>
      <c r="M51" s="114">
        <v>0</v>
      </c>
      <c r="N51" s="114">
        <v>75.632149999999882</v>
      </c>
    </row>
    <row r="52" spans="1:14">
      <c r="A52" s="111" t="s">
        <v>147</v>
      </c>
      <c r="B52" s="115" t="s">
        <v>238</v>
      </c>
      <c r="C52" s="116" t="s">
        <v>241</v>
      </c>
      <c r="D52" s="116" t="s">
        <v>242</v>
      </c>
      <c r="E52" s="114">
        <v>45750</v>
      </c>
      <c r="F52" s="117">
        <v>45750</v>
      </c>
      <c r="G52" s="114">
        <v>0</v>
      </c>
      <c r="H52" s="114">
        <v>711</v>
      </c>
      <c r="I52" s="118">
        <v>27.5</v>
      </c>
      <c r="J52" s="114">
        <v>25.844039999999982</v>
      </c>
      <c r="K52" s="114">
        <v>773.81931250000002</v>
      </c>
      <c r="L52" s="114">
        <v>799.66335250000009</v>
      </c>
      <c r="M52" s="114">
        <v>0</v>
      </c>
      <c r="N52" s="114">
        <v>75.378449999999972</v>
      </c>
    </row>
    <row r="53" spans="1:14">
      <c r="A53" s="111" t="s">
        <v>151</v>
      </c>
      <c r="B53" s="115" t="s">
        <v>243</v>
      </c>
      <c r="C53" s="116" t="s">
        <v>244</v>
      </c>
      <c r="D53" s="116" t="s">
        <v>245</v>
      </c>
      <c r="E53" s="114">
        <v>45960</v>
      </c>
      <c r="F53" s="117">
        <v>45960</v>
      </c>
      <c r="G53" s="114">
        <v>0</v>
      </c>
      <c r="H53" s="114">
        <v>397</v>
      </c>
      <c r="I53" s="118">
        <v>30.5</v>
      </c>
      <c r="J53" s="114">
        <v>13.006567850467263</v>
      </c>
      <c r="K53" s="114">
        <v>777.3712700000001</v>
      </c>
      <c r="L53" s="114">
        <v>790.37783785046747</v>
      </c>
      <c r="M53" s="114">
        <v>0</v>
      </c>
      <c r="N53" s="114">
        <v>80.207168411214809</v>
      </c>
    </row>
    <row r="54" spans="1:14">
      <c r="A54" s="111" t="s">
        <v>155</v>
      </c>
      <c r="B54" s="115" t="s">
        <v>246</v>
      </c>
      <c r="C54" s="116" t="s">
        <v>244</v>
      </c>
      <c r="D54" s="116" t="s">
        <v>245</v>
      </c>
      <c r="E54" s="114">
        <v>16510</v>
      </c>
      <c r="F54" s="117">
        <v>16510</v>
      </c>
      <c r="G54" s="114">
        <v>0</v>
      </c>
      <c r="H54" s="114">
        <v>132</v>
      </c>
      <c r="I54" s="118">
        <v>30.5</v>
      </c>
      <c r="J54" s="114">
        <v>4.3203600000000062</v>
      </c>
      <c r="K54" s="114">
        <v>279.25151583333331</v>
      </c>
      <c r="L54" s="114">
        <v>283.57187583333331</v>
      </c>
      <c r="M54" s="114">
        <v>0</v>
      </c>
      <c r="N54" s="114">
        <v>26.642220000000034</v>
      </c>
    </row>
    <row r="55" spans="1:14">
      <c r="A55" s="111" t="s">
        <v>159</v>
      </c>
      <c r="B55" s="115" t="s">
        <v>247</v>
      </c>
      <c r="C55" s="116" t="s">
        <v>244</v>
      </c>
      <c r="D55" s="116" t="s">
        <v>245</v>
      </c>
      <c r="E55" s="114">
        <v>4480</v>
      </c>
      <c r="F55" s="117">
        <v>4480</v>
      </c>
      <c r="G55" s="114">
        <v>0</v>
      </c>
      <c r="H55" s="114">
        <v>83</v>
      </c>
      <c r="I55" s="118">
        <v>30.5</v>
      </c>
      <c r="J55" s="114">
        <v>2.71692</v>
      </c>
      <c r="K55" s="114">
        <v>75.775093333333331</v>
      </c>
      <c r="L55" s="114">
        <v>78.492013333333333</v>
      </c>
      <c r="M55" s="114">
        <v>0</v>
      </c>
      <c r="N55" s="114">
        <v>16.754340000000003</v>
      </c>
    </row>
    <row r="56" spans="1:14">
      <c r="A56" s="111" t="s">
        <v>163</v>
      </c>
      <c r="B56" s="115" t="s">
        <v>243</v>
      </c>
      <c r="C56" s="116" t="s">
        <v>248</v>
      </c>
      <c r="D56" s="116" t="s">
        <v>249</v>
      </c>
      <c r="E56" s="114">
        <v>28300</v>
      </c>
      <c r="F56" s="117">
        <v>28300</v>
      </c>
      <c r="G56" s="114">
        <v>0</v>
      </c>
      <c r="H56" s="114">
        <v>371</v>
      </c>
      <c r="I56" s="118">
        <v>35</v>
      </c>
      <c r="J56" s="114">
        <v>10.59587999999998</v>
      </c>
      <c r="K56" s="114">
        <v>478.66855833333329</v>
      </c>
      <c r="L56" s="114">
        <v>489.26443833333332</v>
      </c>
      <c r="M56" s="114">
        <v>0</v>
      </c>
      <c r="N56" s="114">
        <v>93.596939999999847</v>
      </c>
    </row>
    <row r="57" spans="1:14">
      <c r="A57" s="111" t="s">
        <v>166</v>
      </c>
      <c r="B57" s="115" t="s">
        <v>238</v>
      </c>
      <c r="C57" s="116" t="s">
        <v>250</v>
      </c>
      <c r="D57" s="116" t="s">
        <v>251</v>
      </c>
      <c r="E57" s="114">
        <v>8635</v>
      </c>
      <c r="F57" s="117">
        <v>8635</v>
      </c>
      <c r="G57" s="114">
        <v>0</v>
      </c>
      <c r="H57" s="114">
        <v>182</v>
      </c>
      <c r="I57" s="118">
        <v>25.083333333333332</v>
      </c>
      <c r="J57" s="114">
        <v>7.26</v>
      </c>
      <c r="K57" s="114">
        <v>143.89435958333334</v>
      </c>
      <c r="L57" s="114">
        <v>151.15435958333333</v>
      </c>
      <c r="M57" s="114">
        <v>0</v>
      </c>
      <c r="N57" s="114">
        <v>12.705</v>
      </c>
    </row>
    <row r="58" spans="1:14">
      <c r="A58" s="111" t="s">
        <v>170</v>
      </c>
      <c r="B58" s="115" t="s">
        <v>243</v>
      </c>
      <c r="C58" s="116" t="s">
        <v>252</v>
      </c>
      <c r="D58" s="116" t="s">
        <v>253</v>
      </c>
      <c r="E58" s="114">
        <v>51940</v>
      </c>
      <c r="F58" s="117">
        <v>51940</v>
      </c>
      <c r="G58" s="114">
        <v>0</v>
      </c>
      <c r="H58" s="114">
        <v>345</v>
      </c>
      <c r="I58" s="118">
        <v>33.916666666666664</v>
      </c>
      <c r="J58" s="114">
        <v>10.182720000000007</v>
      </c>
      <c r="K58" s="114">
        <v>865.53248833333339</v>
      </c>
      <c r="L58" s="114">
        <v>875.71520833333341</v>
      </c>
      <c r="M58" s="114">
        <v>0</v>
      </c>
      <c r="N58" s="114">
        <v>110.31280000000007</v>
      </c>
    </row>
    <row r="59" spans="1:14">
      <c r="A59" s="111" t="s">
        <v>174</v>
      </c>
      <c r="B59" s="115" t="s">
        <v>254</v>
      </c>
      <c r="C59" s="116" t="s">
        <v>255</v>
      </c>
      <c r="D59" s="116" t="s">
        <v>256</v>
      </c>
      <c r="E59" s="114">
        <v>95700</v>
      </c>
      <c r="F59" s="117">
        <v>95700</v>
      </c>
      <c r="G59" s="114">
        <v>0</v>
      </c>
      <c r="H59" s="114">
        <v>499</v>
      </c>
      <c r="I59" s="118">
        <v>22.25</v>
      </c>
      <c r="J59" s="114">
        <v>22.489170370370363</v>
      </c>
      <c r="K59" s="114">
        <v>1618.6777750000001</v>
      </c>
      <c r="L59" s="114">
        <v>1641.1669453703705</v>
      </c>
      <c r="M59" s="114">
        <v>0</v>
      </c>
      <c r="N59" s="114">
        <v>89.956681481481439</v>
      </c>
    </row>
    <row r="60" spans="1:14">
      <c r="A60" s="111" t="s">
        <v>178</v>
      </c>
      <c r="B60" s="115" t="s">
        <v>257</v>
      </c>
      <c r="C60" s="116" t="s">
        <v>258</v>
      </c>
      <c r="D60" s="116" t="s">
        <v>259</v>
      </c>
      <c r="E60" s="114">
        <v>242210</v>
      </c>
      <c r="F60" s="117">
        <v>242210</v>
      </c>
      <c r="G60" s="114">
        <v>0</v>
      </c>
      <c r="H60" s="114">
        <v>570</v>
      </c>
      <c r="I60" s="118">
        <v>28</v>
      </c>
      <c r="J60" s="114">
        <v>20.368919999999996</v>
      </c>
      <c r="K60" s="114">
        <v>4036.2076241666668</v>
      </c>
      <c r="L60" s="114">
        <v>4056.5765441666667</v>
      </c>
      <c r="M60" s="114">
        <v>0</v>
      </c>
      <c r="N60" s="114">
        <v>207.08401999999987</v>
      </c>
    </row>
    <row r="61" spans="1:14">
      <c r="A61" s="111" t="s">
        <v>182</v>
      </c>
      <c r="B61" s="115" t="s">
        <v>257</v>
      </c>
      <c r="C61" s="116" t="s">
        <v>260</v>
      </c>
      <c r="D61" s="116" t="s">
        <v>261</v>
      </c>
      <c r="E61" s="114">
        <v>78785</v>
      </c>
      <c r="F61" s="117">
        <v>78785</v>
      </c>
      <c r="G61" s="114">
        <v>0</v>
      </c>
      <c r="H61" s="114">
        <v>442</v>
      </c>
      <c r="I61" s="118">
        <v>21</v>
      </c>
      <c r="J61" s="114">
        <v>21.05424000000005</v>
      </c>
      <c r="K61" s="114">
        <v>1312.8798054166664</v>
      </c>
      <c r="L61" s="114">
        <v>1333.9340454166663</v>
      </c>
      <c r="M61" s="114">
        <v>0</v>
      </c>
      <c r="N61" s="114">
        <v>122.81640000000029</v>
      </c>
    </row>
    <row r="62" spans="1:14" ht="15.75" thickBot="1">
      <c r="A62" s="111" t="s">
        <v>186</v>
      </c>
      <c r="B62" s="112" t="s">
        <v>262</v>
      </c>
      <c r="C62" s="116" t="s">
        <v>263</v>
      </c>
      <c r="D62" s="116" t="s">
        <v>263</v>
      </c>
      <c r="E62" s="114">
        <v>0</v>
      </c>
      <c r="F62" s="117">
        <v>0</v>
      </c>
      <c r="G62" s="114">
        <v>0</v>
      </c>
      <c r="H62" s="114">
        <v>0</v>
      </c>
      <c r="I62" s="118">
        <v>0</v>
      </c>
      <c r="J62" s="114">
        <v>0</v>
      </c>
      <c r="K62" s="114">
        <v>0</v>
      </c>
      <c r="L62" s="114">
        <v>0</v>
      </c>
      <c r="M62" s="114">
        <v>0</v>
      </c>
      <c r="N62" s="114">
        <v>86454.477148323553</v>
      </c>
    </row>
    <row r="63" spans="1:14" ht="15.75" thickTop="1">
      <c r="A63" s="111" t="s">
        <v>189</v>
      </c>
      <c r="B63" s="112" t="s">
        <v>264</v>
      </c>
      <c r="C63" s="113">
        <v>0</v>
      </c>
      <c r="D63" s="113">
        <v>0</v>
      </c>
      <c r="E63" s="132">
        <v>13146270</v>
      </c>
      <c r="F63" s="132">
        <v>11839466.668769231</v>
      </c>
      <c r="G63" s="132">
        <v>50094.635000000002</v>
      </c>
      <c r="H63" s="132">
        <v>126014.51874151851</v>
      </c>
      <c r="I63" s="113">
        <v>0</v>
      </c>
      <c r="J63" s="132">
        <v>7904.0416204422818</v>
      </c>
      <c r="K63" s="133">
        <f>SUM(K13:K61)</f>
        <v>553330.45135441027</v>
      </c>
      <c r="L63" s="133">
        <f>SUM(L13:L61)</f>
        <v>561234.49297485256</v>
      </c>
      <c r="M63" s="132">
        <v>29611.585477766461</v>
      </c>
      <c r="N63" s="132">
        <f>SUM(N13:N62)</f>
        <v>169788.30963526992</v>
      </c>
    </row>
    <row r="64" spans="1:14">
      <c r="A64" s="111" t="s">
        <v>192</v>
      </c>
      <c r="B64" s="112" t="s">
        <v>265</v>
      </c>
      <c r="C64" s="134">
        <v>0</v>
      </c>
      <c r="D64" s="116" t="s">
        <v>263</v>
      </c>
      <c r="E64" s="114">
        <v>0</v>
      </c>
      <c r="F64" s="117"/>
      <c r="G64" s="114">
        <v>0</v>
      </c>
      <c r="H64" s="114">
        <v>0</v>
      </c>
      <c r="I64" s="118">
        <v>0</v>
      </c>
      <c r="J64" s="114">
        <v>0</v>
      </c>
      <c r="K64" s="114">
        <v>0</v>
      </c>
      <c r="L64" s="114">
        <v>0</v>
      </c>
      <c r="M64" s="114">
        <v>0</v>
      </c>
      <c r="N64" s="114">
        <v>0</v>
      </c>
    </row>
    <row r="65" spans="1:14" ht="15.75" thickBot="1">
      <c r="A65" s="111" t="s">
        <v>196</v>
      </c>
      <c r="B65" s="112" t="s">
        <v>266</v>
      </c>
      <c r="C65" s="116" t="s">
        <v>263</v>
      </c>
      <c r="D65" s="116" t="s">
        <v>263</v>
      </c>
      <c r="E65" s="114">
        <v>0</v>
      </c>
      <c r="F65" s="135">
        <f>-SUM(M63:N63)</f>
        <v>-199399.89511303639</v>
      </c>
      <c r="G65" s="114">
        <v>0</v>
      </c>
      <c r="H65" s="114">
        <v>0</v>
      </c>
      <c r="I65" s="118">
        <v>0</v>
      </c>
      <c r="J65" s="114">
        <v>0</v>
      </c>
      <c r="K65" s="114">
        <v>0</v>
      </c>
      <c r="L65" s="114">
        <v>0</v>
      </c>
      <c r="M65" s="114">
        <v>0</v>
      </c>
      <c r="N65" s="114">
        <v>0</v>
      </c>
    </row>
    <row r="66" spans="1:14" ht="15.75" thickTop="1">
      <c r="A66" s="111" t="s">
        <v>200</v>
      </c>
      <c r="B66" s="112" t="s">
        <v>267</v>
      </c>
      <c r="C66" s="113">
        <v>0</v>
      </c>
      <c r="D66" s="113">
        <v>0</v>
      </c>
      <c r="E66" s="113">
        <v>0</v>
      </c>
      <c r="F66" s="136">
        <f>SUM(F63:F65)</f>
        <v>11640066.773656195</v>
      </c>
      <c r="G66" s="113">
        <v>0</v>
      </c>
      <c r="H66" s="113">
        <v>0</v>
      </c>
      <c r="I66" s="113">
        <v>0</v>
      </c>
      <c r="J66" s="113">
        <v>0</v>
      </c>
      <c r="K66" s="113">
        <v>0</v>
      </c>
      <c r="L66" s="113">
        <v>0</v>
      </c>
      <c r="M66" s="113">
        <v>0</v>
      </c>
      <c r="N66" s="113">
        <v>0</v>
      </c>
    </row>
    <row r="67" spans="1:14" ht="15.75" thickBot="1">
      <c r="A67" s="111" t="s">
        <v>204</v>
      </c>
      <c r="B67" s="112" t="s">
        <v>268</v>
      </c>
      <c r="C67" s="134">
        <v>0</v>
      </c>
      <c r="D67" s="113">
        <v>0</v>
      </c>
      <c r="E67" s="113">
        <v>0</v>
      </c>
      <c r="F67" s="137">
        <v>4.8216770056823441E-2</v>
      </c>
      <c r="G67" s="113">
        <v>0</v>
      </c>
      <c r="H67" s="113">
        <v>0</v>
      </c>
      <c r="I67" s="113">
        <v>0</v>
      </c>
      <c r="J67" s="113">
        <v>0</v>
      </c>
      <c r="K67" s="113">
        <v>0</v>
      </c>
      <c r="L67" s="113">
        <v>0</v>
      </c>
      <c r="M67" s="113">
        <v>0</v>
      </c>
      <c r="N67" s="113"/>
    </row>
    <row r="68" spans="1:14" ht="15.75" thickTop="1">
      <c r="A68" s="111" t="s">
        <v>207</v>
      </c>
    </row>
    <row r="69" spans="1:14">
      <c r="A69" s="111" t="s">
        <v>211</v>
      </c>
      <c r="B69" s="138" t="s">
        <v>269</v>
      </c>
      <c r="C69" s="119" t="s">
        <v>270</v>
      </c>
      <c r="D69" s="119"/>
      <c r="E69" s="119"/>
      <c r="F69" s="139"/>
      <c r="G69" s="139">
        <f>F63-F41</f>
        <v>11739040.230769232</v>
      </c>
    </row>
    <row r="70" spans="1:14">
      <c r="A70" s="111" t="s">
        <v>215</v>
      </c>
      <c r="B70" s="119"/>
      <c r="C70" s="119" t="s">
        <v>271</v>
      </c>
      <c r="D70" s="119"/>
      <c r="E70" s="119"/>
      <c r="F70" s="140"/>
      <c r="G70" s="140">
        <f>F65+M41+N41</f>
        <v>-199096.57573303638</v>
      </c>
    </row>
    <row r="71" spans="1:14">
      <c r="A71" s="111"/>
      <c r="B71" s="112" t="s">
        <v>272</v>
      </c>
      <c r="C71" s="112" t="s">
        <v>272</v>
      </c>
      <c r="D71" s="119"/>
      <c r="E71" s="119"/>
      <c r="F71" s="119"/>
      <c r="G71" s="141">
        <v>-4630</v>
      </c>
    </row>
    <row r="72" spans="1:14">
      <c r="A72" s="111"/>
      <c r="B72" s="119"/>
      <c r="C72" s="119" t="s">
        <v>267</v>
      </c>
      <c r="D72" s="119"/>
      <c r="E72" s="119"/>
      <c r="F72" s="119"/>
      <c r="G72" s="139">
        <f>SUM(G69:G71)</f>
        <v>11535313.655036196</v>
      </c>
    </row>
    <row r="73" spans="1:14">
      <c r="A73" s="111"/>
      <c r="B73" s="119"/>
      <c r="C73" s="119"/>
      <c r="D73" s="119"/>
      <c r="E73" s="119"/>
      <c r="F73" s="119"/>
      <c r="G73" s="119"/>
    </row>
    <row r="74" spans="1:14">
      <c r="A74" s="111"/>
      <c r="B74" s="119"/>
      <c r="C74" s="119" t="s">
        <v>273</v>
      </c>
      <c r="D74" s="119"/>
      <c r="E74" s="119"/>
      <c r="F74" s="119"/>
      <c r="G74" s="139">
        <f>L63-L41</f>
        <v>555653.67752516456</v>
      </c>
    </row>
    <row r="75" spans="1:14">
      <c r="A75" s="111"/>
      <c r="B75" s="119"/>
      <c r="C75" s="119" t="s">
        <v>274</v>
      </c>
      <c r="D75" s="119"/>
      <c r="E75" s="119"/>
      <c r="F75" s="119"/>
      <c r="G75" s="141">
        <v>5947</v>
      </c>
    </row>
    <row r="76" spans="1:14">
      <c r="A76" s="111"/>
      <c r="B76" s="119"/>
      <c r="C76" s="119"/>
      <c r="D76" s="119"/>
      <c r="E76" s="119"/>
      <c r="F76" s="119"/>
      <c r="G76" s="139">
        <f>SUM(G74:G75)</f>
        <v>561600.67752516456</v>
      </c>
    </row>
    <row r="77" spans="1:14">
      <c r="A77" s="111"/>
      <c r="B77" s="119"/>
      <c r="C77" s="119"/>
      <c r="D77" s="119"/>
      <c r="E77" s="119"/>
      <c r="F77" s="119"/>
      <c r="G77" s="139"/>
    </row>
    <row r="78" spans="1:14" ht="15.75" thickBot="1">
      <c r="A78" s="111"/>
      <c r="B78" s="119"/>
      <c r="C78" s="112" t="s">
        <v>268</v>
      </c>
      <c r="D78" s="119"/>
      <c r="E78" s="119"/>
      <c r="F78" s="119"/>
      <c r="G78" s="142">
        <f>G76/G72</f>
        <v>4.8685340886242448E-2</v>
      </c>
    </row>
    <row r="79" spans="1:14" ht="15.75" thickTop="1">
      <c r="A79" s="111"/>
    </row>
    <row r="80" spans="1:14">
      <c r="A80" s="111"/>
    </row>
    <row r="81" spans="1:14">
      <c r="A81" s="111"/>
    </row>
    <row r="82" spans="1:14">
      <c r="A82" s="111"/>
    </row>
    <row r="83" spans="1:14">
      <c r="A83" s="111"/>
    </row>
    <row r="84" spans="1:14">
      <c r="A84" s="111"/>
    </row>
    <row r="85" spans="1:14">
      <c r="A85" s="111" t="s">
        <v>219</v>
      </c>
    </row>
    <row r="86" spans="1:14">
      <c r="A86" s="111" t="s">
        <v>223</v>
      </c>
    </row>
    <row r="87" spans="1:14">
      <c r="A87" s="111" t="s">
        <v>224</v>
      </c>
    </row>
    <row r="88" spans="1:14">
      <c r="A88" s="111" t="s">
        <v>226</v>
      </c>
    </row>
    <row r="89" spans="1:14" ht="15.75" thickBot="1">
      <c r="A89" s="105"/>
      <c r="B89" s="105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</row>
    <row r="90" spans="1:14">
      <c r="B90" s="127" t="s">
        <v>230</v>
      </c>
      <c r="N90" s="129" t="s">
        <v>231</v>
      </c>
    </row>
  </sheetData>
  <pageMargins left="0.39" right="0.25" top="1" bottom="1" header="0.5" footer="0.5"/>
  <pageSetup orientation="landscape" r:id="rId1"/>
  <headerFooter alignWithMargins="0">
    <oddHeader>&amp;R&amp;8Docket No. 160021-EI, &amp;"Arial,Italic"et al&amp;"Arial,Regular".
FPL POD No. 5
Attachment A
Page &amp;P of &amp;N</oddHeader>
  </headerFooter>
  <rowBreaks count="1" manualBreakCount="1">
    <brk id="44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90"/>
  <sheetViews>
    <sheetView showGridLines="0" showZeros="0" tabSelected="1" view="pageLayout" zoomScaleNormal="100" workbookViewId="0">
      <selection activeCell="G9" sqref="G9"/>
    </sheetView>
  </sheetViews>
  <sheetFormatPr defaultRowHeight="15"/>
  <cols>
    <col min="1" max="1" width="5.42578125" style="106" customWidth="1"/>
    <col min="2" max="2" width="43.140625" style="106" customWidth="1"/>
    <col min="3" max="13" width="11.7109375" style="106" customWidth="1"/>
    <col min="14" max="14" width="10.5703125" style="106" customWidth="1"/>
    <col min="15" max="16384" width="9.140625" style="106"/>
  </cols>
  <sheetData>
    <row r="1" spans="1:17" ht="15.75" thickBot="1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7">
      <c r="A2" s="107" t="s">
        <v>81</v>
      </c>
      <c r="E2" s="107" t="s">
        <v>82</v>
      </c>
      <c r="K2" s="107" t="s">
        <v>83</v>
      </c>
    </row>
    <row r="3" spans="1:17">
      <c r="F3" s="107" t="s">
        <v>84</v>
      </c>
      <c r="K3" s="107" t="s">
        <v>85</v>
      </c>
    </row>
    <row r="4" spans="1:17">
      <c r="A4" s="107" t="s">
        <v>86</v>
      </c>
      <c r="F4" s="107" t="s">
        <v>87</v>
      </c>
      <c r="K4" s="107" t="s">
        <v>88</v>
      </c>
    </row>
    <row r="5" spans="1:17">
      <c r="B5" s="107" t="s">
        <v>89</v>
      </c>
      <c r="F5" s="107" t="s">
        <v>90</v>
      </c>
      <c r="K5" s="107" t="s">
        <v>91</v>
      </c>
    </row>
    <row r="6" spans="1:17">
      <c r="K6" s="107" t="s">
        <v>92</v>
      </c>
    </row>
    <row r="7" spans="1:17">
      <c r="A7" s="107" t="s">
        <v>93</v>
      </c>
      <c r="G7" s="107" t="s">
        <v>94</v>
      </c>
      <c r="K7" s="107" t="s">
        <v>95</v>
      </c>
    </row>
    <row r="8" spans="1:17" ht="15.75" thickBot="1">
      <c r="A8" s="105"/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</row>
    <row r="9" spans="1:17">
      <c r="B9" s="108" t="s">
        <v>37</v>
      </c>
      <c r="C9" s="108" t="s">
        <v>96</v>
      </c>
      <c r="D9" s="108" t="s">
        <v>97</v>
      </c>
      <c r="E9" s="108" t="s">
        <v>98</v>
      </c>
      <c r="F9" s="108" t="s">
        <v>99</v>
      </c>
      <c r="G9" s="108" t="s">
        <v>100</v>
      </c>
      <c r="H9" s="108" t="s">
        <v>101</v>
      </c>
      <c r="I9" s="108" t="s">
        <v>102</v>
      </c>
      <c r="J9" s="108" t="s">
        <v>103</v>
      </c>
      <c r="K9" s="108" t="s">
        <v>104</v>
      </c>
      <c r="L9" s="108" t="s">
        <v>105</v>
      </c>
      <c r="M9" s="108" t="s">
        <v>106</v>
      </c>
      <c r="N9" s="108" t="s">
        <v>107</v>
      </c>
    </row>
    <row r="10" spans="1:17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</row>
    <row r="11" spans="1:17" ht="102.75" thickBot="1">
      <c r="A11" s="110" t="s">
        <v>108</v>
      </c>
      <c r="B11" s="110" t="s">
        <v>109</v>
      </c>
      <c r="C11" s="110" t="s">
        <v>110</v>
      </c>
      <c r="D11" s="110" t="s">
        <v>111</v>
      </c>
      <c r="E11" s="110" t="s">
        <v>112</v>
      </c>
      <c r="F11" s="110" t="s">
        <v>113</v>
      </c>
      <c r="G11" s="110" t="s">
        <v>114</v>
      </c>
      <c r="H11" s="110" t="s">
        <v>115</v>
      </c>
      <c r="I11" s="110" t="s">
        <v>116</v>
      </c>
      <c r="J11" s="110" t="s">
        <v>117</v>
      </c>
      <c r="K11" s="110" t="s">
        <v>118</v>
      </c>
      <c r="L11" s="110" t="s">
        <v>119</v>
      </c>
      <c r="M11" s="110" t="s">
        <v>120</v>
      </c>
      <c r="N11" s="110" t="s">
        <v>121</v>
      </c>
    </row>
    <row r="12" spans="1:17">
      <c r="A12" s="111" t="s">
        <v>122</v>
      </c>
      <c r="B12" s="112" t="s">
        <v>123</v>
      </c>
      <c r="C12" s="113"/>
      <c r="D12" s="113"/>
      <c r="E12" s="113"/>
      <c r="F12" s="113"/>
      <c r="G12" s="113"/>
      <c r="H12" s="113"/>
      <c r="I12" s="113"/>
      <c r="J12" s="114"/>
      <c r="K12" s="113"/>
      <c r="L12" s="114"/>
      <c r="M12" s="113"/>
      <c r="N12" s="113"/>
    </row>
    <row r="13" spans="1:17">
      <c r="A13" s="111" t="s">
        <v>124</v>
      </c>
      <c r="B13" s="162">
        <v>4.1000000000000002E-2</v>
      </c>
      <c r="C13" s="116" t="s">
        <v>126</v>
      </c>
      <c r="D13" s="116" t="s">
        <v>127</v>
      </c>
      <c r="E13" s="114">
        <v>650000</v>
      </c>
      <c r="F13" s="117">
        <v>100000</v>
      </c>
      <c r="G13" s="114">
        <v>0</v>
      </c>
      <c r="H13" s="114">
        <v>5687.5000000000009</v>
      </c>
      <c r="I13" s="118">
        <v>30</v>
      </c>
      <c r="J13" s="114">
        <v>24.21141823190246</v>
      </c>
      <c r="K13" s="146">
        <f>F13*B13</f>
        <v>4100</v>
      </c>
      <c r="L13" s="146">
        <f>J13+K13</f>
        <v>4124.2114182319028</v>
      </c>
      <c r="M13" s="114">
        <v>0</v>
      </c>
      <c r="N13" s="114">
        <v>872.49033402199211</v>
      </c>
      <c r="P13" s="159"/>
      <c r="Q13" s="160"/>
    </row>
    <row r="14" spans="1:17">
      <c r="A14" s="111" t="s">
        <v>128</v>
      </c>
      <c r="B14" s="162">
        <v>4.1000000000000002E-2</v>
      </c>
      <c r="C14" s="116" t="s">
        <v>130</v>
      </c>
      <c r="D14" s="116" t="s">
        <v>131</v>
      </c>
      <c r="E14" s="114">
        <v>800000</v>
      </c>
      <c r="F14" s="117">
        <v>800000</v>
      </c>
      <c r="G14" s="114">
        <v>0</v>
      </c>
      <c r="H14" s="114">
        <v>7000</v>
      </c>
      <c r="I14" s="118">
        <v>30</v>
      </c>
      <c r="J14" s="114">
        <v>233.31217845713439</v>
      </c>
      <c r="K14" s="146">
        <f>F14*B14</f>
        <v>32800</v>
      </c>
      <c r="L14" s="146">
        <f>J14+K14</f>
        <v>33033.312178457134</v>
      </c>
      <c r="M14" s="114">
        <v>0</v>
      </c>
      <c r="N14" s="114">
        <v>6853.545242178323</v>
      </c>
      <c r="P14" s="159"/>
      <c r="Q14" s="160"/>
    </row>
    <row r="15" spans="1:17">
      <c r="A15" s="111" t="s">
        <v>132</v>
      </c>
      <c r="B15" s="162">
        <v>4.1000000000000002E-2</v>
      </c>
      <c r="C15" s="116" t="s">
        <v>133</v>
      </c>
      <c r="D15" s="116" t="s">
        <v>134</v>
      </c>
      <c r="E15" s="114">
        <v>500000</v>
      </c>
      <c r="F15" s="117">
        <v>500000</v>
      </c>
      <c r="G15" s="114">
        <v>0</v>
      </c>
      <c r="H15" s="114">
        <v>4375</v>
      </c>
      <c r="I15" s="118">
        <v>30</v>
      </c>
      <c r="J15" s="114">
        <v>145.82011153570897</v>
      </c>
      <c r="K15" s="146">
        <f>F15*B15</f>
        <v>20500</v>
      </c>
      <c r="L15" s="146">
        <f>J15+K15</f>
        <v>20645.820111535708</v>
      </c>
      <c r="M15" s="114">
        <v>0</v>
      </c>
      <c r="N15" s="114">
        <v>4186.2523686709783</v>
      </c>
      <c r="P15" s="159"/>
      <c r="Q15" s="160"/>
    </row>
    <row r="16" spans="1:17">
      <c r="A16" s="111" t="s">
        <v>135</v>
      </c>
      <c r="B16" s="115" t="s">
        <v>136</v>
      </c>
      <c r="C16" s="116" t="s">
        <v>137</v>
      </c>
      <c r="D16" s="116" t="s">
        <v>138</v>
      </c>
      <c r="E16" s="114">
        <v>500000</v>
      </c>
      <c r="F16" s="117">
        <v>500000</v>
      </c>
      <c r="G16" s="114">
        <v>1905</v>
      </c>
      <c r="H16" s="114">
        <v>5650</v>
      </c>
      <c r="I16" s="118">
        <v>10</v>
      </c>
      <c r="J16" s="114">
        <v>750.66930260869583</v>
      </c>
      <c r="K16" s="114">
        <v>13750.000000000002</v>
      </c>
      <c r="L16" s="114">
        <v>14500.669302608698</v>
      </c>
      <c r="M16" s="114">
        <v>936.625</v>
      </c>
      <c r="N16" s="114">
        <v>2754.165737826087</v>
      </c>
      <c r="P16" s="159"/>
      <c r="Q16" s="160"/>
    </row>
    <row r="17" spans="1:17">
      <c r="A17" s="111" t="s">
        <v>139</v>
      </c>
      <c r="B17" s="115" t="s">
        <v>140</v>
      </c>
      <c r="C17" s="116" t="s">
        <v>141</v>
      </c>
      <c r="D17" s="116" t="s">
        <v>142</v>
      </c>
      <c r="E17" s="114">
        <v>500000</v>
      </c>
      <c r="F17" s="117">
        <v>418172</v>
      </c>
      <c r="G17" s="114">
        <v>6480</v>
      </c>
      <c r="H17" s="114">
        <v>2199.0569799999998</v>
      </c>
      <c r="I17" s="118">
        <v>31</v>
      </c>
      <c r="J17" s="114">
        <v>279.96969567567606</v>
      </c>
      <c r="K17" s="114">
        <v>23522.174999999999</v>
      </c>
      <c r="L17" s="114">
        <v>23802.144695675674</v>
      </c>
      <c r="M17" s="114">
        <v>3291.0244868918967</v>
      </c>
      <c r="N17" s="114">
        <v>1118.4982200000004</v>
      </c>
      <c r="P17" s="159"/>
      <c r="Q17" s="160"/>
    </row>
    <row r="18" spans="1:17">
      <c r="A18" s="111" t="s">
        <v>143</v>
      </c>
      <c r="B18" s="115" t="s">
        <v>144</v>
      </c>
      <c r="C18" s="116" t="s">
        <v>145</v>
      </c>
      <c r="D18" s="116" t="s">
        <v>146</v>
      </c>
      <c r="E18" s="114">
        <v>300000</v>
      </c>
      <c r="F18" s="117">
        <v>229586</v>
      </c>
      <c r="G18" s="114">
        <v>4030</v>
      </c>
      <c r="H18" s="114">
        <v>1593.9194026842999</v>
      </c>
      <c r="I18" s="118">
        <v>30.083333333333332</v>
      </c>
      <c r="J18" s="114">
        <v>186.7476094999999</v>
      </c>
      <c r="K18" s="114">
        <v>12397.644000000002</v>
      </c>
      <c r="L18" s="114">
        <v>12584.391609500002</v>
      </c>
      <c r="M18" s="114">
        <v>2305.3047228749961</v>
      </c>
      <c r="N18" s="114">
        <v>916.09154100000103</v>
      </c>
      <c r="P18" s="159"/>
      <c r="Q18" s="160"/>
    </row>
    <row r="19" spans="1:17">
      <c r="A19" s="111" t="s">
        <v>147</v>
      </c>
      <c r="B19" s="115" t="s">
        <v>148</v>
      </c>
      <c r="C19" s="116" t="s">
        <v>149</v>
      </c>
      <c r="D19" s="116" t="s">
        <v>150</v>
      </c>
      <c r="E19" s="114">
        <v>400000</v>
      </c>
      <c r="F19" s="117">
        <v>394991</v>
      </c>
      <c r="G19" s="114">
        <v>6364</v>
      </c>
      <c r="H19" s="114">
        <v>1996.1578276349001</v>
      </c>
      <c r="I19" s="118">
        <v>31.083333333333332</v>
      </c>
      <c r="J19" s="114">
        <v>268.95969937500007</v>
      </c>
      <c r="K19" s="114">
        <v>22316.9915</v>
      </c>
      <c r="L19" s="114">
        <v>22585.951199374998</v>
      </c>
      <c r="M19" s="114">
        <v>3805.3867056250024</v>
      </c>
      <c r="N19" s="114">
        <v>1192.7810410937486</v>
      </c>
      <c r="P19" s="159"/>
      <c r="Q19" s="160"/>
    </row>
    <row r="20" spans="1:17">
      <c r="A20" s="111" t="s">
        <v>151</v>
      </c>
      <c r="B20" s="115" t="s">
        <v>152</v>
      </c>
      <c r="C20" s="116" t="s">
        <v>153</v>
      </c>
      <c r="D20" s="116" t="s">
        <v>154</v>
      </c>
      <c r="E20" s="114">
        <v>300000</v>
      </c>
      <c r="F20" s="117">
        <v>219161</v>
      </c>
      <c r="G20" s="114">
        <v>2693</v>
      </c>
      <c r="H20" s="114">
        <v>1738.1988999999999</v>
      </c>
      <c r="I20" s="118">
        <v>30</v>
      </c>
      <c r="J20" s="114">
        <v>148.14823983772828</v>
      </c>
      <c r="K20" s="114">
        <v>13587.982000000002</v>
      </c>
      <c r="L20" s="114">
        <v>13736.13023983773</v>
      </c>
      <c r="M20" s="114">
        <v>1602.0937450709966</v>
      </c>
      <c r="N20" s="114">
        <v>1033.7103553752527</v>
      </c>
      <c r="P20" s="159"/>
      <c r="Q20" s="160"/>
    </row>
    <row r="21" spans="1:17">
      <c r="A21" s="111" t="s">
        <v>155</v>
      </c>
      <c r="B21" s="115" t="s">
        <v>156</v>
      </c>
      <c r="C21" s="116" t="s">
        <v>157</v>
      </c>
      <c r="D21" s="116" t="s">
        <v>158</v>
      </c>
      <c r="E21" s="114">
        <v>300000</v>
      </c>
      <c r="F21" s="117">
        <v>300000</v>
      </c>
      <c r="G21" s="114">
        <v>4893</v>
      </c>
      <c r="H21" s="114">
        <v>1634.9651999999999</v>
      </c>
      <c r="I21" s="118">
        <v>30</v>
      </c>
      <c r="J21" s="114">
        <v>217.59881898305073</v>
      </c>
      <c r="K21" s="114">
        <v>14850</v>
      </c>
      <c r="L21" s="114">
        <v>15067.59881898305</v>
      </c>
      <c r="M21" s="114">
        <v>2759.1079777966061</v>
      </c>
      <c r="N21" s="114">
        <v>921.93871000000115</v>
      </c>
      <c r="P21" s="159"/>
      <c r="Q21" s="160"/>
    </row>
    <row r="22" spans="1:17">
      <c r="A22" s="111" t="s">
        <v>159</v>
      </c>
      <c r="B22" s="115" t="s">
        <v>160</v>
      </c>
      <c r="C22" s="116" t="s">
        <v>161</v>
      </c>
      <c r="D22" s="116" t="s">
        <v>162</v>
      </c>
      <c r="E22" s="114">
        <v>200000</v>
      </c>
      <c r="F22" s="117">
        <v>170695</v>
      </c>
      <c r="G22" s="114">
        <v>2212</v>
      </c>
      <c r="H22" s="114">
        <v>910.97675841360001</v>
      </c>
      <c r="I22" s="118">
        <v>30.166666666666668</v>
      </c>
      <c r="J22" s="114">
        <v>103.52415288461536</v>
      </c>
      <c r="K22" s="114">
        <v>9985.6574999999993</v>
      </c>
      <c r="L22" s="114">
        <v>10089.181652884616</v>
      </c>
      <c r="M22" s="114">
        <v>1069.2172295673083</v>
      </c>
      <c r="N22" s="114">
        <v>440.50999999999965</v>
      </c>
      <c r="P22" s="159"/>
      <c r="Q22" s="160"/>
    </row>
    <row r="23" spans="1:17">
      <c r="A23" s="111" t="s">
        <v>163</v>
      </c>
      <c r="B23" s="115" t="s">
        <v>160</v>
      </c>
      <c r="C23" s="116" t="s">
        <v>164</v>
      </c>
      <c r="D23" s="116" t="s">
        <v>165</v>
      </c>
      <c r="E23" s="114">
        <v>300000</v>
      </c>
      <c r="F23" s="117">
        <v>230521</v>
      </c>
      <c r="G23" s="114">
        <v>600</v>
      </c>
      <c r="H23" s="114">
        <v>4097.3441145185998</v>
      </c>
      <c r="I23" s="118">
        <v>30.083333333333332</v>
      </c>
      <c r="J23" s="114">
        <v>156.35639722007735</v>
      </c>
      <c r="K23" s="114">
        <v>13485.478499999999</v>
      </c>
      <c r="L23" s="114">
        <v>13641.834897220077</v>
      </c>
      <c r="M23" s="114">
        <v>375.62324764478711</v>
      </c>
      <c r="N23" s="114">
        <v>2569.0889000000034</v>
      </c>
      <c r="P23" s="159"/>
      <c r="Q23" s="160"/>
    </row>
    <row r="24" spans="1:17">
      <c r="A24" s="111" t="s">
        <v>166</v>
      </c>
      <c r="B24" s="115" t="s">
        <v>167</v>
      </c>
      <c r="C24" s="116" t="s">
        <v>168</v>
      </c>
      <c r="D24" s="116" t="s">
        <v>169</v>
      </c>
      <c r="E24" s="114">
        <v>600000</v>
      </c>
      <c r="F24" s="117">
        <v>600000</v>
      </c>
      <c r="G24" s="114">
        <v>3260</v>
      </c>
      <c r="H24" s="114">
        <v>7838.8020777156999</v>
      </c>
      <c r="I24" s="118">
        <v>30.083333333333332</v>
      </c>
      <c r="J24" s="114">
        <v>369.34802014925322</v>
      </c>
      <c r="K24" s="114">
        <v>35700</v>
      </c>
      <c r="L24" s="114">
        <v>36069.348020149257</v>
      </c>
      <c r="M24" s="114">
        <v>2124.7646445895498</v>
      </c>
      <c r="N24" s="114">
        <v>5108.3007499999931</v>
      </c>
      <c r="P24" s="159"/>
      <c r="Q24" s="160"/>
    </row>
    <row r="25" spans="1:17">
      <c r="A25" s="111" t="s">
        <v>170</v>
      </c>
      <c r="B25" s="115" t="s">
        <v>171</v>
      </c>
      <c r="C25" s="116" t="s">
        <v>172</v>
      </c>
      <c r="D25" s="116" t="s">
        <v>173</v>
      </c>
      <c r="E25" s="114">
        <v>500000</v>
      </c>
      <c r="F25" s="117">
        <v>500000</v>
      </c>
      <c r="G25" s="114">
        <v>499.63499999999999</v>
      </c>
      <c r="H25" s="114">
        <v>6256.2488130922002</v>
      </c>
      <c r="I25" s="118">
        <v>30.083333333333332</v>
      </c>
      <c r="J25" s="114">
        <v>232.65432468085064</v>
      </c>
      <c r="K25" s="114">
        <v>29799.999999999996</v>
      </c>
      <c r="L25" s="114">
        <v>30032.654324680847</v>
      </c>
      <c r="M25" s="114">
        <v>251.7590171276598</v>
      </c>
      <c r="N25" s="114">
        <v>4575.8182199999901</v>
      </c>
      <c r="P25" s="159"/>
      <c r="Q25" s="160"/>
    </row>
    <row r="26" spans="1:17">
      <c r="A26" s="111" t="s">
        <v>174</v>
      </c>
      <c r="B26" s="115" t="s">
        <v>175</v>
      </c>
      <c r="C26" s="116" t="s">
        <v>176</v>
      </c>
      <c r="D26" s="116" t="s">
        <v>177</v>
      </c>
      <c r="E26" s="114">
        <v>400000</v>
      </c>
      <c r="F26" s="117">
        <v>400000</v>
      </c>
      <c r="G26" s="114">
        <v>989</v>
      </c>
      <c r="H26" s="114">
        <v>5408.2598802127995</v>
      </c>
      <c r="I26" s="118">
        <v>30.166666666666668</v>
      </c>
      <c r="J26" s="114">
        <v>205.95012000000011</v>
      </c>
      <c r="K26" s="114">
        <v>20999.999999999996</v>
      </c>
      <c r="L26" s="114">
        <v>21205.950119999998</v>
      </c>
      <c r="M26" s="114">
        <v>742.62943000000132</v>
      </c>
      <c r="N26" s="114">
        <v>3908.4107800000011</v>
      </c>
      <c r="P26" s="159"/>
      <c r="Q26" s="160"/>
    </row>
    <row r="27" spans="1:17">
      <c r="A27" s="111" t="s">
        <v>178</v>
      </c>
      <c r="B27" s="115" t="s">
        <v>179</v>
      </c>
      <c r="C27" s="116" t="s">
        <v>180</v>
      </c>
      <c r="D27" s="116" t="s">
        <v>181</v>
      </c>
      <c r="E27" s="114">
        <v>500000</v>
      </c>
      <c r="F27" s="117">
        <v>500000</v>
      </c>
      <c r="G27" s="114">
        <v>670</v>
      </c>
      <c r="H27" s="114">
        <v>6890</v>
      </c>
      <c r="I27" s="118">
        <v>30</v>
      </c>
      <c r="J27" s="114">
        <v>252.3468660512826</v>
      </c>
      <c r="K27" s="114">
        <v>28450.000000000015</v>
      </c>
      <c r="L27" s="114">
        <v>28702.346866051299</v>
      </c>
      <c r="M27" s="114">
        <v>482.44490482051242</v>
      </c>
      <c r="N27" s="114">
        <v>4974.5560735384761</v>
      </c>
      <c r="P27" s="159"/>
      <c r="Q27" s="160"/>
    </row>
    <row r="28" spans="1:17">
      <c r="A28" s="111" t="s">
        <v>182</v>
      </c>
      <c r="B28" s="115" t="s">
        <v>183</v>
      </c>
      <c r="C28" s="116" t="s">
        <v>184</v>
      </c>
      <c r="D28" s="116" t="s">
        <v>185</v>
      </c>
      <c r="E28" s="114">
        <v>250000</v>
      </c>
      <c r="F28" s="117">
        <v>250000</v>
      </c>
      <c r="G28" s="114">
        <v>225</v>
      </c>
      <c r="H28" s="114">
        <v>3488</v>
      </c>
      <c r="I28" s="118">
        <v>30</v>
      </c>
      <c r="J28" s="114">
        <v>117.97319999999988</v>
      </c>
      <c r="K28" s="114">
        <v>12812.500000000002</v>
      </c>
      <c r="L28" s="114">
        <v>12930.4732</v>
      </c>
      <c r="M28" s="114">
        <v>171.875</v>
      </c>
      <c r="N28" s="114">
        <v>2531.6774999999966</v>
      </c>
      <c r="P28" s="159"/>
      <c r="Q28" s="160"/>
    </row>
    <row r="29" spans="1:17">
      <c r="A29" s="111" t="s">
        <v>186</v>
      </c>
      <c r="B29" s="115" t="s">
        <v>148</v>
      </c>
      <c r="C29" s="116" t="s">
        <v>187</v>
      </c>
      <c r="D29" s="116" t="s">
        <v>188</v>
      </c>
      <c r="E29" s="114">
        <v>240000</v>
      </c>
      <c r="F29" s="117">
        <v>204431</v>
      </c>
      <c r="G29" s="114">
        <v>2775</v>
      </c>
      <c r="H29" s="114">
        <v>1260.4268872463999</v>
      </c>
      <c r="I29" s="118">
        <v>31.083333333333332</v>
      </c>
      <c r="J29" s="114">
        <v>129.82613172413778</v>
      </c>
      <c r="K29" s="114">
        <v>11550.351500000001</v>
      </c>
      <c r="L29" s="114">
        <v>11680.177631724138</v>
      </c>
      <c r="M29" s="114">
        <v>1477.7350577586196</v>
      </c>
      <c r="N29" s="114">
        <v>675.21495999999888</v>
      </c>
      <c r="P29" s="159"/>
      <c r="Q29" s="160"/>
    </row>
    <row r="30" spans="1:17">
      <c r="A30" s="111" t="s">
        <v>189</v>
      </c>
      <c r="B30" s="115" t="s">
        <v>167</v>
      </c>
      <c r="C30" s="116" t="s">
        <v>190</v>
      </c>
      <c r="D30" s="116" t="s">
        <v>191</v>
      </c>
      <c r="E30" s="114">
        <v>300000</v>
      </c>
      <c r="F30" s="117">
        <v>272444</v>
      </c>
      <c r="G30" s="114">
        <v>5802</v>
      </c>
      <c r="H30" s="114">
        <v>1526.6618999999998</v>
      </c>
      <c r="I30" s="118">
        <v>30</v>
      </c>
      <c r="J30" s="114">
        <v>244.28873333333371</v>
      </c>
      <c r="K30" s="114">
        <v>16210.417999999998</v>
      </c>
      <c r="L30" s="114">
        <v>16454.706733333333</v>
      </c>
      <c r="M30" s="114">
        <v>2949.3495933333379</v>
      </c>
      <c r="N30" s="114">
        <v>776.05359000000067</v>
      </c>
      <c r="P30" s="159"/>
      <c r="Q30" s="160"/>
    </row>
    <row r="31" spans="1:17">
      <c r="A31" s="111" t="s">
        <v>192</v>
      </c>
      <c r="B31" s="115" t="s">
        <v>193</v>
      </c>
      <c r="C31" s="116" t="s">
        <v>194</v>
      </c>
      <c r="D31" s="116" t="s">
        <v>195</v>
      </c>
      <c r="E31" s="114">
        <v>600000</v>
      </c>
      <c r="F31" s="117">
        <v>600000</v>
      </c>
      <c r="G31" s="114">
        <v>1482</v>
      </c>
      <c r="H31" s="114">
        <v>8250</v>
      </c>
      <c r="I31" s="118">
        <v>30.166666666666668</v>
      </c>
      <c r="J31" s="114">
        <v>318.52271810126632</v>
      </c>
      <c r="K31" s="114">
        <v>24750</v>
      </c>
      <c r="L31" s="114">
        <v>25068.522718101267</v>
      </c>
      <c r="M31" s="114">
        <v>1158.5793152215181</v>
      </c>
      <c r="N31" s="114">
        <v>6353.2481200000111</v>
      </c>
      <c r="P31" s="159"/>
      <c r="Q31" s="160"/>
    </row>
    <row r="32" spans="1:17">
      <c r="A32" s="111" t="s">
        <v>196</v>
      </c>
      <c r="B32" s="115" t="s">
        <v>197</v>
      </c>
      <c r="C32" s="116" t="s">
        <v>198</v>
      </c>
      <c r="D32" s="116" t="s">
        <v>199</v>
      </c>
      <c r="E32" s="114">
        <v>400000</v>
      </c>
      <c r="F32" s="117">
        <v>400000</v>
      </c>
      <c r="G32" s="114">
        <v>1984</v>
      </c>
      <c r="H32" s="114">
        <v>5700</v>
      </c>
      <c r="I32" s="118">
        <v>30</v>
      </c>
      <c r="J32" s="114">
        <v>240.96783840735026</v>
      </c>
      <c r="K32" s="114">
        <v>15199.999999999998</v>
      </c>
      <c r="L32" s="114">
        <v>15440.967838407349</v>
      </c>
      <c r="M32" s="114">
        <v>1617.5107805053576</v>
      </c>
      <c r="N32" s="114">
        <v>4276.1609338744192</v>
      </c>
      <c r="P32" s="159"/>
      <c r="Q32" s="160"/>
    </row>
    <row r="33" spans="1:17">
      <c r="A33" s="111" t="s">
        <v>200</v>
      </c>
      <c r="B33" s="115" t="s">
        <v>201</v>
      </c>
      <c r="C33" s="116" t="s">
        <v>202</v>
      </c>
      <c r="D33" s="116" t="s">
        <v>203</v>
      </c>
      <c r="E33" s="114">
        <v>600000</v>
      </c>
      <c r="F33" s="117">
        <v>600000</v>
      </c>
      <c r="G33" s="114">
        <v>840</v>
      </c>
      <c r="H33" s="114">
        <v>8150</v>
      </c>
      <c r="I33" s="118">
        <v>30.083333333333332</v>
      </c>
      <c r="J33" s="114">
        <v>290.27771999999936</v>
      </c>
      <c r="K33" s="114">
        <v>24300</v>
      </c>
      <c r="L33" s="114">
        <v>24590.277719999998</v>
      </c>
      <c r="M33" s="114">
        <v>667.81169000000011</v>
      </c>
      <c r="N33" s="114">
        <v>6274.6637799999862</v>
      </c>
      <c r="P33" s="159"/>
      <c r="Q33" s="160"/>
    </row>
    <row r="34" spans="1:17">
      <c r="A34" s="111" t="s">
        <v>204</v>
      </c>
      <c r="B34" s="115" t="s">
        <v>201</v>
      </c>
      <c r="C34" s="116" t="s">
        <v>205</v>
      </c>
      <c r="D34" s="116" t="s">
        <v>206</v>
      </c>
      <c r="E34" s="114">
        <v>500000</v>
      </c>
      <c r="F34" s="117">
        <v>500000</v>
      </c>
      <c r="G34" s="114">
        <v>1650</v>
      </c>
      <c r="H34" s="114">
        <v>6775</v>
      </c>
      <c r="I34" s="118">
        <v>30.083333333333332</v>
      </c>
      <c r="J34" s="114">
        <v>277.57019604017182</v>
      </c>
      <c r="K34" s="114">
        <v>20250</v>
      </c>
      <c r="L34" s="114">
        <v>20527.570196040171</v>
      </c>
      <c r="M34" s="114">
        <v>1439.9670589383079</v>
      </c>
      <c r="N34" s="114">
        <v>5857.8160119512122</v>
      </c>
      <c r="P34" s="159"/>
      <c r="Q34" s="160"/>
    </row>
    <row r="35" spans="1:17">
      <c r="A35" s="111" t="s">
        <v>207</v>
      </c>
      <c r="B35" s="115" t="s">
        <v>208</v>
      </c>
      <c r="C35" s="116" t="s">
        <v>209</v>
      </c>
      <c r="D35" s="116" t="s">
        <v>210</v>
      </c>
      <c r="E35" s="114">
        <v>500000</v>
      </c>
      <c r="F35" s="117">
        <v>500000</v>
      </c>
      <c r="G35" s="114">
        <v>645</v>
      </c>
      <c r="H35" s="114">
        <v>5650</v>
      </c>
      <c r="I35" s="118">
        <v>10.083333333333334</v>
      </c>
      <c r="J35" s="114">
        <v>643.48515807692286</v>
      </c>
      <c r="K35" s="114">
        <v>16249.999999999998</v>
      </c>
      <c r="L35" s="114">
        <v>16893.485158076921</v>
      </c>
      <c r="M35" s="114">
        <v>378.47117999999966</v>
      </c>
      <c r="N35" s="114">
        <v>3428.81600528846</v>
      </c>
      <c r="P35" s="159"/>
      <c r="Q35" s="160"/>
    </row>
    <row r="36" spans="1:17">
      <c r="A36" s="111" t="s">
        <v>211</v>
      </c>
      <c r="B36" s="115" t="s">
        <v>212</v>
      </c>
      <c r="C36" s="116" t="s">
        <v>213</v>
      </c>
      <c r="D36" s="116" t="s">
        <v>214</v>
      </c>
      <c r="E36" s="114">
        <v>600000</v>
      </c>
      <c r="F36" s="117">
        <v>600000</v>
      </c>
      <c r="G36" s="114">
        <v>0</v>
      </c>
      <c r="H36" s="114">
        <v>6600</v>
      </c>
      <c r="I36" s="118">
        <v>10</v>
      </c>
      <c r="J36" s="114">
        <v>524.8632788763698</v>
      </c>
      <c r="K36" s="114">
        <v>18000</v>
      </c>
      <c r="L36" s="114">
        <v>18524.863278876372</v>
      </c>
      <c r="M36" s="114">
        <v>0</v>
      </c>
      <c r="N36" s="114">
        <v>3870.8666817132266</v>
      </c>
      <c r="P36" s="159"/>
      <c r="Q36" s="160"/>
    </row>
    <row r="37" spans="1:17">
      <c r="A37" s="111" t="s">
        <v>215</v>
      </c>
      <c r="B37" s="115" t="s">
        <v>216</v>
      </c>
      <c r="C37" s="116" t="s">
        <v>217</v>
      </c>
      <c r="D37" s="116" t="s">
        <v>218</v>
      </c>
      <c r="E37" s="114">
        <v>300000</v>
      </c>
      <c r="F37" s="117">
        <v>300000</v>
      </c>
      <c r="G37" s="114">
        <v>0</v>
      </c>
      <c r="H37" s="114">
        <v>2625</v>
      </c>
      <c r="I37" s="118">
        <v>30</v>
      </c>
      <c r="J37" s="114">
        <v>87.49206692142522</v>
      </c>
      <c r="K37" s="114">
        <v>15690.000000000002</v>
      </c>
      <c r="L37" s="114">
        <v>15777.492066921428</v>
      </c>
      <c r="M37" s="114">
        <v>0</v>
      </c>
      <c r="N37" s="114">
        <v>2424.2593542811569</v>
      </c>
      <c r="P37" s="159"/>
      <c r="Q37" s="160"/>
    </row>
    <row r="38" spans="1:17">
      <c r="A38" s="111" t="s">
        <v>219</v>
      </c>
      <c r="B38" s="162">
        <v>4.1000000000000002E-2</v>
      </c>
      <c r="C38" s="116" t="s">
        <v>221</v>
      </c>
      <c r="D38" s="116" t="s">
        <v>222</v>
      </c>
      <c r="E38" s="114">
        <v>500000</v>
      </c>
      <c r="F38" s="117">
        <v>423076.92307692306</v>
      </c>
      <c r="G38" s="114">
        <v>0</v>
      </c>
      <c r="H38" s="114">
        <v>4375</v>
      </c>
      <c r="I38" s="118">
        <v>30</v>
      </c>
      <c r="J38" s="114">
        <v>127.98925152247594</v>
      </c>
      <c r="K38" s="146">
        <f>F38*B38</f>
        <v>17346.153846153848</v>
      </c>
      <c r="L38" s="146">
        <f>J38+K38</f>
        <v>17474.143097676322</v>
      </c>
      <c r="M38" s="114">
        <v>0</v>
      </c>
      <c r="N38" s="114">
        <v>3645.0354162403669</v>
      </c>
      <c r="P38" s="159"/>
      <c r="Q38" s="160"/>
    </row>
    <row r="39" spans="1:17">
      <c r="A39" s="111" t="s">
        <v>223</v>
      </c>
      <c r="P39" s="161"/>
      <c r="Q39" s="161"/>
    </row>
    <row r="40" spans="1:17">
      <c r="A40" s="111" t="s">
        <v>224</v>
      </c>
      <c r="B40" s="112" t="s">
        <v>225</v>
      </c>
      <c r="C40" s="113"/>
      <c r="D40" s="113"/>
      <c r="E40" s="113"/>
      <c r="F40" s="113"/>
      <c r="G40" s="113"/>
      <c r="H40" s="113"/>
      <c r="I40" s="113"/>
      <c r="J40" s="114"/>
      <c r="K40" s="113"/>
      <c r="L40" s="114"/>
      <c r="M40" s="113"/>
      <c r="N40" s="113"/>
      <c r="P40" s="161"/>
      <c r="Q40" s="161"/>
    </row>
    <row r="41" spans="1:17">
      <c r="A41" s="111" t="s">
        <v>226</v>
      </c>
      <c r="B41" s="115" t="s">
        <v>227</v>
      </c>
      <c r="C41" s="116" t="s">
        <v>228</v>
      </c>
      <c r="D41" s="116" t="s">
        <v>229</v>
      </c>
      <c r="E41" s="114">
        <v>288000</v>
      </c>
      <c r="F41" s="117">
        <v>100426.43799999999</v>
      </c>
      <c r="G41" s="114">
        <v>96</v>
      </c>
      <c r="H41" s="114">
        <v>3334</v>
      </c>
      <c r="I41" s="118">
        <v>12.25</v>
      </c>
      <c r="J41" s="114">
        <v>279.98711999999983</v>
      </c>
      <c r="K41" s="114">
        <v>5300.8283296880409</v>
      </c>
      <c r="L41" s="114">
        <v>5580.8154496880406</v>
      </c>
      <c r="M41" s="114">
        <v>4.3046900000000017</v>
      </c>
      <c r="N41" s="114">
        <v>299.01468999999986</v>
      </c>
      <c r="P41" s="161"/>
      <c r="Q41" s="161"/>
    </row>
    <row r="42" spans="1:17" ht="15.75" thickBot="1">
      <c r="A42" s="120"/>
      <c r="B42" s="121"/>
      <c r="C42" s="122"/>
      <c r="D42" s="122"/>
      <c r="E42" s="123"/>
      <c r="F42" s="124"/>
      <c r="G42" s="123"/>
      <c r="H42" s="123"/>
      <c r="I42" s="125"/>
      <c r="J42" s="123"/>
      <c r="K42" s="123"/>
      <c r="L42" s="123"/>
      <c r="M42" s="123"/>
      <c r="N42" s="123"/>
      <c r="P42" s="161"/>
      <c r="Q42" s="161"/>
    </row>
    <row r="43" spans="1:17">
      <c r="A43" s="126"/>
      <c r="B43" s="127" t="s">
        <v>230</v>
      </c>
      <c r="C43" s="128"/>
      <c r="D43" s="128"/>
      <c r="E43" s="129"/>
      <c r="F43" s="130"/>
      <c r="G43" s="129"/>
      <c r="H43" s="129"/>
      <c r="I43" s="131"/>
      <c r="J43" s="129"/>
      <c r="K43" s="129"/>
      <c r="L43" s="129"/>
      <c r="M43" s="129"/>
      <c r="N43" s="129" t="s">
        <v>231</v>
      </c>
      <c r="P43" s="161"/>
      <c r="Q43" s="161"/>
    </row>
    <row r="44" spans="1:17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</row>
    <row r="45" spans="1:17">
      <c r="A45" s="126" t="s">
        <v>122</v>
      </c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</row>
    <row r="46" spans="1:17">
      <c r="A46" s="111" t="s">
        <v>124</v>
      </c>
      <c r="B46" s="112" t="s">
        <v>232</v>
      </c>
      <c r="C46" s="113"/>
      <c r="D46" s="113"/>
      <c r="E46" s="113"/>
      <c r="F46" s="113"/>
      <c r="G46" s="113"/>
      <c r="H46" s="113"/>
      <c r="I46" s="113"/>
      <c r="J46" s="114"/>
      <c r="K46" s="113"/>
      <c r="L46" s="114"/>
      <c r="M46" s="113"/>
      <c r="N46" s="113"/>
    </row>
    <row r="47" spans="1:17">
      <c r="A47" s="111" t="s">
        <v>128</v>
      </c>
      <c r="B47" s="115" t="s">
        <v>233</v>
      </c>
      <c r="C47" s="116" t="s">
        <v>213</v>
      </c>
      <c r="D47" s="116" t="s">
        <v>126</v>
      </c>
      <c r="E47" s="114">
        <v>600000</v>
      </c>
      <c r="F47" s="117">
        <v>507692.30769230769</v>
      </c>
      <c r="G47" s="114">
        <v>0</v>
      </c>
      <c r="H47" s="114">
        <v>32</v>
      </c>
      <c r="I47" s="118">
        <v>3</v>
      </c>
      <c r="J47" s="114">
        <v>874.35847964499249</v>
      </c>
      <c r="K47" s="114">
        <v>8199.2999999999993</v>
      </c>
      <c r="L47" s="114">
        <v>9073.6584796449933</v>
      </c>
      <c r="M47" s="114">
        <v>0</v>
      </c>
      <c r="N47" s="114">
        <v>3.7610000000000001</v>
      </c>
    </row>
    <row r="48" spans="1:17">
      <c r="A48" s="111" t="s">
        <v>132</v>
      </c>
    </row>
    <row r="49" spans="1:14">
      <c r="A49" s="111" t="s">
        <v>135</v>
      </c>
      <c r="B49" s="112" t="s">
        <v>234</v>
      </c>
      <c r="C49" s="113"/>
      <c r="D49" s="113"/>
      <c r="E49" s="113"/>
      <c r="F49" s="113"/>
      <c r="G49" s="113"/>
      <c r="H49" s="113"/>
      <c r="I49" s="113"/>
      <c r="J49" s="114"/>
      <c r="K49" s="113"/>
      <c r="L49" s="114"/>
      <c r="M49" s="113"/>
      <c r="N49" s="113"/>
    </row>
    <row r="50" spans="1:14">
      <c r="A50" s="111" t="s">
        <v>139</v>
      </c>
      <c r="B50" s="115" t="s">
        <v>235</v>
      </c>
      <c r="C50" s="116" t="s">
        <v>236</v>
      </c>
      <c r="D50" s="116" t="s">
        <v>237</v>
      </c>
      <c r="E50" s="114">
        <v>85000</v>
      </c>
      <c r="F50" s="117">
        <v>85000</v>
      </c>
      <c r="G50" s="114">
        <v>0</v>
      </c>
      <c r="H50" s="114">
        <v>720</v>
      </c>
      <c r="I50" s="118">
        <v>30</v>
      </c>
      <c r="J50" s="114">
        <v>16.482394382022488</v>
      </c>
      <c r="K50" s="114">
        <v>1352.6970833333335</v>
      </c>
      <c r="L50" s="114">
        <v>1369.1794777153561</v>
      </c>
      <c r="M50" s="114">
        <v>0</v>
      </c>
      <c r="N50" s="114">
        <v>580</v>
      </c>
    </row>
    <row r="51" spans="1:14">
      <c r="A51" s="111" t="s">
        <v>143</v>
      </c>
      <c r="B51" s="115" t="s">
        <v>238</v>
      </c>
      <c r="C51" s="116" t="s">
        <v>239</v>
      </c>
      <c r="D51" s="116" t="s">
        <v>240</v>
      </c>
      <c r="E51" s="114">
        <v>15000</v>
      </c>
      <c r="F51" s="117">
        <v>15000</v>
      </c>
      <c r="G51" s="114">
        <v>0</v>
      </c>
      <c r="H51" s="114">
        <v>520</v>
      </c>
      <c r="I51" s="118">
        <v>31.5</v>
      </c>
      <c r="J51" s="114">
        <v>16.501559999999969</v>
      </c>
      <c r="K51" s="114">
        <v>249.96125000000001</v>
      </c>
      <c r="L51" s="114">
        <v>266.46280999999993</v>
      </c>
      <c r="M51" s="114">
        <v>0</v>
      </c>
      <c r="N51" s="114">
        <v>75.632149999999882</v>
      </c>
    </row>
    <row r="52" spans="1:14">
      <c r="A52" s="111" t="s">
        <v>147</v>
      </c>
      <c r="B52" s="115" t="s">
        <v>238</v>
      </c>
      <c r="C52" s="116" t="s">
        <v>241</v>
      </c>
      <c r="D52" s="116" t="s">
        <v>242</v>
      </c>
      <c r="E52" s="114">
        <v>45750</v>
      </c>
      <c r="F52" s="117">
        <v>45750</v>
      </c>
      <c r="G52" s="114">
        <v>0</v>
      </c>
      <c r="H52" s="114">
        <v>711</v>
      </c>
      <c r="I52" s="118">
        <v>27.5</v>
      </c>
      <c r="J52" s="114">
        <v>25.844039999999982</v>
      </c>
      <c r="K52" s="114">
        <v>773.81931250000002</v>
      </c>
      <c r="L52" s="114">
        <v>799.66335250000009</v>
      </c>
      <c r="M52" s="114">
        <v>0</v>
      </c>
      <c r="N52" s="114">
        <v>75.378449999999972</v>
      </c>
    </row>
    <row r="53" spans="1:14">
      <c r="A53" s="111" t="s">
        <v>151</v>
      </c>
      <c r="B53" s="115" t="s">
        <v>243</v>
      </c>
      <c r="C53" s="116" t="s">
        <v>244</v>
      </c>
      <c r="D53" s="116" t="s">
        <v>245</v>
      </c>
      <c r="E53" s="114">
        <v>45960</v>
      </c>
      <c r="F53" s="117">
        <v>45960</v>
      </c>
      <c r="G53" s="114">
        <v>0</v>
      </c>
      <c r="H53" s="114">
        <v>397</v>
      </c>
      <c r="I53" s="118">
        <v>30.5</v>
      </c>
      <c r="J53" s="114">
        <v>13.006567850467263</v>
      </c>
      <c r="K53" s="114">
        <v>777.3712700000001</v>
      </c>
      <c r="L53" s="114">
        <v>790.37783785046747</v>
      </c>
      <c r="M53" s="114">
        <v>0</v>
      </c>
      <c r="N53" s="114">
        <v>80.207168411214809</v>
      </c>
    </row>
    <row r="54" spans="1:14">
      <c r="A54" s="111" t="s">
        <v>155</v>
      </c>
      <c r="B54" s="115" t="s">
        <v>246</v>
      </c>
      <c r="C54" s="116" t="s">
        <v>244</v>
      </c>
      <c r="D54" s="116" t="s">
        <v>245</v>
      </c>
      <c r="E54" s="114">
        <v>16510</v>
      </c>
      <c r="F54" s="117">
        <v>16510</v>
      </c>
      <c r="G54" s="114">
        <v>0</v>
      </c>
      <c r="H54" s="114">
        <v>132</v>
      </c>
      <c r="I54" s="118">
        <v>30.5</v>
      </c>
      <c r="J54" s="114">
        <v>4.3203600000000062</v>
      </c>
      <c r="K54" s="114">
        <v>279.25151583333331</v>
      </c>
      <c r="L54" s="114">
        <v>283.57187583333331</v>
      </c>
      <c r="M54" s="114">
        <v>0</v>
      </c>
      <c r="N54" s="114">
        <v>26.642220000000034</v>
      </c>
    </row>
    <row r="55" spans="1:14">
      <c r="A55" s="111" t="s">
        <v>159</v>
      </c>
      <c r="B55" s="115" t="s">
        <v>247</v>
      </c>
      <c r="C55" s="116" t="s">
        <v>244</v>
      </c>
      <c r="D55" s="116" t="s">
        <v>245</v>
      </c>
      <c r="E55" s="114">
        <v>4480</v>
      </c>
      <c r="F55" s="117">
        <v>4480</v>
      </c>
      <c r="G55" s="114">
        <v>0</v>
      </c>
      <c r="H55" s="114">
        <v>83</v>
      </c>
      <c r="I55" s="118">
        <v>30.5</v>
      </c>
      <c r="J55" s="114">
        <v>2.71692</v>
      </c>
      <c r="K55" s="114">
        <v>75.775093333333331</v>
      </c>
      <c r="L55" s="114">
        <v>78.492013333333333</v>
      </c>
      <c r="M55" s="114">
        <v>0</v>
      </c>
      <c r="N55" s="114">
        <v>16.754340000000003</v>
      </c>
    </row>
    <row r="56" spans="1:14">
      <c r="A56" s="111" t="s">
        <v>163</v>
      </c>
      <c r="B56" s="115" t="s">
        <v>243</v>
      </c>
      <c r="C56" s="116" t="s">
        <v>248</v>
      </c>
      <c r="D56" s="116" t="s">
        <v>249</v>
      </c>
      <c r="E56" s="114">
        <v>28300</v>
      </c>
      <c r="F56" s="117">
        <v>28300</v>
      </c>
      <c r="G56" s="114">
        <v>0</v>
      </c>
      <c r="H56" s="114">
        <v>371</v>
      </c>
      <c r="I56" s="118">
        <v>35</v>
      </c>
      <c r="J56" s="114">
        <v>10.59587999999998</v>
      </c>
      <c r="K56" s="114">
        <v>478.66855833333329</v>
      </c>
      <c r="L56" s="114">
        <v>489.26443833333332</v>
      </c>
      <c r="M56" s="114">
        <v>0</v>
      </c>
      <c r="N56" s="114">
        <v>93.596939999999847</v>
      </c>
    </row>
    <row r="57" spans="1:14">
      <c r="A57" s="111" t="s">
        <v>166</v>
      </c>
      <c r="B57" s="115" t="s">
        <v>238</v>
      </c>
      <c r="C57" s="116" t="s">
        <v>250</v>
      </c>
      <c r="D57" s="116" t="s">
        <v>251</v>
      </c>
      <c r="E57" s="114">
        <v>8635</v>
      </c>
      <c r="F57" s="117">
        <v>8635</v>
      </c>
      <c r="G57" s="114">
        <v>0</v>
      </c>
      <c r="H57" s="114">
        <v>182</v>
      </c>
      <c r="I57" s="118">
        <v>25.083333333333332</v>
      </c>
      <c r="J57" s="114">
        <v>7.26</v>
      </c>
      <c r="K57" s="114">
        <v>143.89435958333334</v>
      </c>
      <c r="L57" s="114">
        <v>151.15435958333333</v>
      </c>
      <c r="M57" s="114">
        <v>0</v>
      </c>
      <c r="N57" s="114">
        <v>12.705</v>
      </c>
    </row>
    <row r="58" spans="1:14">
      <c r="A58" s="111" t="s">
        <v>170</v>
      </c>
      <c r="B58" s="115" t="s">
        <v>243</v>
      </c>
      <c r="C58" s="116" t="s">
        <v>252</v>
      </c>
      <c r="D58" s="116" t="s">
        <v>253</v>
      </c>
      <c r="E58" s="114">
        <v>51940</v>
      </c>
      <c r="F58" s="117">
        <v>51940</v>
      </c>
      <c r="G58" s="114">
        <v>0</v>
      </c>
      <c r="H58" s="114">
        <v>345</v>
      </c>
      <c r="I58" s="118">
        <v>33.916666666666664</v>
      </c>
      <c r="J58" s="114">
        <v>10.182720000000007</v>
      </c>
      <c r="K58" s="114">
        <v>865.53248833333339</v>
      </c>
      <c r="L58" s="114">
        <v>875.71520833333341</v>
      </c>
      <c r="M58" s="114">
        <v>0</v>
      </c>
      <c r="N58" s="114">
        <v>110.31280000000007</v>
      </c>
    </row>
    <row r="59" spans="1:14">
      <c r="A59" s="111" t="s">
        <v>174</v>
      </c>
      <c r="B59" s="115" t="s">
        <v>254</v>
      </c>
      <c r="C59" s="116" t="s">
        <v>255</v>
      </c>
      <c r="D59" s="116" t="s">
        <v>256</v>
      </c>
      <c r="E59" s="114">
        <v>95700</v>
      </c>
      <c r="F59" s="117">
        <v>95700</v>
      </c>
      <c r="G59" s="114">
        <v>0</v>
      </c>
      <c r="H59" s="114">
        <v>499</v>
      </c>
      <c r="I59" s="118">
        <v>22.25</v>
      </c>
      <c r="J59" s="114">
        <v>22.489170370370363</v>
      </c>
      <c r="K59" s="114">
        <v>1618.6777750000001</v>
      </c>
      <c r="L59" s="114">
        <v>1641.1669453703705</v>
      </c>
      <c r="M59" s="114">
        <v>0</v>
      </c>
      <c r="N59" s="114">
        <v>89.956681481481439</v>
      </c>
    </row>
    <row r="60" spans="1:14">
      <c r="A60" s="111" t="s">
        <v>178</v>
      </c>
      <c r="B60" s="115" t="s">
        <v>257</v>
      </c>
      <c r="C60" s="116" t="s">
        <v>258</v>
      </c>
      <c r="D60" s="116" t="s">
        <v>259</v>
      </c>
      <c r="E60" s="114">
        <v>242210</v>
      </c>
      <c r="F60" s="117">
        <v>242210</v>
      </c>
      <c r="G60" s="114">
        <v>0</v>
      </c>
      <c r="H60" s="114">
        <v>570</v>
      </c>
      <c r="I60" s="118">
        <v>28</v>
      </c>
      <c r="J60" s="114">
        <v>20.368919999999996</v>
      </c>
      <c r="K60" s="114">
        <v>4036.2076241666668</v>
      </c>
      <c r="L60" s="114">
        <v>4056.5765441666667</v>
      </c>
      <c r="M60" s="114">
        <v>0</v>
      </c>
      <c r="N60" s="114">
        <v>207.08401999999987</v>
      </c>
    </row>
    <row r="61" spans="1:14">
      <c r="A61" s="111" t="s">
        <v>182</v>
      </c>
      <c r="B61" s="115" t="s">
        <v>257</v>
      </c>
      <c r="C61" s="116" t="s">
        <v>260</v>
      </c>
      <c r="D61" s="116" t="s">
        <v>261</v>
      </c>
      <c r="E61" s="114">
        <v>78785</v>
      </c>
      <c r="F61" s="117">
        <v>78785</v>
      </c>
      <c r="G61" s="114">
        <v>0</v>
      </c>
      <c r="H61" s="114">
        <v>442</v>
      </c>
      <c r="I61" s="118">
        <v>21</v>
      </c>
      <c r="J61" s="114">
        <v>21.05424000000005</v>
      </c>
      <c r="K61" s="114">
        <v>1312.8798054166664</v>
      </c>
      <c r="L61" s="114">
        <v>1333.9340454166663</v>
      </c>
      <c r="M61" s="114">
        <v>0</v>
      </c>
      <c r="N61" s="114">
        <v>122.81640000000029</v>
      </c>
    </row>
    <row r="62" spans="1:14" ht="15.75" thickBot="1">
      <c r="A62" s="111" t="s">
        <v>186</v>
      </c>
      <c r="B62" s="112" t="s">
        <v>262</v>
      </c>
      <c r="C62" s="116" t="s">
        <v>263</v>
      </c>
      <c r="D62" s="116" t="s">
        <v>263</v>
      </c>
      <c r="E62" s="114">
        <v>0</v>
      </c>
      <c r="F62" s="117">
        <v>0</v>
      </c>
      <c r="G62" s="114">
        <v>0</v>
      </c>
      <c r="H62" s="114">
        <v>0</v>
      </c>
      <c r="I62" s="118">
        <v>0</v>
      </c>
      <c r="J62" s="114">
        <v>0</v>
      </c>
      <c r="K62" s="114">
        <v>0</v>
      </c>
      <c r="L62" s="114">
        <v>0</v>
      </c>
      <c r="M62" s="114">
        <v>0</v>
      </c>
      <c r="N62" s="114">
        <v>86454.477148323553</v>
      </c>
    </row>
    <row r="63" spans="1:14" ht="15.75" thickTop="1">
      <c r="A63" s="111" t="s">
        <v>189</v>
      </c>
      <c r="B63" s="112" t="s">
        <v>264</v>
      </c>
      <c r="C63" s="113">
        <v>0</v>
      </c>
      <c r="D63" s="113">
        <v>0</v>
      </c>
      <c r="E63" s="132">
        <v>13146270</v>
      </c>
      <c r="F63" s="132">
        <v>11839466.668769231</v>
      </c>
      <c r="G63" s="132">
        <v>50094.635000000002</v>
      </c>
      <c r="H63" s="132">
        <v>126014.51874151851</v>
      </c>
      <c r="I63" s="113">
        <v>0</v>
      </c>
      <c r="J63" s="132">
        <v>7904.0416204422818</v>
      </c>
      <c r="K63" s="133">
        <f>SUM(K13:K61)</f>
        <v>514070.21631167526</v>
      </c>
      <c r="L63" s="133">
        <f>SUM(L13:L61)</f>
        <v>521974.25793211756</v>
      </c>
      <c r="M63" s="132">
        <v>29611.585477766461</v>
      </c>
      <c r="N63" s="132">
        <f>SUM(N13:N62)</f>
        <v>169788.30963526992</v>
      </c>
    </row>
    <row r="64" spans="1:14">
      <c r="A64" s="111" t="s">
        <v>192</v>
      </c>
      <c r="B64" s="112" t="s">
        <v>265</v>
      </c>
      <c r="C64" s="134">
        <v>0</v>
      </c>
      <c r="D64" s="116" t="s">
        <v>263</v>
      </c>
      <c r="E64" s="114">
        <v>0</v>
      </c>
      <c r="F64" s="117"/>
      <c r="G64" s="114">
        <v>0</v>
      </c>
      <c r="H64" s="114">
        <v>0</v>
      </c>
      <c r="I64" s="118">
        <v>0</v>
      </c>
      <c r="J64" s="114">
        <v>0</v>
      </c>
      <c r="K64" s="114">
        <v>0</v>
      </c>
      <c r="L64" s="114">
        <v>0</v>
      </c>
      <c r="M64" s="114">
        <v>0</v>
      </c>
      <c r="N64" s="114">
        <v>0</v>
      </c>
    </row>
    <row r="65" spans="1:14" ht="15.75" thickBot="1">
      <c r="A65" s="111" t="s">
        <v>196</v>
      </c>
      <c r="B65" s="112" t="s">
        <v>266</v>
      </c>
      <c r="C65" s="116" t="s">
        <v>263</v>
      </c>
      <c r="D65" s="116" t="s">
        <v>263</v>
      </c>
      <c r="E65" s="114">
        <v>0</v>
      </c>
      <c r="F65" s="135">
        <f>-SUM(M63:N63)</f>
        <v>-199399.89511303639</v>
      </c>
      <c r="G65" s="114">
        <v>0</v>
      </c>
      <c r="H65" s="114">
        <v>0</v>
      </c>
      <c r="I65" s="118">
        <v>0</v>
      </c>
      <c r="J65" s="114">
        <v>0</v>
      </c>
      <c r="K65" s="114">
        <v>0</v>
      </c>
      <c r="L65" s="114">
        <v>0</v>
      </c>
      <c r="M65" s="114">
        <v>0</v>
      </c>
      <c r="N65" s="114">
        <v>0</v>
      </c>
    </row>
    <row r="66" spans="1:14" ht="15.75" thickTop="1">
      <c r="A66" s="111" t="s">
        <v>200</v>
      </c>
      <c r="B66" s="112" t="s">
        <v>267</v>
      </c>
      <c r="C66" s="113">
        <v>0</v>
      </c>
      <c r="D66" s="113">
        <v>0</v>
      </c>
      <c r="E66" s="113">
        <v>0</v>
      </c>
      <c r="F66" s="136">
        <f>SUM(F63:F65)</f>
        <v>11640066.773656195</v>
      </c>
      <c r="G66" s="113">
        <v>0</v>
      </c>
      <c r="H66" s="113">
        <v>0</v>
      </c>
      <c r="I66" s="113">
        <v>0</v>
      </c>
      <c r="J66" s="113">
        <v>0</v>
      </c>
      <c r="K66" s="113">
        <v>0</v>
      </c>
      <c r="L66" s="113">
        <v>0</v>
      </c>
      <c r="M66" s="113">
        <v>0</v>
      </c>
      <c r="N66" s="113">
        <v>0</v>
      </c>
    </row>
    <row r="67" spans="1:14" ht="15.75" thickBot="1">
      <c r="A67" s="111" t="s">
        <v>204</v>
      </c>
      <c r="B67" s="112" t="s">
        <v>268</v>
      </c>
      <c r="C67" s="134">
        <v>0</v>
      </c>
      <c r="D67" s="113">
        <v>0</v>
      </c>
      <c r="E67" s="113">
        <v>0</v>
      </c>
      <c r="F67" s="137">
        <v>4.8216770056823441E-2</v>
      </c>
      <c r="G67" s="113">
        <v>0</v>
      </c>
      <c r="H67" s="113">
        <v>0</v>
      </c>
      <c r="I67" s="113">
        <v>0</v>
      </c>
      <c r="J67" s="113">
        <v>0</v>
      </c>
      <c r="K67" s="113">
        <v>0</v>
      </c>
      <c r="L67" s="113">
        <v>0</v>
      </c>
      <c r="M67" s="113">
        <v>0</v>
      </c>
      <c r="N67" s="113"/>
    </row>
    <row r="68" spans="1:14" ht="15.75" thickTop="1">
      <c r="A68" s="111" t="s">
        <v>207</v>
      </c>
    </row>
    <row r="69" spans="1:14">
      <c r="A69" s="111" t="s">
        <v>211</v>
      </c>
      <c r="B69" s="138" t="s">
        <v>269</v>
      </c>
      <c r="C69" s="119" t="s">
        <v>270</v>
      </c>
      <c r="D69" s="119"/>
      <c r="E69" s="119"/>
      <c r="F69" s="139"/>
      <c r="G69" s="139">
        <f>F63-F41</f>
        <v>11739040.230769232</v>
      </c>
    </row>
    <row r="70" spans="1:14">
      <c r="A70" s="111" t="s">
        <v>215</v>
      </c>
      <c r="B70" s="119"/>
      <c r="C70" s="119" t="s">
        <v>271</v>
      </c>
      <c r="D70" s="119"/>
      <c r="E70" s="119"/>
      <c r="F70" s="140"/>
      <c r="G70" s="140">
        <f>F65+M41+N41</f>
        <v>-199096.57573303638</v>
      </c>
    </row>
    <row r="71" spans="1:14">
      <c r="A71" s="111"/>
      <c r="B71" s="112" t="s">
        <v>272</v>
      </c>
      <c r="C71" s="112" t="s">
        <v>272</v>
      </c>
      <c r="D71" s="119"/>
      <c r="E71" s="119"/>
      <c r="F71" s="119"/>
      <c r="G71" s="141">
        <v>-4630</v>
      </c>
    </row>
    <row r="72" spans="1:14">
      <c r="A72" s="111"/>
      <c r="B72" s="119"/>
      <c r="C72" s="119" t="s">
        <v>267</v>
      </c>
      <c r="D72" s="119"/>
      <c r="E72" s="119"/>
      <c r="F72" s="119"/>
      <c r="G72" s="139">
        <f>SUM(G69:G71)</f>
        <v>11535313.655036196</v>
      </c>
    </row>
    <row r="73" spans="1:14">
      <c r="A73" s="111"/>
      <c r="B73" s="119"/>
      <c r="C73" s="119"/>
      <c r="D73" s="119"/>
      <c r="E73" s="119"/>
      <c r="F73" s="119"/>
      <c r="G73" s="119"/>
    </row>
    <row r="74" spans="1:14">
      <c r="A74" s="111"/>
      <c r="B74" s="119"/>
      <c r="C74" s="119" t="s">
        <v>273</v>
      </c>
      <c r="D74" s="119"/>
      <c r="E74" s="119"/>
      <c r="F74" s="119"/>
      <c r="G74" s="139">
        <f>L63-L41</f>
        <v>516393.4424824295</v>
      </c>
    </row>
    <row r="75" spans="1:14">
      <c r="A75" s="111"/>
      <c r="B75" s="119"/>
      <c r="C75" s="119" t="s">
        <v>274</v>
      </c>
      <c r="D75" s="119"/>
      <c r="E75" s="119"/>
      <c r="F75" s="119"/>
      <c r="G75" s="141">
        <v>5947</v>
      </c>
    </row>
    <row r="76" spans="1:14">
      <c r="A76" s="111"/>
      <c r="B76" s="119"/>
      <c r="C76" s="119"/>
      <c r="D76" s="119"/>
      <c r="E76" s="119"/>
      <c r="F76" s="119"/>
      <c r="G76" s="139">
        <f>SUM(G74:G75)</f>
        <v>522340.4424824295</v>
      </c>
    </row>
    <row r="77" spans="1:14">
      <c r="A77" s="111"/>
      <c r="B77" s="119"/>
      <c r="C77" s="119"/>
      <c r="D77" s="119"/>
      <c r="E77" s="119"/>
      <c r="F77" s="119"/>
      <c r="G77" s="139"/>
    </row>
    <row r="78" spans="1:14" ht="15.75" thickBot="1">
      <c r="A78" s="111"/>
      <c r="B78" s="119"/>
      <c r="C78" s="112" t="s">
        <v>268</v>
      </c>
      <c r="D78" s="119"/>
      <c r="E78" s="119"/>
      <c r="F78" s="119"/>
      <c r="G78" s="142">
        <f>G76/G72</f>
        <v>4.5281858656212717E-2</v>
      </c>
    </row>
    <row r="79" spans="1:14" ht="15.75" thickTop="1">
      <c r="A79" s="111"/>
    </row>
    <row r="80" spans="1:14">
      <c r="A80" s="111"/>
    </row>
    <row r="81" spans="1:14">
      <c r="A81" s="111"/>
    </row>
    <row r="82" spans="1:14">
      <c r="A82" s="111"/>
    </row>
    <row r="83" spans="1:14">
      <c r="A83" s="111"/>
    </row>
    <row r="84" spans="1:14">
      <c r="A84" s="111"/>
    </row>
    <row r="85" spans="1:14">
      <c r="A85" s="111" t="s">
        <v>219</v>
      </c>
    </row>
    <row r="86" spans="1:14">
      <c r="A86" s="111" t="s">
        <v>223</v>
      </c>
    </row>
    <row r="87" spans="1:14">
      <c r="A87" s="111" t="s">
        <v>224</v>
      </c>
    </row>
    <row r="88" spans="1:14">
      <c r="A88" s="111" t="s">
        <v>226</v>
      </c>
    </row>
    <row r="89" spans="1:14" ht="15.75" thickBot="1">
      <c r="A89" s="105"/>
      <c r="B89" s="105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</row>
    <row r="90" spans="1:14">
      <c r="B90" s="127" t="s">
        <v>230</v>
      </c>
      <c r="N90" s="129" t="s">
        <v>231</v>
      </c>
    </row>
  </sheetData>
  <pageMargins left="0.39" right="0.25" top="1" bottom="1" header="0.5" footer="0.5"/>
  <pageSetup orientation="landscape" r:id="rId1"/>
  <headerFooter alignWithMargins="0">
    <oddHeader>&amp;R&amp;8Docket No. 160021-EI, &amp;"Arial,Italic"et al&amp;"Arial,Regular".
FPL POD No. 5
Attachment A
Page &amp;P of &amp;N</oddHeader>
  </headerFooter>
  <rowBreaks count="1" manualBreakCount="1">
    <brk id="44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view="pageLayout" zoomScaleNormal="100" workbookViewId="0">
      <selection activeCell="G9" sqref="G9"/>
    </sheetView>
  </sheetViews>
  <sheetFormatPr defaultRowHeight="12.75"/>
  <cols>
    <col min="1" max="1" width="77.42578125" customWidth="1"/>
    <col min="2" max="2" width="2.5703125" customWidth="1"/>
    <col min="3" max="3" width="12.7109375" customWidth="1"/>
    <col min="4" max="4" width="2.42578125" customWidth="1"/>
    <col min="5" max="5" width="15.7109375" customWidth="1"/>
  </cols>
  <sheetData>
    <row r="1" spans="1:5">
      <c r="A1" s="374" t="s">
        <v>33</v>
      </c>
      <c r="B1" s="374"/>
      <c r="C1" s="374"/>
      <c r="D1" s="374"/>
      <c r="E1" s="374"/>
    </row>
    <row r="2" spans="1:5">
      <c r="A2" s="375" t="s">
        <v>62</v>
      </c>
      <c r="B2" s="375"/>
      <c r="C2" s="375"/>
      <c r="D2" s="375"/>
      <c r="E2" s="374"/>
    </row>
    <row r="3" spans="1:5">
      <c r="A3" s="375" t="s">
        <v>64</v>
      </c>
      <c r="B3" s="375"/>
      <c r="C3" s="375"/>
      <c r="D3" s="375"/>
      <c r="E3" s="375"/>
    </row>
    <row r="4" spans="1:5">
      <c r="A4" s="376" t="s">
        <v>65</v>
      </c>
      <c r="B4" s="376"/>
      <c r="C4" s="376"/>
      <c r="D4" s="376"/>
      <c r="E4" s="376"/>
    </row>
    <row r="5" spans="1:5">
      <c r="A5" s="375" t="s">
        <v>373</v>
      </c>
      <c r="B5" s="375"/>
      <c r="C5" s="375"/>
      <c r="D5" s="375"/>
      <c r="E5" s="374"/>
    </row>
    <row r="6" spans="1:5">
      <c r="A6" s="374" t="s">
        <v>19</v>
      </c>
      <c r="B6" s="374"/>
      <c r="C6" s="374"/>
      <c r="D6" s="374"/>
      <c r="E6" s="374"/>
    </row>
    <row r="7" spans="1:5">
      <c r="A7" s="104"/>
      <c r="B7" s="104"/>
      <c r="C7" s="104"/>
      <c r="D7" s="104"/>
      <c r="E7" s="104"/>
    </row>
    <row r="8" spans="1:5">
      <c r="A8" s="37"/>
      <c r="B8" s="37"/>
      <c r="C8" s="176">
        <v>2017</v>
      </c>
      <c r="D8" s="176"/>
      <c r="E8" s="176">
        <v>2018</v>
      </c>
    </row>
    <row r="9" spans="1:5">
      <c r="A9" s="37"/>
      <c r="B9" s="37"/>
      <c r="C9" s="39" t="s">
        <v>60</v>
      </c>
      <c r="D9" s="104"/>
      <c r="E9" s="39" t="s">
        <v>60</v>
      </c>
    </row>
    <row r="10" spans="1:5">
      <c r="A10" s="37"/>
      <c r="B10" s="37"/>
      <c r="C10" s="39" t="s">
        <v>61</v>
      </c>
      <c r="D10" s="104"/>
      <c r="E10" s="39" t="s">
        <v>61</v>
      </c>
    </row>
    <row r="11" spans="1:5">
      <c r="A11" s="38"/>
      <c r="B11" s="38"/>
      <c r="C11" s="20" t="s">
        <v>59</v>
      </c>
      <c r="D11" s="38"/>
      <c r="E11" s="20" t="s">
        <v>59</v>
      </c>
    </row>
    <row r="12" spans="1:5">
      <c r="A12" s="166" t="s">
        <v>561</v>
      </c>
      <c r="B12" s="38"/>
      <c r="C12" s="19"/>
      <c r="D12" s="38"/>
      <c r="E12" s="19"/>
    </row>
    <row r="13" spans="1:5">
      <c r="A13" s="166"/>
      <c r="B13" s="38"/>
      <c r="C13" s="19"/>
      <c r="D13" s="38"/>
      <c r="E13" s="19"/>
    </row>
    <row r="14" spans="1:5">
      <c r="A14" s="38" t="str">
        <f>'Exh. LK-27 - Page 1'!B13</f>
        <v>Reduce Accumulated Depreciation to Reflect Depreciation Expense Reduction</v>
      </c>
      <c r="B14" s="38"/>
      <c r="C14" s="358">
        <f>'Exh. LK-27 - Page 1'!D13</f>
        <v>97.248999999999995</v>
      </c>
      <c r="D14" s="360"/>
      <c r="E14" s="358">
        <f>'Exh. LK-27 - Page 2'!D13</f>
        <v>294.24200000000002</v>
      </c>
    </row>
    <row r="15" spans="1:5">
      <c r="A15" s="38" t="str">
        <f>'Exh. LK-27 - Page 1'!B14</f>
        <v>Reduce Accumulated Fossil Dismantling to Reflect Dismantling Expense Reductions</v>
      </c>
      <c r="B15" s="38"/>
      <c r="C15" s="358">
        <f>'Exh. LK-27 - Page 1'!D14</f>
        <v>2.666277411789046</v>
      </c>
      <c r="D15" s="360"/>
      <c r="E15" s="358">
        <f>'Exh. LK-27 - Page 2'!D14</f>
        <v>8.0007647777608213</v>
      </c>
    </row>
    <row r="16" spans="1:5">
      <c r="A16" s="38" t="str">
        <f>'Exh. LK-27 - Page 1'!B15</f>
        <v xml:space="preserve">Increase Rate Base to Reflect Extended Amortization of Capital Recovery Costs </v>
      </c>
      <c r="B16" s="38"/>
      <c r="C16" s="358">
        <f>'Exh. LK-27 - Page 1'!D15</f>
        <v>11.271633517814173</v>
      </c>
      <c r="D16" s="360"/>
      <c r="E16" s="358">
        <f>'Exh. LK-27 - Page 2'!D15</f>
        <v>33.823658030545346</v>
      </c>
    </row>
    <row r="17" spans="1:6">
      <c r="A17" s="38" t="str">
        <f>'Exh. LK-27 - Page 1'!B16</f>
        <v>Amortize Injuries and Damages Excess Reserve Balance Over 4 Years</v>
      </c>
      <c r="B17" s="38"/>
      <c r="C17" s="358">
        <f>'Exh. LK-27 - Page 1'!D16</f>
        <v>2.4549145250000013</v>
      </c>
      <c r="D17" s="360"/>
      <c r="E17" s="358">
        <f>'Exh. LK-27 - Page 2'!D16</f>
        <v>7.0799917499999996</v>
      </c>
    </row>
    <row r="18" spans="1:6">
      <c r="A18" s="38" t="str">
        <f>'Exh. LK-27 - Page 1'!B17</f>
        <v>Amortize End of Life M&amp;S Inv and Nuclear Last Core Excess Reserve Balance Over 4 Years</v>
      </c>
      <c r="B18" s="38"/>
      <c r="C18" s="358">
        <f>'Exh. LK-27 - Page 1'!D17</f>
        <v>20.796584241250009</v>
      </c>
      <c r="D18" s="360"/>
      <c r="E18" s="358">
        <f>'Exh. LK-27 - Page 2'!D17</f>
        <v>62.394013924249982</v>
      </c>
    </row>
    <row r="19" spans="1:6">
      <c r="A19" s="38" t="str">
        <f>'Exh. LK-27 - Page 1'!B19</f>
        <v>Eliminate Unamortized Rate Case Expense</v>
      </c>
      <c r="B19" s="38"/>
      <c r="C19" s="358">
        <f>'Exh. LK-27 - Page 1'!D19</f>
        <v>-4.3090000000000002</v>
      </c>
      <c r="D19" s="360"/>
      <c r="E19" s="358">
        <f>'Exh. LK-27 - Page 2'!D19</f>
        <v>-3.0779999999999998</v>
      </c>
    </row>
    <row r="20" spans="1:6">
      <c r="A20" s="38" t="str">
        <f>'Exh. LK-27 - Page 1'!B20</f>
        <v>Correct Company Admitted Error for Balance of Deferred Pension Debit</v>
      </c>
      <c r="B20" s="38"/>
      <c r="C20" s="359">
        <f>'Exh. LK-27 - Page 1'!D20</f>
        <v>-3.528</v>
      </c>
      <c r="D20" s="360"/>
      <c r="E20" s="359">
        <f>'Exh. LK-27 - Page 2'!D20</f>
        <v>-8.5999461634800358</v>
      </c>
    </row>
    <row r="21" spans="1:6">
      <c r="A21" s="38"/>
      <c r="B21" s="38"/>
      <c r="C21" s="358"/>
      <c r="D21" s="360"/>
      <c r="E21" s="358"/>
    </row>
    <row r="22" spans="1:6">
      <c r="A22" s="166" t="s">
        <v>562</v>
      </c>
      <c r="B22" s="38"/>
      <c r="C22" s="43">
        <f>SUM(C14:C20)</f>
        <v>126.60140969585323</v>
      </c>
      <c r="D22" s="38"/>
      <c r="E22" s="43">
        <f>SUM(E14:E20)</f>
        <v>393.86248231907615</v>
      </c>
      <c r="F22" s="29"/>
    </row>
    <row r="23" spans="1:6">
      <c r="A23" s="38"/>
      <c r="B23" s="38"/>
      <c r="C23" s="41"/>
      <c r="D23" s="38"/>
      <c r="E23" s="41"/>
      <c r="F23" s="29"/>
    </row>
    <row r="24" spans="1:6">
      <c r="A24" s="12" t="s">
        <v>56</v>
      </c>
      <c r="B24" s="29"/>
      <c r="C24" s="361">
        <f>0.055+(0.35*(1-0.055))</f>
        <v>0.38574999999999998</v>
      </c>
      <c r="D24" s="29"/>
      <c r="E24" s="361">
        <f>0.055+(0.35*(1-0.055))</f>
        <v>0.38574999999999998</v>
      </c>
      <c r="F24" s="29"/>
    </row>
    <row r="25" spans="1:6">
      <c r="A25" s="29"/>
      <c r="B25" s="29"/>
      <c r="C25" s="42"/>
      <c r="D25" s="29"/>
      <c r="E25" s="42"/>
      <c r="F25" s="29"/>
    </row>
    <row r="26" spans="1:6" ht="13.5" thickBot="1">
      <c r="A26" s="152" t="s">
        <v>433</v>
      </c>
      <c r="B26" s="29"/>
      <c r="C26" s="203">
        <f>C22*C24</f>
        <v>48.836493790175382</v>
      </c>
      <c r="D26" s="29"/>
      <c r="E26" s="203">
        <f>E22*E24</f>
        <v>151.93245255458362</v>
      </c>
      <c r="F26" s="29"/>
    </row>
    <row r="27" spans="1:6" ht="13.5" thickTop="1">
      <c r="A27" s="29"/>
      <c r="B27" s="29"/>
      <c r="C27" s="42"/>
      <c r="D27" s="29"/>
      <c r="E27" s="42"/>
      <c r="F27" s="29"/>
    </row>
    <row r="28" spans="1:6">
      <c r="A28" s="29"/>
      <c r="B28" s="29"/>
      <c r="C28" s="42"/>
      <c r="D28" s="29"/>
      <c r="E28" s="42"/>
      <c r="F28" s="29"/>
    </row>
    <row r="29" spans="1:6">
      <c r="A29" s="29"/>
      <c r="B29" s="29"/>
      <c r="C29" s="29"/>
      <c r="D29" s="29"/>
      <c r="E29" s="42"/>
      <c r="F29" s="29"/>
    </row>
    <row r="30" spans="1:6">
      <c r="E30" s="26"/>
    </row>
    <row r="31" spans="1:6">
      <c r="E31" s="26"/>
    </row>
    <row r="32" spans="1:6">
      <c r="E32" s="26"/>
    </row>
    <row r="33" spans="5:5">
      <c r="E33" s="26"/>
    </row>
    <row r="34" spans="5:5">
      <c r="E34" s="26"/>
    </row>
    <row r="35" spans="5:5">
      <c r="E35" s="26"/>
    </row>
    <row r="36" spans="5:5">
      <c r="E36" s="26"/>
    </row>
    <row r="37" spans="5:5">
      <c r="E37" s="26"/>
    </row>
    <row r="38" spans="5:5">
      <c r="E38" s="26"/>
    </row>
    <row r="39" spans="5:5">
      <c r="E39" s="26"/>
    </row>
    <row r="40" spans="5:5">
      <c r="E40" s="26"/>
    </row>
    <row r="41" spans="5:5">
      <c r="E41" s="26"/>
    </row>
    <row r="42" spans="5:5">
      <c r="E42" s="26"/>
    </row>
    <row r="43" spans="5:5">
      <c r="E43" s="26"/>
    </row>
    <row r="44" spans="5:5">
      <c r="E44" s="26"/>
    </row>
    <row r="45" spans="5:5">
      <c r="E45" s="26"/>
    </row>
    <row r="46" spans="5:5">
      <c r="E46" s="26"/>
    </row>
    <row r="47" spans="5:5">
      <c r="E47" s="26"/>
    </row>
    <row r="48" spans="5:5">
      <c r="E48" s="26"/>
    </row>
    <row r="49" spans="5:5">
      <c r="E49" s="26"/>
    </row>
    <row r="50" spans="5:5">
      <c r="E50" s="26"/>
    </row>
    <row r="51" spans="5:5">
      <c r="E51" s="26"/>
    </row>
    <row r="52" spans="5:5">
      <c r="E52" s="26"/>
    </row>
  </sheetData>
  <mergeCells count="6">
    <mergeCell ref="A1:E1"/>
    <mergeCell ref="A2:E2"/>
    <mergeCell ref="A4:E4"/>
    <mergeCell ref="A5:E5"/>
    <mergeCell ref="A6:E6"/>
    <mergeCell ref="A3:E3"/>
  </mergeCells>
  <pageMargins left="0.39" right="0.25" top="1" bottom="1" header="0.5" footer="0.5"/>
  <pageSetup orientation="landscape" r:id="rId1"/>
  <headerFooter alignWithMargins="0">
    <oddHeader>&amp;R&amp;8Docket No. 160021-EI, &amp;"Arial,Italic"et al&amp;"Arial,Regular".
FPL POD No. 5
Attachment A
Page &amp;P of &amp;N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view="pageLayout" zoomScaleNormal="100" workbookViewId="0">
      <selection activeCell="G9" sqref="G9"/>
    </sheetView>
  </sheetViews>
  <sheetFormatPr defaultRowHeight="12.75"/>
  <cols>
    <col min="1" max="1" width="1.85546875" customWidth="1"/>
    <col min="2" max="2" width="59" customWidth="1"/>
    <col min="3" max="3" width="3.140625" customWidth="1"/>
    <col min="4" max="4" width="12.5703125" customWidth="1"/>
    <col min="5" max="5" width="3.140625" customWidth="1"/>
    <col min="6" max="6" width="13.42578125" customWidth="1"/>
  </cols>
  <sheetData>
    <row r="1" spans="1:6">
      <c r="A1" s="374" t="s">
        <v>33</v>
      </c>
      <c r="B1" s="374"/>
      <c r="C1" s="374"/>
      <c r="D1" s="374"/>
      <c r="E1" s="374"/>
      <c r="F1" s="374"/>
    </row>
    <row r="2" spans="1:6">
      <c r="A2" s="375" t="s">
        <v>563</v>
      </c>
      <c r="B2" s="374"/>
      <c r="C2" s="374"/>
      <c r="D2" s="374"/>
      <c r="E2" s="374"/>
      <c r="F2" s="374"/>
    </row>
    <row r="3" spans="1:6">
      <c r="A3" s="376" t="s">
        <v>65</v>
      </c>
      <c r="B3" s="376"/>
      <c r="C3" s="376"/>
      <c r="D3" s="376"/>
      <c r="E3" s="376"/>
      <c r="F3" s="376"/>
    </row>
    <row r="4" spans="1:6">
      <c r="A4" s="375" t="s">
        <v>564</v>
      </c>
      <c r="B4" s="374"/>
      <c r="C4" s="374"/>
      <c r="D4" s="374"/>
      <c r="E4" s="374"/>
      <c r="F4" s="374"/>
    </row>
    <row r="5" spans="1:6">
      <c r="A5" s="374" t="s">
        <v>19</v>
      </c>
      <c r="B5" s="374"/>
      <c r="C5" s="374"/>
      <c r="D5" s="374"/>
      <c r="E5" s="374"/>
      <c r="F5" s="374"/>
    </row>
    <row r="6" spans="1:6">
      <c r="A6" s="37"/>
      <c r="B6" s="37"/>
      <c r="C6" s="37"/>
      <c r="D6" s="273"/>
      <c r="E6" s="273"/>
      <c r="F6" s="37"/>
    </row>
    <row r="7" spans="1:6">
      <c r="A7" s="166" t="s">
        <v>565</v>
      </c>
      <c r="B7" s="39"/>
      <c r="C7" s="39"/>
      <c r="D7" s="39"/>
      <c r="E7" s="39"/>
      <c r="F7" s="39"/>
    </row>
    <row r="8" spans="1:6">
      <c r="A8" s="38"/>
      <c r="B8" s="39"/>
      <c r="C8" s="39"/>
      <c r="D8" s="60">
        <v>2017</v>
      </c>
      <c r="E8" s="39"/>
      <c r="F8" s="60">
        <v>2018</v>
      </c>
    </row>
    <row r="9" spans="1:6">
      <c r="A9" s="38"/>
      <c r="B9" s="39"/>
      <c r="C9" s="39"/>
      <c r="D9" s="39"/>
      <c r="E9" s="39"/>
      <c r="F9" s="39"/>
    </row>
    <row r="10" spans="1:6">
      <c r="A10" s="39"/>
      <c r="B10" s="363" t="s">
        <v>566</v>
      </c>
      <c r="C10" s="40"/>
      <c r="D10" s="368">
        <v>428.66</v>
      </c>
      <c r="E10" s="40"/>
      <c r="F10" s="266">
        <v>434.286</v>
      </c>
    </row>
    <row r="11" spans="1:6">
      <c r="A11" s="39"/>
      <c r="B11" s="363"/>
      <c r="C11" s="40"/>
      <c r="D11" s="40"/>
      <c r="E11" s="40"/>
      <c r="F11" s="266"/>
    </row>
    <row r="12" spans="1:6">
      <c r="A12" s="39"/>
      <c r="B12" s="363" t="s">
        <v>567</v>
      </c>
      <c r="C12" s="40"/>
      <c r="D12" s="365">
        <v>0.94858699999999996</v>
      </c>
      <c r="E12" s="364"/>
      <c r="F12" s="365">
        <v>0.94899999999999995</v>
      </c>
    </row>
    <row r="13" spans="1:6">
      <c r="A13" s="39"/>
      <c r="B13" s="363"/>
      <c r="C13" s="40"/>
      <c r="D13" s="40"/>
      <c r="E13" s="40"/>
      <c r="F13" s="266"/>
    </row>
    <row r="14" spans="1:6">
      <c r="A14" s="39"/>
      <c r="B14" s="363" t="s">
        <v>568</v>
      </c>
      <c r="C14" s="40"/>
      <c r="D14" s="59">
        <f>-D10*D12</f>
        <v>-406.62130342</v>
      </c>
      <c r="E14" s="59"/>
      <c r="F14" s="59">
        <f>-F10*F12</f>
        <v>-412.13741399999998</v>
      </c>
    </row>
    <row r="15" spans="1:6">
      <c r="A15" s="39"/>
      <c r="B15" s="363"/>
      <c r="C15" s="40"/>
      <c r="D15" s="40"/>
      <c r="E15" s="40"/>
      <c r="F15" s="266"/>
    </row>
    <row r="16" spans="1:6">
      <c r="A16" s="12"/>
      <c r="B16" s="41" t="s">
        <v>55</v>
      </c>
      <c r="C16" s="41"/>
      <c r="D16" s="51">
        <f>'Exh. LK-28'!J19</f>
        <v>9.8804316192411479E-2</v>
      </c>
      <c r="E16" s="41"/>
      <c r="F16" s="51">
        <f>'Exh. LK-29'!J19</f>
        <v>9.9784915778226832E-2</v>
      </c>
    </row>
    <row r="17" spans="1:7">
      <c r="A17" s="12"/>
      <c r="B17" s="41"/>
      <c r="C17" s="41"/>
      <c r="D17" s="41"/>
      <c r="E17" s="41"/>
      <c r="F17" s="41"/>
    </row>
    <row r="18" spans="1:7" ht="13.5" thickBot="1">
      <c r="A18" s="12"/>
      <c r="B18" s="167" t="s">
        <v>584</v>
      </c>
      <c r="C18" s="41"/>
      <c r="D18" s="58">
        <f>D14*D16</f>
        <v>-40.175939833680168</v>
      </c>
      <c r="E18" s="41"/>
      <c r="F18" s="58">
        <f>F14*F16</f>
        <v>-41.125097145046205</v>
      </c>
    </row>
    <row r="19" spans="1:7" ht="13.5" thickTop="1">
      <c r="A19" s="12"/>
      <c r="B19" s="41"/>
      <c r="C19" s="41"/>
      <c r="D19" s="41"/>
      <c r="E19" s="41"/>
      <c r="F19" s="41"/>
    </row>
    <row r="20" spans="1:7">
      <c r="A20" s="29"/>
      <c r="B20" s="42"/>
      <c r="C20" s="42"/>
      <c r="D20" s="42"/>
      <c r="E20" s="42"/>
      <c r="F20" s="42"/>
    </row>
    <row r="21" spans="1:7">
      <c r="A21" s="29"/>
      <c r="B21" s="41"/>
      <c r="C21" s="42"/>
      <c r="D21" s="42"/>
      <c r="E21" s="42"/>
      <c r="F21" s="42"/>
      <c r="G21" s="29"/>
    </row>
    <row r="22" spans="1:7">
      <c r="A22" s="29"/>
      <c r="B22" s="42"/>
      <c r="C22" s="42"/>
      <c r="D22" s="42"/>
      <c r="E22" s="42"/>
      <c r="F22" s="42"/>
    </row>
    <row r="23" spans="1:7">
      <c r="A23" s="29"/>
      <c r="B23" s="42"/>
      <c r="C23" s="42"/>
      <c r="D23" s="42"/>
      <c r="E23" s="42"/>
      <c r="F23" s="42"/>
    </row>
    <row r="24" spans="1:7">
      <c r="A24" s="29"/>
      <c r="B24" s="42"/>
      <c r="C24" s="42"/>
      <c r="D24" s="42"/>
      <c r="E24" s="42"/>
      <c r="F24" s="42"/>
    </row>
    <row r="25" spans="1:7">
      <c r="A25" s="29"/>
      <c r="B25" s="42"/>
      <c r="C25" s="42"/>
      <c r="D25" s="42"/>
      <c r="E25" s="42"/>
      <c r="F25" s="42"/>
    </row>
    <row r="26" spans="1:7">
      <c r="A26" s="29"/>
      <c r="B26" s="42"/>
      <c r="C26" s="42"/>
      <c r="D26" s="42"/>
      <c r="E26" s="42"/>
      <c r="F26" s="42"/>
    </row>
    <row r="27" spans="1:7">
      <c r="A27" s="29"/>
      <c r="B27" s="42"/>
      <c r="C27" s="42"/>
      <c r="D27" s="42"/>
      <c r="E27" s="42"/>
      <c r="F27" s="42"/>
    </row>
    <row r="28" spans="1:7">
      <c r="A28" s="29"/>
      <c r="B28" s="42"/>
      <c r="C28" s="42"/>
      <c r="D28" s="42"/>
      <c r="E28" s="42"/>
      <c r="F28" s="42"/>
    </row>
    <row r="29" spans="1:7">
      <c r="A29" s="29"/>
      <c r="B29" s="42"/>
      <c r="C29" s="42"/>
      <c r="D29" s="42"/>
      <c r="E29" s="42"/>
      <c r="F29" s="42"/>
    </row>
    <row r="30" spans="1:7">
      <c r="A30" s="29"/>
      <c r="B30" s="42"/>
      <c r="C30" s="42"/>
      <c r="D30" s="42"/>
      <c r="E30" s="42"/>
      <c r="F30" s="42"/>
    </row>
    <row r="31" spans="1:7">
      <c r="A31" s="29"/>
      <c r="B31" s="42"/>
      <c r="C31" s="42"/>
      <c r="D31" s="42"/>
      <c r="E31" s="42"/>
      <c r="F31" s="42"/>
    </row>
    <row r="32" spans="1:7">
      <c r="A32" s="29"/>
      <c r="B32" s="42"/>
      <c r="C32" s="42"/>
      <c r="D32" s="42"/>
      <c r="E32" s="42"/>
      <c r="F32" s="42"/>
    </row>
    <row r="33" spans="1:6">
      <c r="A33" s="29"/>
      <c r="B33" s="42"/>
      <c r="C33" s="42"/>
      <c r="D33" s="42"/>
      <c r="E33" s="42"/>
      <c r="F33" s="42"/>
    </row>
    <row r="34" spans="1:6">
      <c r="A34" s="29"/>
      <c r="B34" s="42"/>
      <c r="C34" s="42"/>
      <c r="D34" s="42"/>
      <c r="E34" s="42"/>
      <c r="F34" s="42"/>
    </row>
    <row r="35" spans="1:6">
      <c r="A35" s="29"/>
      <c r="B35" s="42"/>
      <c r="C35" s="42"/>
      <c r="D35" s="42"/>
      <c r="E35" s="42"/>
      <c r="F35" s="42"/>
    </row>
    <row r="36" spans="1:6">
      <c r="A36" s="29"/>
      <c r="B36" s="42"/>
      <c r="C36" s="42"/>
      <c r="D36" s="42"/>
      <c r="E36" s="42"/>
      <c r="F36" s="45"/>
    </row>
    <row r="37" spans="1:6">
      <c r="A37" s="29"/>
      <c r="B37" s="42"/>
      <c r="C37" s="42"/>
      <c r="D37" s="42"/>
      <c r="E37" s="42"/>
      <c r="F37" s="42"/>
    </row>
    <row r="38" spans="1:6">
      <c r="A38" s="29"/>
      <c r="B38" s="42"/>
      <c r="C38" s="42"/>
      <c r="D38" s="42"/>
      <c r="E38" s="42"/>
      <c r="F38" s="42"/>
    </row>
    <row r="39" spans="1:6">
      <c r="A39" s="29"/>
      <c r="B39" s="42"/>
      <c r="C39" s="42"/>
      <c r="D39" s="42"/>
      <c r="E39" s="42"/>
      <c r="F39" s="42"/>
    </row>
    <row r="40" spans="1:6">
      <c r="A40" s="29"/>
      <c r="B40" s="42"/>
      <c r="C40" s="42"/>
      <c r="D40" s="42"/>
      <c r="E40" s="42"/>
      <c r="F40" s="42"/>
    </row>
    <row r="41" spans="1:6">
      <c r="A41" s="29"/>
      <c r="B41" s="42"/>
      <c r="C41" s="42"/>
      <c r="D41" s="42"/>
      <c r="E41" s="42"/>
      <c r="F41" s="42"/>
    </row>
    <row r="42" spans="1:6">
      <c r="A42" s="29"/>
      <c r="B42" s="42"/>
      <c r="C42" s="42"/>
      <c r="D42" s="42"/>
      <c r="E42" s="42"/>
      <c r="F42" s="42"/>
    </row>
    <row r="43" spans="1:6">
      <c r="A43" s="29"/>
      <c r="B43" s="42"/>
      <c r="C43" s="42"/>
      <c r="D43" s="42"/>
      <c r="E43" s="42"/>
      <c r="F43" s="42"/>
    </row>
    <row r="44" spans="1:6">
      <c r="A44" s="29"/>
      <c r="B44" s="42"/>
      <c r="C44" s="42"/>
      <c r="D44" s="42"/>
      <c r="E44" s="42"/>
      <c r="F44" s="42"/>
    </row>
    <row r="45" spans="1:6">
      <c r="A45" s="29"/>
      <c r="B45" s="42"/>
      <c r="C45" s="42"/>
      <c r="D45" s="42"/>
      <c r="E45" s="42"/>
      <c r="F45" s="42"/>
    </row>
    <row r="46" spans="1:6">
      <c r="A46" s="29"/>
      <c r="B46" s="42"/>
      <c r="C46" s="42"/>
      <c r="D46" s="42"/>
      <c r="E46" s="42"/>
      <c r="F46" s="42"/>
    </row>
    <row r="47" spans="1:6">
      <c r="A47" s="29"/>
      <c r="B47" s="42"/>
      <c r="C47" s="42"/>
      <c r="D47" s="42"/>
      <c r="E47" s="42"/>
      <c r="F47" s="42"/>
    </row>
    <row r="48" spans="1:6">
      <c r="A48" s="29"/>
      <c r="B48" s="42"/>
      <c r="C48" s="42"/>
      <c r="D48" s="42"/>
      <c r="E48" s="42"/>
      <c r="F48" s="42"/>
    </row>
    <row r="49" spans="2:6">
      <c r="B49" s="26"/>
      <c r="C49" s="26"/>
      <c r="D49" s="26"/>
      <c r="E49" s="26"/>
      <c r="F49" s="26"/>
    </row>
    <row r="50" spans="2:6">
      <c r="B50" s="26"/>
      <c r="C50" s="26"/>
      <c r="D50" s="26"/>
      <c r="E50" s="26"/>
      <c r="F50" s="26"/>
    </row>
    <row r="51" spans="2:6">
      <c r="B51" s="26"/>
      <c r="C51" s="26"/>
      <c r="D51" s="26"/>
      <c r="E51" s="26"/>
      <c r="F51" s="26"/>
    </row>
    <row r="52" spans="2:6">
      <c r="B52" s="26"/>
      <c r="C52" s="26"/>
      <c r="D52" s="26"/>
      <c r="E52" s="26"/>
      <c r="F52" s="26"/>
    </row>
    <row r="53" spans="2:6">
      <c r="B53" s="26"/>
      <c r="C53" s="26"/>
      <c r="D53" s="26"/>
      <c r="E53" s="26"/>
      <c r="F53" s="26"/>
    </row>
    <row r="54" spans="2:6">
      <c r="B54" s="26"/>
      <c r="C54" s="26"/>
      <c r="D54" s="26"/>
      <c r="E54" s="26"/>
      <c r="F54" s="26"/>
    </row>
    <row r="55" spans="2:6">
      <c r="B55" s="26"/>
      <c r="C55" s="26"/>
      <c r="D55" s="26"/>
      <c r="E55" s="26"/>
      <c r="F55" s="26"/>
    </row>
    <row r="56" spans="2:6">
      <c r="B56" s="26"/>
      <c r="C56" s="26"/>
      <c r="D56" s="26"/>
      <c r="E56" s="26"/>
      <c r="F56" s="26"/>
    </row>
    <row r="57" spans="2:6">
      <c r="B57" s="26"/>
      <c r="C57" s="26"/>
      <c r="D57" s="26"/>
      <c r="E57" s="26"/>
      <c r="F57" s="26"/>
    </row>
    <row r="58" spans="2:6">
      <c r="B58" s="26"/>
      <c r="C58" s="26"/>
      <c r="D58" s="26"/>
      <c r="E58" s="26"/>
      <c r="F58" s="26"/>
    </row>
    <row r="59" spans="2:6">
      <c r="B59" s="26"/>
      <c r="C59" s="26"/>
      <c r="D59" s="26"/>
      <c r="E59" s="26"/>
      <c r="F59" s="26"/>
    </row>
    <row r="60" spans="2:6">
      <c r="B60" s="26"/>
      <c r="C60" s="26"/>
      <c r="D60" s="26"/>
      <c r="E60" s="26"/>
      <c r="F60" s="26"/>
    </row>
    <row r="61" spans="2:6">
      <c r="B61" s="26"/>
      <c r="C61" s="26"/>
      <c r="D61" s="26"/>
      <c r="E61" s="26"/>
      <c r="F61" s="26"/>
    </row>
    <row r="62" spans="2:6">
      <c r="B62" s="26"/>
      <c r="C62" s="26"/>
      <c r="D62" s="26"/>
      <c r="E62" s="26"/>
      <c r="F62" s="26"/>
    </row>
    <row r="63" spans="2:6">
      <c r="B63" s="26"/>
      <c r="C63" s="26"/>
      <c r="D63" s="26"/>
      <c r="E63" s="26"/>
      <c r="F63" s="26"/>
    </row>
    <row r="64" spans="2:6">
      <c r="B64" s="26"/>
      <c r="C64" s="26"/>
      <c r="D64" s="26"/>
      <c r="E64" s="26"/>
      <c r="F64" s="26"/>
    </row>
    <row r="65" spans="2:6">
      <c r="B65" s="26"/>
      <c r="C65" s="26"/>
      <c r="D65" s="26"/>
      <c r="E65" s="26"/>
      <c r="F65" s="26"/>
    </row>
    <row r="66" spans="2:6">
      <c r="B66" s="26"/>
      <c r="C66" s="26"/>
      <c r="D66" s="26"/>
      <c r="E66" s="26"/>
      <c r="F66" s="26"/>
    </row>
    <row r="67" spans="2:6">
      <c r="B67" s="26"/>
      <c r="C67" s="26"/>
      <c r="D67" s="26"/>
      <c r="E67" s="26"/>
      <c r="F67" s="26"/>
    </row>
    <row r="68" spans="2:6">
      <c r="B68" s="26"/>
      <c r="C68" s="26"/>
      <c r="D68" s="26"/>
      <c r="E68" s="26"/>
      <c r="F68" s="26"/>
    </row>
    <row r="69" spans="2:6">
      <c r="B69" s="26"/>
      <c r="C69" s="26"/>
      <c r="D69" s="26"/>
      <c r="E69" s="26"/>
      <c r="F69" s="26"/>
    </row>
    <row r="70" spans="2:6">
      <c r="B70" s="26"/>
      <c r="C70" s="26"/>
      <c r="D70" s="26"/>
      <c r="E70" s="26"/>
      <c r="F70" s="26"/>
    </row>
    <row r="71" spans="2:6">
      <c r="B71" s="26"/>
      <c r="C71" s="26"/>
      <c r="D71" s="26"/>
      <c r="E71" s="26"/>
      <c r="F71" s="26"/>
    </row>
    <row r="72" spans="2:6">
      <c r="B72" s="26"/>
      <c r="C72" s="26"/>
      <c r="D72" s="26"/>
      <c r="E72" s="26"/>
      <c r="F72" s="26"/>
    </row>
    <row r="73" spans="2:6">
      <c r="B73" s="26"/>
      <c r="C73" s="26"/>
      <c r="D73" s="26"/>
      <c r="E73" s="26"/>
      <c r="F73" s="26"/>
    </row>
    <row r="74" spans="2:6">
      <c r="B74" s="26"/>
      <c r="C74" s="26"/>
      <c r="D74" s="26"/>
      <c r="E74" s="26"/>
      <c r="F74" s="26"/>
    </row>
    <row r="75" spans="2:6">
      <c r="B75" s="26"/>
      <c r="C75" s="26"/>
      <c r="D75" s="26"/>
      <c r="E75" s="26"/>
      <c r="F75" s="26"/>
    </row>
    <row r="76" spans="2:6">
      <c r="B76" s="26"/>
      <c r="C76" s="26"/>
      <c r="D76" s="26"/>
      <c r="E76" s="26"/>
      <c r="F76" s="26"/>
    </row>
  </sheetData>
  <mergeCells count="5">
    <mergeCell ref="A1:F1"/>
    <mergeCell ref="A2:F2"/>
    <mergeCell ref="A3:F3"/>
    <mergeCell ref="A4:F4"/>
    <mergeCell ref="A5:F5"/>
  </mergeCells>
  <pageMargins left="0.39" right="0.25" top="1" bottom="1" header="0.5" footer="0.5"/>
  <pageSetup orientation="portrait" r:id="rId1"/>
  <headerFooter alignWithMargins="0">
    <oddHeader>&amp;R&amp;8Docket No. 160021-EI, &amp;"Arial,Italic"et al&amp;"Arial,Regular".
FPL POD No. 5
Attachment A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5"/>
  <sheetViews>
    <sheetView tabSelected="1" view="pageLayout" zoomScaleNormal="100" zoomScaleSheetLayoutView="100" workbookViewId="0">
      <selection activeCell="G9" sqref="G9"/>
    </sheetView>
  </sheetViews>
  <sheetFormatPr defaultRowHeight="12.75"/>
  <cols>
    <col min="1" max="1" width="1.85546875" customWidth="1"/>
    <col min="2" max="2" width="21.5703125" customWidth="1"/>
    <col min="3" max="3" width="2.140625" customWidth="1"/>
    <col min="4" max="4" width="12.7109375" customWidth="1"/>
    <col min="5" max="5" width="2.140625" customWidth="1"/>
    <col min="6" max="6" width="12.7109375" customWidth="1"/>
    <col min="7" max="7" width="2.140625" customWidth="1"/>
    <col min="8" max="8" width="12.85546875" customWidth="1"/>
    <col min="9" max="9" width="2.28515625" customWidth="1"/>
    <col min="10" max="10" width="9.7109375" customWidth="1"/>
    <col min="11" max="11" width="2.140625" customWidth="1"/>
    <col min="12" max="12" width="9.7109375" customWidth="1"/>
    <col min="13" max="13" width="2.140625" customWidth="1"/>
    <col min="14" max="14" width="12" customWidth="1"/>
    <col min="15" max="15" width="2.140625" customWidth="1"/>
    <col min="16" max="16" width="12.7109375" customWidth="1"/>
    <col min="17" max="17" width="2.140625" customWidth="1"/>
    <col min="18" max="18" width="11.5703125" customWidth="1"/>
    <col min="19" max="19" width="2.140625" customWidth="1"/>
    <col min="20" max="20" width="12.140625" customWidth="1"/>
  </cols>
  <sheetData>
    <row r="1" spans="1:20">
      <c r="A1" s="374" t="s">
        <v>33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</row>
    <row r="2" spans="1:20">
      <c r="A2" s="375" t="s">
        <v>285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</row>
    <row r="3" spans="1:20">
      <c r="A3" s="375" t="s">
        <v>65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5"/>
    </row>
    <row r="4" spans="1:20">
      <c r="A4" s="375" t="s">
        <v>66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</row>
    <row r="5" spans="1:20">
      <c r="A5" s="374" t="s">
        <v>19</v>
      </c>
      <c r="B5" s="374"/>
      <c r="C5" s="374"/>
      <c r="D5" s="374"/>
      <c r="E5" s="374"/>
      <c r="F5" s="374"/>
      <c r="G5" s="374"/>
      <c r="H5" s="374"/>
      <c r="I5" s="374"/>
      <c r="J5" s="374"/>
      <c r="K5" s="374"/>
      <c r="L5" s="374"/>
      <c r="M5" s="374"/>
      <c r="N5" s="374"/>
      <c r="O5" s="374"/>
      <c r="P5" s="374"/>
      <c r="Q5" s="374"/>
      <c r="R5" s="374"/>
      <c r="S5" s="374"/>
      <c r="T5" s="374"/>
    </row>
    <row r="6" spans="1:20">
      <c r="A6" s="104"/>
      <c r="B6" s="104"/>
      <c r="C6" s="104"/>
      <c r="D6" s="104"/>
      <c r="E6" s="104"/>
      <c r="F6" s="104"/>
      <c r="G6" s="104"/>
      <c r="H6" s="104"/>
    </row>
    <row r="7" spans="1:20">
      <c r="A7" s="37"/>
      <c r="B7" s="37"/>
      <c r="C7" s="37"/>
      <c r="D7" s="37"/>
      <c r="E7" s="104"/>
      <c r="F7" s="104"/>
      <c r="G7" s="37"/>
      <c r="H7" s="37"/>
    </row>
    <row r="8" spans="1:20">
      <c r="E8" s="39"/>
      <c r="F8" s="39"/>
      <c r="G8" s="39"/>
      <c r="H8" s="39"/>
      <c r="N8" s="182" t="s">
        <v>304</v>
      </c>
      <c r="R8" s="10" t="s">
        <v>303</v>
      </c>
    </row>
    <row r="9" spans="1:20">
      <c r="A9" s="166"/>
      <c r="B9" s="39"/>
      <c r="C9" s="39"/>
      <c r="D9" s="39"/>
      <c r="E9" s="39"/>
      <c r="F9" s="176" t="s">
        <v>299</v>
      </c>
      <c r="G9" s="39"/>
      <c r="H9" s="176" t="s">
        <v>300</v>
      </c>
      <c r="J9" s="176"/>
      <c r="L9" s="176" t="s">
        <v>300</v>
      </c>
      <c r="N9" s="189" t="s">
        <v>303</v>
      </c>
      <c r="P9" s="176" t="s">
        <v>300</v>
      </c>
      <c r="R9" s="189" t="s">
        <v>307</v>
      </c>
      <c r="T9" s="176" t="s">
        <v>300</v>
      </c>
    </row>
    <row r="10" spans="1:20">
      <c r="A10" s="38"/>
      <c r="B10" s="39"/>
      <c r="C10" s="39"/>
      <c r="D10" s="176" t="s">
        <v>299</v>
      </c>
      <c r="E10" s="39"/>
      <c r="F10" s="176" t="s">
        <v>291</v>
      </c>
      <c r="G10" s="39"/>
      <c r="H10" s="176" t="s">
        <v>291</v>
      </c>
      <c r="J10" s="176" t="s">
        <v>300</v>
      </c>
      <c r="L10" s="182" t="s">
        <v>25</v>
      </c>
      <c r="N10" s="155" t="s">
        <v>299</v>
      </c>
      <c r="P10" s="189" t="s">
        <v>305</v>
      </c>
      <c r="R10" s="189" t="s">
        <v>20</v>
      </c>
      <c r="T10" s="189" t="s">
        <v>20</v>
      </c>
    </row>
    <row r="11" spans="1:20">
      <c r="A11" s="39"/>
      <c r="B11" s="40"/>
      <c r="C11" s="40"/>
      <c r="D11" s="155" t="s">
        <v>291</v>
      </c>
      <c r="E11" s="155"/>
      <c r="F11" s="155" t="s">
        <v>297</v>
      </c>
      <c r="G11" s="40"/>
      <c r="H11" s="155" t="s">
        <v>297</v>
      </c>
      <c r="J11" s="182" t="s">
        <v>25</v>
      </c>
      <c r="L11" s="155" t="s">
        <v>292</v>
      </c>
      <c r="N11" s="155" t="s">
        <v>291</v>
      </c>
      <c r="P11" s="189" t="s">
        <v>306</v>
      </c>
      <c r="R11" s="189" t="s">
        <v>308</v>
      </c>
      <c r="T11" s="189" t="s">
        <v>306</v>
      </c>
    </row>
    <row r="12" spans="1:20">
      <c r="A12" s="12"/>
      <c r="B12" s="168" t="s">
        <v>284</v>
      </c>
      <c r="C12" s="41"/>
      <c r="D12" s="169" t="s">
        <v>292</v>
      </c>
      <c r="E12" s="155"/>
      <c r="F12" s="169" t="s">
        <v>298</v>
      </c>
      <c r="G12" s="41"/>
      <c r="H12" s="169" t="s">
        <v>298</v>
      </c>
      <c r="J12" s="169" t="s">
        <v>292</v>
      </c>
      <c r="L12" s="169" t="s">
        <v>301</v>
      </c>
      <c r="N12" s="190" t="s">
        <v>302</v>
      </c>
      <c r="P12" s="190" t="s">
        <v>301</v>
      </c>
      <c r="R12" s="190" t="s">
        <v>35</v>
      </c>
      <c r="T12" s="190" t="s">
        <v>301</v>
      </c>
    </row>
    <row r="13" spans="1:20">
      <c r="A13" s="12"/>
      <c r="B13" s="167" t="s">
        <v>286</v>
      </c>
      <c r="C13" s="41"/>
      <c r="D13" s="171">
        <v>3.79</v>
      </c>
      <c r="E13" s="171"/>
      <c r="F13" s="171">
        <v>14.76</v>
      </c>
      <c r="G13" s="40"/>
      <c r="H13" s="171">
        <f>F13+1</f>
        <v>15.76</v>
      </c>
      <c r="J13" s="171">
        <f>ROUND((D13*F13)/H13,2)</f>
        <v>3.55</v>
      </c>
      <c r="L13" s="186">
        <f>J13-D13</f>
        <v>-0.24000000000000021</v>
      </c>
      <c r="N13" s="88">
        <f>3401.455-F85</f>
        <v>2501.0709999999999</v>
      </c>
      <c r="O13" s="88"/>
      <c r="P13" s="88">
        <f>(L13*N13)/100</f>
        <v>-6.0025704000000051</v>
      </c>
      <c r="R13" s="192">
        <v>0.95061499999999999</v>
      </c>
      <c r="T13" s="88">
        <f>P13*R13</f>
        <v>-5.7061334607960044</v>
      </c>
    </row>
    <row r="14" spans="1:20">
      <c r="A14" s="12"/>
      <c r="B14" s="167" t="s">
        <v>287</v>
      </c>
      <c r="C14" s="41"/>
      <c r="D14" s="172">
        <v>4.16</v>
      </c>
      <c r="E14" s="172"/>
      <c r="F14" s="172">
        <v>16.559999999999999</v>
      </c>
      <c r="G14" s="40"/>
      <c r="H14" s="171">
        <f t="shared" ref="H14:H25" si="0">F14+1</f>
        <v>17.559999999999999</v>
      </c>
      <c r="J14" s="171">
        <f t="shared" ref="J14:J19" si="1">ROUND((D14*F14)/H14,2)</f>
        <v>3.92</v>
      </c>
      <c r="L14" s="186">
        <f t="shared" ref="L14" si="2">J14-D14</f>
        <v>-0.24000000000000021</v>
      </c>
      <c r="N14" s="88">
        <f>8028.909-F87</f>
        <v>7953.7569999999996</v>
      </c>
      <c r="O14" s="88"/>
      <c r="P14" s="88">
        <f>(L14*N14)/100</f>
        <v>-19.089016800000014</v>
      </c>
      <c r="R14" s="192">
        <v>0.93169299999999999</v>
      </c>
      <c r="T14" s="88">
        <f t="shared" ref="T14:T19" si="3">P14*R14</f>
        <v>-17.785103329442414</v>
      </c>
    </row>
    <row r="15" spans="1:20">
      <c r="A15" s="12"/>
      <c r="B15" s="167"/>
      <c r="C15" s="41"/>
      <c r="D15" s="172"/>
      <c r="E15" s="172"/>
      <c r="F15" s="172"/>
      <c r="G15" s="40"/>
      <c r="H15" s="171"/>
      <c r="J15" s="171"/>
      <c r="L15" s="186"/>
      <c r="N15" s="88"/>
      <c r="O15" s="88"/>
      <c r="P15" s="88"/>
      <c r="R15" s="192"/>
      <c r="T15" s="88"/>
    </row>
    <row r="16" spans="1:20">
      <c r="A16" s="12"/>
      <c r="B16" s="167" t="s">
        <v>288</v>
      </c>
      <c r="C16" s="41"/>
      <c r="D16" s="171">
        <v>4.33</v>
      </c>
      <c r="E16" s="171"/>
      <c r="F16" s="171">
        <v>17.93</v>
      </c>
      <c r="G16" s="40"/>
      <c r="H16" s="171"/>
      <c r="J16" s="171"/>
      <c r="L16" s="186"/>
      <c r="N16" s="88"/>
      <c r="O16" s="88"/>
      <c r="P16" s="88"/>
      <c r="R16" s="192"/>
      <c r="T16" s="88">
        <f t="shared" si="3"/>
        <v>0</v>
      </c>
    </row>
    <row r="17" spans="1:20">
      <c r="A17" s="12"/>
      <c r="B17" s="167" t="s">
        <v>289</v>
      </c>
      <c r="C17" s="41"/>
      <c r="D17" s="173">
        <v>3.31</v>
      </c>
      <c r="E17" s="173"/>
      <c r="F17" s="173">
        <v>27.96</v>
      </c>
      <c r="G17" s="40"/>
      <c r="H17" s="171"/>
      <c r="I17" s="4"/>
      <c r="J17" s="171"/>
      <c r="L17" s="186"/>
      <c r="N17" s="88"/>
      <c r="O17" s="88"/>
      <c r="P17" s="88"/>
      <c r="R17" s="192"/>
      <c r="T17" s="88">
        <f t="shared" si="3"/>
        <v>0</v>
      </c>
    </row>
    <row r="18" spans="1:20">
      <c r="A18" s="12"/>
      <c r="B18" s="167" t="s">
        <v>290</v>
      </c>
      <c r="C18" s="41"/>
      <c r="D18" s="174">
        <v>3.18</v>
      </c>
      <c r="E18" s="173"/>
      <c r="F18" s="174">
        <v>26.66</v>
      </c>
      <c r="G18" s="40"/>
      <c r="H18" s="178"/>
      <c r="J18" s="178"/>
      <c r="L18" s="187"/>
      <c r="N18" s="196"/>
      <c r="O18" s="88"/>
      <c r="P18" s="196"/>
      <c r="R18" s="192"/>
      <c r="T18" s="196">
        <f t="shared" si="3"/>
        <v>0</v>
      </c>
    </row>
    <row r="19" spans="1:20">
      <c r="A19" s="12"/>
      <c r="B19" s="167" t="s">
        <v>309</v>
      </c>
      <c r="C19" s="41"/>
      <c r="D19" s="173">
        <f>ROUND(L47,2)</f>
        <v>4.18</v>
      </c>
      <c r="E19" s="173"/>
      <c r="F19" s="173">
        <f>F47</f>
        <v>19.219265996291522</v>
      </c>
      <c r="G19" s="40"/>
      <c r="H19" s="171">
        <f t="shared" si="0"/>
        <v>20.219265996291522</v>
      </c>
      <c r="J19" s="171">
        <f t="shared" si="1"/>
        <v>3.97</v>
      </c>
      <c r="L19" s="186">
        <f>J19-D19</f>
        <v>-0.20999999999999952</v>
      </c>
      <c r="N19" s="45">
        <f>12894.976-N56-F94</f>
        <v>11340.727000000001</v>
      </c>
      <c r="O19" s="88"/>
      <c r="P19" s="88">
        <f>(L19*N19)/100</f>
        <v>-23.815526699999946</v>
      </c>
      <c r="R19" s="192">
        <v>0.95042000000000004</v>
      </c>
      <c r="T19" s="88">
        <f t="shared" si="3"/>
        <v>-22.634752886213949</v>
      </c>
    </row>
    <row r="20" spans="1:20">
      <c r="A20" s="12"/>
      <c r="B20" s="41"/>
      <c r="C20" s="41"/>
      <c r="D20" s="171"/>
      <c r="E20" s="171"/>
      <c r="F20" s="171"/>
      <c r="G20" s="40"/>
      <c r="H20" s="171"/>
      <c r="J20" s="171"/>
      <c r="L20" s="10"/>
      <c r="N20" s="88"/>
      <c r="O20" s="88"/>
      <c r="P20" s="88"/>
      <c r="R20" s="192"/>
      <c r="T20" s="88"/>
    </row>
    <row r="21" spans="1:20">
      <c r="A21" s="12"/>
      <c r="B21" s="167" t="s">
        <v>293</v>
      </c>
      <c r="C21" s="41"/>
      <c r="D21" s="171">
        <v>2.5</v>
      </c>
      <c r="E21" s="171"/>
      <c r="F21" s="173">
        <v>36.03</v>
      </c>
      <c r="G21" s="40"/>
      <c r="H21" s="171">
        <f t="shared" si="0"/>
        <v>37.03</v>
      </c>
      <c r="J21" s="171">
        <f t="shared" ref="J21:J25" si="4">ROUND((D21*F21)/H21,2)</f>
        <v>2.4300000000000002</v>
      </c>
      <c r="L21" s="186">
        <f t="shared" ref="L21:L23" si="5">J21-D21</f>
        <v>-6.999999999999984E-2</v>
      </c>
      <c r="N21" s="88">
        <f>5392.296-F96</f>
        <v>5383.7049999999999</v>
      </c>
      <c r="O21" s="88"/>
      <c r="P21" s="88">
        <f>(L21*N21)/100</f>
        <v>-3.7685934999999917</v>
      </c>
      <c r="R21" s="192">
        <v>0.90174699999999997</v>
      </c>
      <c r="T21" s="88">
        <f t="shared" ref="T21:T23" si="6">P21*R21</f>
        <v>-3.3983178828444922</v>
      </c>
    </row>
    <row r="22" spans="1:20">
      <c r="A22" s="29"/>
      <c r="B22" s="167" t="s">
        <v>294</v>
      </c>
      <c r="C22" s="42"/>
      <c r="D22" s="173">
        <v>3.19</v>
      </c>
      <c r="E22" s="173"/>
      <c r="F22" s="173">
        <v>32.28</v>
      </c>
      <c r="G22" s="179"/>
      <c r="H22" s="171">
        <f t="shared" si="0"/>
        <v>33.28</v>
      </c>
      <c r="J22" s="171">
        <f t="shared" si="4"/>
        <v>3.09</v>
      </c>
      <c r="L22" s="186">
        <f t="shared" si="5"/>
        <v>-0.10000000000000009</v>
      </c>
      <c r="N22" s="88">
        <v>15330.597</v>
      </c>
      <c r="O22" s="88"/>
      <c r="P22" s="88">
        <f>(L22*N22)/100</f>
        <v>-15.330597000000013</v>
      </c>
      <c r="R22" s="192">
        <v>0.99973800000000002</v>
      </c>
      <c r="T22" s="88">
        <f t="shared" si="6"/>
        <v>-15.326580383586014</v>
      </c>
    </row>
    <row r="23" spans="1:20">
      <c r="A23" s="29"/>
      <c r="B23" s="167" t="s">
        <v>295</v>
      </c>
      <c r="C23" s="42"/>
      <c r="D23" s="181">
        <v>3.94</v>
      </c>
      <c r="E23" s="175"/>
      <c r="F23" s="174">
        <v>17.239999999999998</v>
      </c>
      <c r="G23" s="179"/>
      <c r="H23" s="178">
        <f t="shared" si="0"/>
        <v>18.239999999999998</v>
      </c>
      <c r="I23" s="29"/>
      <c r="J23" s="178">
        <f t="shared" si="4"/>
        <v>3.72</v>
      </c>
      <c r="L23" s="187">
        <f t="shared" si="5"/>
        <v>-0.21999999999999975</v>
      </c>
      <c r="N23" s="196">
        <f>462.812+475.706+336.104-F98</f>
        <v>1268.4640000000002</v>
      </c>
      <c r="O23" s="88"/>
      <c r="P23" s="196">
        <f>(L23*N23)/100</f>
        <v>-2.790620799999997</v>
      </c>
      <c r="R23" s="192">
        <v>0.96767599999999998</v>
      </c>
      <c r="T23" s="196">
        <f t="shared" si="6"/>
        <v>-2.7004167732607969</v>
      </c>
    </row>
    <row r="24" spans="1:20">
      <c r="A24" s="29"/>
      <c r="B24" s="42"/>
      <c r="C24" s="42"/>
      <c r="D24" s="175"/>
      <c r="E24" s="175"/>
      <c r="F24" s="180"/>
      <c r="G24" s="179"/>
      <c r="H24" s="171"/>
      <c r="J24" s="171"/>
      <c r="L24" s="10"/>
      <c r="N24" s="88"/>
      <c r="O24" s="88"/>
      <c r="P24" s="88"/>
      <c r="R24" s="192"/>
      <c r="T24" s="88"/>
    </row>
    <row r="25" spans="1:20" ht="13.5" thickBot="1">
      <c r="A25" s="29"/>
      <c r="B25" s="170" t="s">
        <v>296</v>
      </c>
      <c r="C25" s="42"/>
      <c r="D25" s="183">
        <v>3.6</v>
      </c>
      <c r="E25" s="175"/>
      <c r="F25" s="184">
        <v>23.65</v>
      </c>
      <c r="G25" s="179"/>
      <c r="H25" s="185">
        <f t="shared" si="0"/>
        <v>24.65</v>
      </c>
      <c r="J25" s="185">
        <f t="shared" si="4"/>
        <v>3.45</v>
      </c>
      <c r="L25" s="188">
        <f>J25-D25</f>
        <v>-0.14999999999999991</v>
      </c>
      <c r="N25" s="197">
        <f>N13+N14+N19+N21+N22+N23</f>
        <v>43778.321000000004</v>
      </c>
      <c r="O25" s="88"/>
      <c r="P25" s="197">
        <f>P13+P14+P19+P21+P22+P23</f>
        <v>-70.796925199999976</v>
      </c>
      <c r="T25" s="197">
        <f>T13+T14+T19+T21+T22+T23</f>
        <v>-67.551304716143676</v>
      </c>
    </row>
    <row r="26" spans="1:20" ht="13.5" thickTop="1">
      <c r="A26" s="29"/>
      <c r="B26" s="42"/>
      <c r="C26" s="42"/>
      <c r="D26" s="45"/>
      <c r="E26" s="45"/>
      <c r="F26" s="45"/>
      <c r="G26" s="42"/>
      <c r="H26" s="177"/>
      <c r="J26" s="29"/>
      <c r="L26" s="10"/>
    </row>
    <row r="27" spans="1:20">
      <c r="A27" s="29"/>
      <c r="B27" s="42"/>
      <c r="C27" s="42"/>
      <c r="D27" s="45"/>
      <c r="E27" s="45"/>
      <c r="F27" s="45"/>
      <c r="G27" s="42"/>
      <c r="H27" s="177"/>
      <c r="J27" s="29"/>
      <c r="L27" s="10"/>
    </row>
    <row r="28" spans="1:20">
      <c r="A28" s="29"/>
      <c r="B28" s="167" t="s">
        <v>424</v>
      </c>
      <c r="C28" s="42"/>
      <c r="D28" s="45"/>
      <c r="E28" s="45"/>
      <c r="F28" s="45"/>
      <c r="G28" s="42"/>
      <c r="H28" s="177"/>
      <c r="J28" s="29"/>
      <c r="L28" s="10"/>
      <c r="N28" s="45">
        <f>-T25</f>
        <v>67.551304716143676</v>
      </c>
    </row>
    <row r="29" spans="1:20">
      <c r="A29" s="29"/>
      <c r="B29" s="167" t="s">
        <v>468</v>
      </c>
      <c r="C29" s="42"/>
      <c r="D29" s="45"/>
      <c r="E29" s="45"/>
      <c r="F29" s="45"/>
      <c r="G29" s="42"/>
      <c r="H29" s="177"/>
      <c r="J29" s="29"/>
      <c r="L29" s="10"/>
      <c r="N29" s="198">
        <f>-N28*0.38575</f>
        <v>-26.057915794252423</v>
      </c>
    </row>
    <row r="30" spans="1:20">
      <c r="A30" s="29"/>
      <c r="B30" s="167" t="s">
        <v>426</v>
      </c>
      <c r="C30" s="42"/>
      <c r="D30" s="45"/>
      <c r="E30" s="45"/>
      <c r="F30" s="45"/>
      <c r="G30" s="42"/>
      <c r="H30" s="177"/>
      <c r="J30" s="29"/>
      <c r="L30" s="10"/>
      <c r="N30" s="45">
        <f>SUM(N28:N29)</f>
        <v>41.493388921891253</v>
      </c>
    </row>
    <row r="31" spans="1:20">
      <c r="A31" s="29"/>
      <c r="B31" s="167"/>
      <c r="C31" s="42"/>
      <c r="D31" s="45"/>
      <c r="E31" s="45"/>
      <c r="F31" s="45"/>
      <c r="G31" s="42"/>
      <c r="H31" s="177"/>
      <c r="J31" s="29"/>
      <c r="L31" s="10"/>
      <c r="N31" s="45"/>
    </row>
    <row r="32" spans="1:20">
      <c r="A32" s="29"/>
      <c r="B32" s="167" t="s">
        <v>425</v>
      </c>
      <c r="C32" s="42"/>
      <c r="D32" s="45"/>
      <c r="E32" s="45"/>
      <c r="F32" s="45"/>
      <c r="G32" s="42"/>
      <c r="H32" s="177"/>
      <c r="J32" s="29"/>
      <c r="L32" s="10"/>
      <c r="N32" s="45">
        <f>N30/2</f>
        <v>20.746694460945626</v>
      </c>
    </row>
    <row r="33" spans="1:14">
      <c r="A33" s="29"/>
      <c r="B33" s="167" t="s">
        <v>422</v>
      </c>
      <c r="C33" s="42"/>
      <c r="D33" s="45"/>
      <c r="E33" s="45"/>
      <c r="F33" s="259"/>
      <c r="G33" s="42"/>
      <c r="H33" s="177"/>
      <c r="J33" s="29"/>
      <c r="L33" s="10"/>
      <c r="N33" s="260">
        <f>'Exh. LK-28'!J19</f>
        <v>9.8804316192411479E-2</v>
      </c>
    </row>
    <row r="34" spans="1:14" ht="13.5" thickBot="1">
      <c r="A34" s="29"/>
      <c r="B34" s="167" t="s">
        <v>423</v>
      </c>
      <c r="C34" s="42"/>
      <c r="D34" s="45"/>
      <c r="E34" s="45"/>
      <c r="F34" s="45"/>
      <c r="G34" s="42"/>
      <c r="H34" s="177"/>
      <c r="J34" s="29"/>
      <c r="L34" s="10"/>
      <c r="N34" s="261">
        <f>N32*N33</f>
        <v>2.0498629594666236</v>
      </c>
    </row>
    <row r="35" spans="1:14" ht="13.5" thickTop="1">
      <c r="A35" s="29"/>
      <c r="B35" s="42"/>
      <c r="C35" s="42"/>
      <c r="D35" s="45"/>
      <c r="E35" s="45"/>
      <c r="F35" s="45"/>
      <c r="G35" s="42"/>
      <c r="H35" s="177"/>
      <c r="J35" s="29"/>
      <c r="L35" s="10"/>
    </row>
    <row r="36" spans="1:14" ht="13.5" thickBot="1">
      <c r="A36" s="29"/>
      <c r="B36" s="170" t="s">
        <v>427</v>
      </c>
      <c r="C36" s="42"/>
      <c r="D36" s="45"/>
      <c r="E36" s="45"/>
      <c r="F36" s="45"/>
      <c r="G36" s="42"/>
      <c r="H36" s="177"/>
      <c r="J36" s="29"/>
      <c r="L36" s="10"/>
      <c r="N36" s="209">
        <f>N34+T25</f>
        <v>-65.501441756677053</v>
      </c>
    </row>
    <row r="37" spans="1:14" ht="13.5" thickTop="1">
      <c r="A37" s="29"/>
      <c r="B37" s="42"/>
      <c r="C37" s="42"/>
      <c r="D37" s="45"/>
      <c r="E37" s="45"/>
      <c r="F37" s="45"/>
      <c r="G37" s="42"/>
      <c r="H37" s="42"/>
      <c r="J37" s="29"/>
    </row>
    <row r="38" spans="1:14">
      <c r="A38" s="166" t="s">
        <v>334</v>
      </c>
      <c r="B38" s="39"/>
      <c r="C38" s="39"/>
      <c r="D38" s="39"/>
      <c r="E38" s="45"/>
      <c r="F38" s="45"/>
      <c r="G38" s="42"/>
      <c r="H38" s="42"/>
    </row>
    <row r="39" spans="1:14">
      <c r="A39" s="29"/>
      <c r="B39" s="42"/>
      <c r="C39" s="42"/>
      <c r="D39" s="45"/>
      <c r="E39" s="45"/>
      <c r="F39" s="45"/>
      <c r="G39" s="42"/>
      <c r="H39" s="42"/>
    </row>
    <row r="40" spans="1:14">
      <c r="A40" s="29"/>
      <c r="B40" s="42"/>
      <c r="C40" s="42"/>
      <c r="D40" s="45"/>
      <c r="E40" s="45"/>
      <c r="F40" s="45"/>
      <c r="G40" s="42"/>
      <c r="H40" s="42"/>
    </row>
    <row r="41" spans="1:14">
      <c r="A41" s="29"/>
      <c r="B41" s="42"/>
      <c r="C41" s="42"/>
      <c r="D41" s="46"/>
      <c r="E41" s="46"/>
      <c r="F41" s="46"/>
      <c r="G41" s="42"/>
      <c r="H41" s="42"/>
    </row>
    <row r="42" spans="1:14">
      <c r="A42" s="29"/>
      <c r="B42" s="167" t="s">
        <v>310</v>
      </c>
      <c r="C42" s="42"/>
      <c r="D42" s="42"/>
      <c r="E42" s="42"/>
      <c r="F42" s="195" t="s">
        <v>311</v>
      </c>
      <c r="G42" s="42"/>
      <c r="H42" s="42"/>
      <c r="L42" s="158" t="s">
        <v>292</v>
      </c>
    </row>
    <row r="43" spans="1:14">
      <c r="A43" s="29"/>
      <c r="B43" s="167" t="s">
        <v>288</v>
      </c>
      <c r="C43" s="42"/>
      <c r="D43" s="45">
        <v>8453.6117269999995</v>
      </c>
      <c r="E43" s="46"/>
      <c r="F43" s="194">
        <f>F16</f>
        <v>17.93</v>
      </c>
      <c r="G43" s="42"/>
      <c r="H43" s="45">
        <f>D43*F43</f>
        <v>151573.25826510999</v>
      </c>
      <c r="L43" s="200">
        <v>4.33</v>
      </c>
      <c r="N43" s="88">
        <f>D43*L43</f>
        <v>36604.138777909997</v>
      </c>
    </row>
    <row r="44" spans="1:14">
      <c r="A44" s="29"/>
      <c r="B44" s="167" t="s">
        <v>289</v>
      </c>
      <c r="C44" s="42"/>
      <c r="D44" s="45">
        <v>488.567362</v>
      </c>
      <c r="E44" s="42"/>
      <c r="F44" s="194">
        <f>F17</f>
        <v>27.96</v>
      </c>
      <c r="G44" s="42"/>
      <c r="H44" s="45">
        <f>D44*F44</f>
        <v>13660.343441520001</v>
      </c>
      <c r="L44" s="201">
        <v>3.31</v>
      </c>
      <c r="N44" s="88">
        <f t="shared" ref="N44:N45" si="7">D44*L44</f>
        <v>1617.1579682199999</v>
      </c>
    </row>
    <row r="45" spans="1:14">
      <c r="A45" s="29"/>
      <c r="B45" s="167" t="s">
        <v>290</v>
      </c>
      <c r="C45" s="42"/>
      <c r="D45" s="198">
        <v>890.84178899999995</v>
      </c>
      <c r="E45" s="42"/>
      <c r="F45" s="199">
        <f>F18</f>
        <v>26.66</v>
      </c>
      <c r="G45" s="42"/>
      <c r="H45" s="198">
        <f>D45*F45</f>
        <v>23749.842094739997</v>
      </c>
      <c r="L45" s="202">
        <v>3.18</v>
      </c>
      <c r="N45" s="196">
        <f t="shared" si="7"/>
        <v>2832.8768890199999</v>
      </c>
    </row>
    <row r="46" spans="1:14">
      <c r="A46" s="29"/>
      <c r="B46" s="42"/>
      <c r="C46" s="42"/>
      <c r="D46" s="45"/>
      <c r="E46" s="42"/>
      <c r="F46" s="42"/>
      <c r="G46" s="42"/>
      <c r="H46" s="45"/>
      <c r="N46" s="88"/>
    </row>
    <row r="47" spans="1:14" ht="13.5" thickBot="1">
      <c r="A47" s="29"/>
      <c r="B47" s="42" t="s">
        <v>320</v>
      </c>
      <c r="C47" s="42"/>
      <c r="D47" s="203">
        <f>SUM(D43:D46)</f>
        <v>9833.0208779999994</v>
      </c>
      <c r="E47" s="42"/>
      <c r="F47" s="205">
        <f>H47/D47</f>
        <v>19.219265996291522</v>
      </c>
      <c r="G47" s="42"/>
      <c r="H47" s="203">
        <f>SUM(H43:H46)</f>
        <v>188983.44380136998</v>
      </c>
      <c r="L47" s="206">
        <f>N47/D47</f>
        <v>4.1751333740176362</v>
      </c>
      <c r="N47" s="197">
        <f>SUM(N43:N46)</f>
        <v>41054.17363515</v>
      </c>
    </row>
    <row r="48" spans="1:14" ht="13.5" thickTop="1">
      <c r="A48" s="29"/>
      <c r="B48" s="42"/>
      <c r="C48" s="42"/>
      <c r="D48" s="45"/>
      <c r="E48" s="45"/>
      <c r="F48" s="45"/>
      <c r="G48" s="42"/>
      <c r="H48" s="45"/>
    </row>
    <row r="49" spans="1:14">
      <c r="A49" s="29"/>
      <c r="B49" s="42"/>
      <c r="C49" s="42"/>
      <c r="D49" s="45"/>
      <c r="E49" s="45"/>
      <c r="F49" s="45"/>
      <c r="G49" s="42"/>
      <c r="H49" s="42"/>
    </row>
    <row r="50" spans="1:14">
      <c r="A50" s="29"/>
      <c r="B50" s="42"/>
      <c r="C50" s="42"/>
      <c r="D50" s="45"/>
      <c r="E50" s="45"/>
      <c r="F50" s="45"/>
      <c r="G50" s="42"/>
      <c r="H50" s="42"/>
    </row>
    <row r="51" spans="1:14">
      <c r="A51" s="29"/>
      <c r="B51" s="42"/>
      <c r="C51" s="42"/>
      <c r="D51" s="45"/>
      <c r="E51" s="45"/>
      <c r="F51" s="45"/>
      <c r="G51" s="42"/>
      <c r="H51" s="42" t="s">
        <v>312</v>
      </c>
    </row>
    <row r="52" spans="1:14">
      <c r="A52" s="29"/>
      <c r="B52" s="42"/>
      <c r="C52" s="42"/>
      <c r="D52" s="45"/>
      <c r="E52" s="45"/>
      <c r="F52" s="45"/>
      <c r="G52" s="42"/>
      <c r="H52" s="42"/>
      <c r="N52" s="204">
        <f>N25</f>
        <v>43778.321000000004</v>
      </c>
    </row>
    <row r="53" spans="1:14">
      <c r="A53" s="29"/>
      <c r="B53" s="42"/>
      <c r="C53" s="42"/>
      <c r="D53" s="45"/>
      <c r="E53" s="45"/>
      <c r="F53" s="45"/>
      <c r="G53" s="42"/>
      <c r="H53" s="42" t="s">
        <v>314</v>
      </c>
      <c r="N53" s="204">
        <v>1037.944</v>
      </c>
    </row>
    <row r="54" spans="1:14">
      <c r="A54" s="29"/>
      <c r="B54" s="42"/>
      <c r="C54" s="42"/>
      <c r="D54" s="45"/>
      <c r="E54" s="45"/>
      <c r="F54" s="45"/>
      <c r="G54" s="42"/>
      <c r="H54" s="42" t="s">
        <v>313</v>
      </c>
      <c r="N54">
        <v>49.591000000000001</v>
      </c>
    </row>
    <row r="55" spans="1:14">
      <c r="A55" s="29"/>
      <c r="B55" s="42"/>
      <c r="C55" s="42"/>
      <c r="D55" s="45"/>
      <c r="E55" s="45"/>
      <c r="F55" s="45"/>
      <c r="G55" s="42"/>
      <c r="H55" s="42" t="s">
        <v>315</v>
      </c>
      <c r="N55">
        <v>107.383</v>
      </c>
    </row>
    <row r="56" spans="1:14">
      <c r="A56" s="29"/>
      <c r="B56" s="42"/>
      <c r="C56" s="42"/>
      <c r="D56" s="45"/>
      <c r="E56" s="45"/>
      <c r="F56" s="45"/>
      <c r="G56" s="42"/>
      <c r="H56" s="167" t="s">
        <v>341</v>
      </c>
      <c r="N56" s="217">
        <v>909.94</v>
      </c>
    </row>
    <row r="57" spans="1:14">
      <c r="A57" s="29"/>
      <c r="B57" s="42"/>
      <c r="C57" s="42"/>
      <c r="D57" s="45"/>
      <c r="E57" s="45"/>
      <c r="F57" s="45"/>
      <c r="G57" s="42"/>
      <c r="H57" s="167" t="s">
        <v>344</v>
      </c>
      <c r="N57" s="217">
        <f>F100</f>
        <v>1634.5939999999998</v>
      </c>
    </row>
    <row r="58" spans="1:14">
      <c r="A58" s="29"/>
      <c r="B58" s="42"/>
      <c r="C58" s="42"/>
      <c r="D58" s="45"/>
      <c r="E58" s="45"/>
      <c r="F58" s="45"/>
      <c r="G58" s="42"/>
      <c r="H58" s="42" t="s">
        <v>317</v>
      </c>
      <c r="N58">
        <v>2.6560000000000001</v>
      </c>
    </row>
    <row r="59" spans="1:14">
      <c r="A59" s="29"/>
      <c r="B59" s="42"/>
      <c r="C59" s="42"/>
      <c r="D59" s="45"/>
      <c r="E59" s="45"/>
      <c r="F59" s="45"/>
      <c r="G59" s="42"/>
      <c r="H59" s="42" t="s">
        <v>318</v>
      </c>
      <c r="N59" s="193">
        <v>0.59899999999999998</v>
      </c>
    </row>
    <row r="60" spans="1:14" ht="13.5" thickBot="1">
      <c r="A60" s="29"/>
      <c r="B60" s="42"/>
      <c r="C60" s="42"/>
      <c r="D60" s="42"/>
      <c r="E60" s="42"/>
      <c r="F60" s="42"/>
      <c r="G60" s="42"/>
      <c r="H60" s="42" t="s">
        <v>316</v>
      </c>
      <c r="N60" s="209">
        <f>SUM(N52:N59)</f>
        <v>47521.028000000013</v>
      </c>
    </row>
    <row r="61" spans="1:14" ht="13.5" thickTop="1">
      <c r="A61" s="29"/>
      <c r="B61" s="42"/>
      <c r="C61" s="42"/>
      <c r="D61" s="46"/>
      <c r="E61" s="46"/>
      <c r="F61" s="46"/>
      <c r="G61" s="42"/>
      <c r="H61" s="42"/>
    </row>
    <row r="62" spans="1:14">
      <c r="B62" s="26"/>
      <c r="C62" s="26"/>
      <c r="D62" s="26"/>
      <c r="E62" s="26"/>
      <c r="F62" s="26"/>
      <c r="G62" s="26"/>
      <c r="H62" s="26"/>
    </row>
    <row r="63" spans="1:14">
      <c r="B63" s="26"/>
      <c r="C63" s="26"/>
      <c r="D63" s="26"/>
      <c r="E63" s="26"/>
      <c r="F63" s="26"/>
      <c r="G63" s="26"/>
      <c r="H63" s="26"/>
    </row>
    <row r="64" spans="1:14">
      <c r="B64" s="26"/>
      <c r="C64" s="26"/>
      <c r="D64" s="26"/>
      <c r="E64" s="26"/>
      <c r="F64" s="26"/>
      <c r="G64" s="26"/>
      <c r="H64" s="26"/>
    </row>
    <row r="65" spans="1:8">
      <c r="B65" s="26"/>
      <c r="C65" s="26"/>
      <c r="D65" s="26"/>
      <c r="E65" s="26"/>
      <c r="F65" s="26"/>
      <c r="G65" s="26"/>
      <c r="H65" s="26"/>
    </row>
    <row r="66" spans="1:8">
      <c r="B66" s="26"/>
      <c r="C66" s="26"/>
      <c r="D66" s="26"/>
      <c r="E66" s="26"/>
      <c r="F66" s="26"/>
      <c r="G66" s="26"/>
      <c r="H66" s="26"/>
    </row>
    <row r="67" spans="1:8">
      <c r="B67" s="26"/>
      <c r="C67" s="26"/>
      <c r="D67" s="26"/>
      <c r="E67" s="26"/>
      <c r="F67" s="26"/>
      <c r="G67" s="26"/>
      <c r="H67" s="26"/>
    </row>
    <row r="68" spans="1:8">
      <c r="B68" s="26"/>
      <c r="C68" s="26"/>
      <c r="D68" s="26"/>
      <c r="E68" s="26"/>
      <c r="F68" s="26"/>
      <c r="G68" s="26"/>
      <c r="H68" s="26"/>
    </row>
    <row r="69" spans="1:8">
      <c r="B69" s="26"/>
      <c r="C69" s="26"/>
      <c r="D69" s="26"/>
      <c r="E69" s="26"/>
      <c r="F69" s="26"/>
      <c r="G69" s="26"/>
      <c r="H69" s="26"/>
    </row>
    <row r="70" spans="1:8">
      <c r="B70" s="26"/>
      <c r="C70" s="26"/>
      <c r="D70" s="26"/>
      <c r="E70" s="26"/>
      <c r="F70" s="26"/>
      <c r="G70" s="26"/>
      <c r="H70" s="26"/>
    </row>
    <row r="71" spans="1:8">
      <c r="B71" s="26"/>
      <c r="C71" s="26"/>
      <c r="D71" s="26"/>
      <c r="E71" s="26"/>
      <c r="F71" s="26"/>
      <c r="G71" s="26"/>
      <c r="H71" s="26"/>
    </row>
    <row r="72" spans="1:8">
      <c r="B72" s="26"/>
      <c r="C72" s="26"/>
      <c r="D72" s="26"/>
      <c r="E72" s="26"/>
      <c r="F72" s="26"/>
      <c r="G72" s="26"/>
      <c r="H72" s="26"/>
    </row>
    <row r="73" spans="1:8">
      <c r="B73" s="26"/>
      <c r="C73" s="26"/>
      <c r="D73" s="26"/>
      <c r="E73" s="26"/>
      <c r="F73" s="26"/>
      <c r="G73" s="26"/>
      <c r="H73" s="26"/>
    </row>
    <row r="74" spans="1:8">
      <c r="B74" s="26"/>
      <c r="C74" s="26"/>
      <c r="D74" s="26"/>
      <c r="E74" s="26"/>
      <c r="F74" s="26"/>
      <c r="G74" s="26"/>
      <c r="H74" s="26"/>
    </row>
    <row r="75" spans="1:8">
      <c r="B75" s="26"/>
      <c r="C75" s="26"/>
      <c r="D75" s="26"/>
      <c r="E75" s="26"/>
      <c r="F75" s="26"/>
      <c r="G75" s="26"/>
      <c r="H75" s="26"/>
    </row>
    <row r="76" spans="1:8">
      <c r="B76" s="26"/>
      <c r="C76" s="26"/>
      <c r="D76" s="26"/>
      <c r="E76" s="26"/>
      <c r="F76" s="26"/>
      <c r="G76" s="26"/>
      <c r="H76" s="26"/>
    </row>
    <row r="77" spans="1:8">
      <c r="A77" s="158" t="s">
        <v>326</v>
      </c>
      <c r="B77" s="26"/>
      <c r="C77" s="26"/>
      <c r="D77" s="26"/>
      <c r="E77" s="26"/>
      <c r="F77" s="26"/>
      <c r="G77" s="26"/>
      <c r="H77" s="26"/>
    </row>
    <row r="78" spans="1:8">
      <c r="A78" s="158"/>
      <c r="B78" s="26"/>
      <c r="C78" s="26"/>
      <c r="D78" s="26"/>
      <c r="E78" s="26"/>
      <c r="F78" s="212" t="s">
        <v>330</v>
      </c>
      <c r="G78" s="26"/>
      <c r="H78" s="26"/>
    </row>
    <row r="79" spans="1:8">
      <c r="B79" s="212" t="s">
        <v>327</v>
      </c>
      <c r="C79" s="26"/>
      <c r="D79" s="26"/>
      <c r="E79" s="26"/>
      <c r="F79" s="26"/>
      <c r="G79" s="26"/>
      <c r="H79" s="26"/>
    </row>
    <row r="80" spans="1:8">
      <c r="B80" s="213" t="s">
        <v>328</v>
      </c>
      <c r="C80" s="26"/>
      <c r="D80" s="26"/>
      <c r="E80" s="26"/>
      <c r="F80" s="215">
        <v>191.631</v>
      </c>
      <c r="G80" s="26"/>
      <c r="H80" s="26"/>
    </row>
    <row r="81" spans="2:8">
      <c r="B81" s="213" t="s">
        <v>329</v>
      </c>
      <c r="C81" s="26"/>
      <c r="D81" s="26"/>
      <c r="E81" s="26"/>
      <c r="F81" s="215">
        <v>475.995</v>
      </c>
      <c r="G81" s="26"/>
      <c r="H81" s="26"/>
    </row>
    <row r="82" spans="2:8">
      <c r="B82" s="214" t="s">
        <v>331</v>
      </c>
      <c r="C82" s="26"/>
      <c r="D82" s="26"/>
      <c r="E82" s="26"/>
      <c r="F82" s="215">
        <v>28.03</v>
      </c>
      <c r="G82" s="26"/>
      <c r="H82" s="26"/>
    </row>
    <row r="83" spans="2:8">
      <c r="B83" s="214" t="s">
        <v>332</v>
      </c>
      <c r="C83" s="26"/>
      <c r="D83" s="26"/>
      <c r="E83" s="26"/>
      <c r="F83" s="215">
        <v>26.931999999999999</v>
      </c>
      <c r="G83" s="26"/>
      <c r="H83" s="26"/>
    </row>
    <row r="84" spans="2:8">
      <c r="B84" s="214" t="s">
        <v>333</v>
      </c>
      <c r="C84" s="26"/>
      <c r="D84" s="26"/>
      <c r="E84" s="26"/>
      <c r="F84" s="196">
        <v>177.79599999999999</v>
      </c>
      <c r="G84" s="26"/>
      <c r="H84" s="26"/>
    </row>
    <row r="85" spans="2:8">
      <c r="B85" s="167" t="s">
        <v>335</v>
      </c>
      <c r="C85" s="26"/>
      <c r="D85" s="26"/>
      <c r="E85" s="26"/>
      <c r="F85" s="215">
        <f>SUM(F80:F84)</f>
        <v>900.38400000000001</v>
      </c>
      <c r="G85" s="26"/>
      <c r="H85" s="26"/>
    </row>
    <row r="86" spans="2:8">
      <c r="B86" s="26"/>
      <c r="C86" s="26"/>
      <c r="D86" s="26"/>
      <c r="E86" s="26"/>
      <c r="F86" s="215"/>
      <c r="G86" s="26"/>
      <c r="H86" s="26"/>
    </row>
    <row r="87" spans="2:8">
      <c r="B87" s="167" t="s">
        <v>336</v>
      </c>
      <c r="C87" s="26"/>
      <c r="D87" s="26"/>
      <c r="E87" s="26"/>
      <c r="F87" s="215">
        <v>75.152000000000001</v>
      </c>
      <c r="G87" s="26"/>
      <c r="H87" s="26"/>
    </row>
    <row r="88" spans="2:8">
      <c r="B88" s="26"/>
      <c r="C88" s="26"/>
      <c r="D88" s="26"/>
      <c r="E88" s="26"/>
      <c r="F88" s="215"/>
      <c r="G88" s="26"/>
      <c r="H88" s="26"/>
    </row>
    <row r="89" spans="2:8">
      <c r="B89" s="170" t="s">
        <v>310</v>
      </c>
      <c r="C89" s="26"/>
      <c r="D89" s="26"/>
      <c r="E89" s="26"/>
      <c r="F89" s="215"/>
      <c r="G89" s="26"/>
      <c r="H89" s="26"/>
    </row>
    <row r="90" spans="2:8">
      <c r="B90" s="216" t="s">
        <v>337</v>
      </c>
      <c r="C90" s="26"/>
      <c r="D90" s="26"/>
      <c r="E90" s="26"/>
      <c r="F90" s="215">
        <v>120.548</v>
      </c>
      <c r="G90" s="26"/>
      <c r="H90" s="26"/>
    </row>
    <row r="91" spans="2:8">
      <c r="B91" s="216" t="s">
        <v>338</v>
      </c>
      <c r="C91" s="26"/>
      <c r="D91" s="26"/>
      <c r="E91" s="26"/>
      <c r="F91" s="215">
        <v>2.298</v>
      </c>
      <c r="G91" s="26"/>
      <c r="H91" s="26"/>
    </row>
    <row r="92" spans="2:8">
      <c r="B92" s="216" t="s">
        <v>339</v>
      </c>
      <c r="C92" s="26"/>
      <c r="D92" s="26"/>
      <c r="E92" s="26"/>
      <c r="F92" s="45">
        <v>459.82799999999997</v>
      </c>
      <c r="G92" s="26"/>
      <c r="H92" s="26"/>
    </row>
    <row r="93" spans="2:8">
      <c r="B93" s="216" t="s">
        <v>340</v>
      </c>
      <c r="C93" s="26"/>
      <c r="D93" s="26"/>
      <c r="E93" s="26"/>
      <c r="F93" s="198">
        <v>61.634999999999998</v>
      </c>
      <c r="G93" s="26"/>
      <c r="H93" s="26"/>
    </row>
    <row r="94" spans="2:8">
      <c r="B94" s="216"/>
      <c r="C94" s="26"/>
      <c r="D94" s="26"/>
      <c r="E94" s="26"/>
      <c r="F94" s="45">
        <f>SUM(F90:F93)</f>
        <v>644.30899999999997</v>
      </c>
      <c r="G94" s="26"/>
      <c r="H94" s="26"/>
    </row>
    <row r="95" spans="2:8">
      <c r="B95" s="26"/>
      <c r="C95" s="26"/>
      <c r="D95" s="26"/>
      <c r="E95" s="26"/>
      <c r="F95" s="26"/>
      <c r="G95" s="26"/>
      <c r="H95" s="26"/>
    </row>
    <row r="96" spans="2:8">
      <c r="B96" s="170" t="s">
        <v>342</v>
      </c>
      <c r="C96" s="26"/>
      <c r="D96" s="26"/>
      <c r="E96" s="26"/>
      <c r="F96" s="45">
        <v>8.5909999999999993</v>
      </c>
      <c r="G96" s="26"/>
      <c r="H96" s="26"/>
    </row>
    <row r="97" spans="2:8">
      <c r="B97" s="26"/>
      <c r="C97" s="26"/>
      <c r="D97" s="26"/>
      <c r="E97" s="26"/>
      <c r="F97" s="26"/>
      <c r="G97" s="26"/>
      <c r="H97" s="26"/>
    </row>
    <row r="98" spans="2:8">
      <c r="B98" s="212" t="s">
        <v>343</v>
      </c>
      <c r="C98" s="26"/>
      <c r="D98" s="26"/>
      <c r="E98" s="26"/>
      <c r="F98" s="26">
        <v>6.1580000000000004</v>
      </c>
      <c r="G98" s="26"/>
      <c r="H98" s="26"/>
    </row>
    <row r="99" spans="2:8">
      <c r="B99" s="26"/>
      <c r="C99" s="26"/>
      <c r="D99" s="26"/>
      <c r="E99" s="26"/>
      <c r="F99" s="26"/>
      <c r="G99" s="26"/>
      <c r="H99" s="26"/>
    </row>
    <row r="100" spans="2:8">
      <c r="B100" s="212" t="s">
        <v>344</v>
      </c>
      <c r="C100" s="26"/>
      <c r="D100" s="26"/>
      <c r="E100" s="26"/>
      <c r="F100" s="215">
        <f>F85+F87+F94+F96+F98</f>
        <v>1634.5939999999998</v>
      </c>
      <c r="G100" s="26"/>
      <c r="H100" s="26"/>
    </row>
    <row r="101" spans="2:8">
      <c r="B101" s="26"/>
      <c r="C101" s="26"/>
      <c r="D101" s="26"/>
      <c r="E101" s="26"/>
      <c r="F101" s="26"/>
      <c r="G101" s="26"/>
      <c r="H101" s="26"/>
    </row>
    <row r="102" spans="2:8">
      <c r="B102" s="26"/>
      <c r="C102" s="26"/>
      <c r="D102" s="26"/>
      <c r="E102" s="26"/>
      <c r="F102" s="26"/>
      <c r="G102" s="26"/>
      <c r="H102" s="26"/>
    </row>
    <row r="103" spans="2:8">
      <c r="B103" s="26"/>
      <c r="C103" s="26"/>
      <c r="D103" s="26"/>
      <c r="E103" s="26"/>
      <c r="F103" s="26"/>
      <c r="G103" s="26"/>
      <c r="H103" s="26"/>
    </row>
    <row r="104" spans="2:8">
      <c r="B104" s="26"/>
      <c r="C104" s="26"/>
      <c r="D104" s="26"/>
      <c r="E104" s="26"/>
      <c r="F104" s="26"/>
      <c r="G104" s="26"/>
      <c r="H104" s="26"/>
    </row>
    <row r="105" spans="2:8">
      <c r="B105" s="26"/>
      <c r="C105" s="26"/>
      <c r="D105" s="26"/>
      <c r="E105" s="26"/>
      <c r="F105" s="26"/>
      <c r="G105" s="26"/>
      <c r="H105" s="26"/>
    </row>
  </sheetData>
  <mergeCells count="5">
    <mergeCell ref="A1:T1"/>
    <mergeCell ref="A2:T2"/>
    <mergeCell ref="A3:T3"/>
    <mergeCell ref="A4:T4"/>
    <mergeCell ref="A5:T5"/>
  </mergeCells>
  <phoneticPr fontId="29" type="noConversion"/>
  <pageMargins left="0.39" right="0.25" top="1" bottom="1" header="0.5" footer="0.5"/>
  <pageSetup orientation="landscape" r:id="rId1"/>
  <headerFooter alignWithMargins="0">
    <oddHeader>&amp;R&amp;8Docket No. 160021-EI, &amp;"Arial,Italic"et al&amp;"Arial,Regular".
FPL POD No. 5
Attachment A
Page &amp;P of &amp;N</oddHeader>
  </headerFooter>
  <rowBreaks count="2" manualBreakCount="2">
    <brk id="41" max="19" man="1"/>
    <brk id="75" max="1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9"/>
  <sheetViews>
    <sheetView tabSelected="1" view="pageLayout" zoomScaleNormal="100" zoomScaleSheetLayoutView="100" workbookViewId="0">
      <selection activeCell="G9" sqref="G9"/>
    </sheetView>
  </sheetViews>
  <sheetFormatPr defaultRowHeight="12.75"/>
  <cols>
    <col min="1" max="1" width="1.85546875" customWidth="1"/>
    <col min="2" max="2" width="21.5703125" customWidth="1"/>
    <col min="3" max="3" width="2.140625" customWidth="1"/>
    <col min="4" max="4" width="12.7109375" customWidth="1"/>
    <col min="5" max="5" width="2.140625" customWidth="1"/>
    <col min="6" max="6" width="12.7109375" customWidth="1"/>
    <col min="7" max="7" width="2.140625" customWidth="1"/>
    <col min="8" max="8" width="12.85546875" customWidth="1"/>
    <col min="9" max="9" width="2.28515625" customWidth="1"/>
    <col min="10" max="10" width="9.7109375" customWidth="1"/>
    <col min="11" max="11" width="2.140625" customWidth="1"/>
    <col min="12" max="12" width="9.7109375" customWidth="1"/>
    <col min="13" max="13" width="2.140625" customWidth="1"/>
    <col min="14" max="14" width="14" customWidth="1"/>
    <col min="15" max="15" width="2.140625" customWidth="1"/>
    <col min="16" max="16" width="13.7109375" customWidth="1"/>
    <col min="17" max="17" width="2.140625" customWidth="1"/>
    <col min="18" max="18" width="11.5703125" customWidth="1"/>
    <col min="19" max="19" width="2.140625" customWidth="1"/>
    <col min="20" max="20" width="12.140625" customWidth="1"/>
  </cols>
  <sheetData>
    <row r="1" spans="1:20">
      <c r="A1" s="374" t="s">
        <v>33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</row>
    <row r="2" spans="1:20">
      <c r="A2" s="375" t="s">
        <v>285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</row>
    <row r="3" spans="1:20">
      <c r="A3" s="375" t="s">
        <v>65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5"/>
    </row>
    <row r="4" spans="1:20">
      <c r="A4" s="375" t="s">
        <v>67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</row>
    <row r="5" spans="1:20">
      <c r="A5" s="374" t="s">
        <v>19</v>
      </c>
      <c r="B5" s="374"/>
      <c r="C5" s="374"/>
      <c r="D5" s="374"/>
      <c r="E5" s="374"/>
      <c r="F5" s="374"/>
      <c r="G5" s="374"/>
      <c r="H5" s="374"/>
      <c r="I5" s="374"/>
      <c r="J5" s="374"/>
      <c r="K5" s="374"/>
      <c r="L5" s="374"/>
      <c r="M5" s="374"/>
      <c r="N5" s="374"/>
      <c r="O5" s="374"/>
      <c r="P5" s="374"/>
      <c r="Q5" s="374"/>
      <c r="R5" s="374"/>
      <c r="S5" s="374"/>
      <c r="T5" s="374"/>
    </row>
    <row r="6" spans="1:20">
      <c r="A6" s="104"/>
      <c r="B6" s="104"/>
      <c r="C6" s="104"/>
      <c r="D6" s="104"/>
      <c r="E6" s="104"/>
      <c r="F6" s="104"/>
      <c r="G6" s="104"/>
      <c r="H6" s="104"/>
    </row>
    <row r="7" spans="1:20">
      <c r="A7" s="104"/>
      <c r="B7" s="104"/>
      <c r="C7" s="104"/>
      <c r="D7" s="104"/>
      <c r="E7" s="104"/>
      <c r="F7" s="104"/>
      <c r="G7" s="104"/>
      <c r="H7" s="104"/>
    </row>
    <row r="8" spans="1:20">
      <c r="E8" s="39"/>
      <c r="F8" s="39"/>
      <c r="G8" s="39"/>
      <c r="H8" s="39"/>
      <c r="N8" s="182" t="s">
        <v>304</v>
      </c>
      <c r="R8" s="10" t="s">
        <v>319</v>
      </c>
    </row>
    <row r="9" spans="1:20">
      <c r="A9" s="166"/>
      <c r="B9" s="39"/>
      <c r="C9" s="39"/>
      <c r="D9" s="39"/>
      <c r="E9" s="39"/>
      <c r="F9" s="176" t="s">
        <v>299</v>
      </c>
      <c r="G9" s="39"/>
      <c r="H9" s="176" t="s">
        <v>300</v>
      </c>
      <c r="J9" s="176"/>
      <c r="L9" s="176" t="s">
        <v>300</v>
      </c>
      <c r="N9" s="189" t="s">
        <v>319</v>
      </c>
      <c r="P9" s="176" t="s">
        <v>300</v>
      </c>
      <c r="R9" s="189" t="s">
        <v>307</v>
      </c>
      <c r="T9" s="176" t="s">
        <v>300</v>
      </c>
    </row>
    <row r="10" spans="1:20">
      <c r="A10" s="38"/>
      <c r="B10" s="39"/>
      <c r="C10" s="39"/>
      <c r="D10" s="176" t="s">
        <v>299</v>
      </c>
      <c r="E10" s="39"/>
      <c r="F10" s="176" t="s">
        <v>291</v>
      </c>
      <c r="G10" s="39"/>
      <c r="H10" s="176" t="s">
        <v>291</v>
      </c>
      <c r="J10" s="176" t="s">
        <v>300</v>
      </c>
      <c r="L10" s="182" t="s">
        <v>25</v>
      </c>
      <c r="N10" s="155" t="s">
        <v>299</v>
      </c>
      <c r="P10" s="189" t="s">
        <v>305</v>
      </c>
      <c r="R10" s="189" t="s">
        <v>20</v>
      </c>
      <c r="T10" s="189" t="s">
        <v>20</v>
      </c>
    </row>
    <row r="11" spans="1:20">
      <c r="A11" s="39"/>
      <c r="B11" s="40"/>
      <c r="C11" s="40"/>
      <c r="D11" s="155" t="s">
        <v>291</v>
      </c>
      <c r="E11" s="155"/>
      <c r="F11" s="155" t="s">
        <v>297</v>
      </c>
      <c r="G11" s="40"/>
      <c r="H11" s="155" t="s">
        <v>297</v>
      </c>
      <c r="J11" s="182" t="s">
        <v>25</v>
      </c>
      <c r="L11" s="155" t="s">
        <v>292</v>
      </c>
      <c r="N11" s="155" t="s">
        <v>291</v>
      </c>
      <c r="P11" s="189" t="s">
        <v>306</v>
      </c>
      <c r="R11" s="189" t="s">
        <v>308</v>
      </c>
      <c r="T11" s="189" t="s">
        <v>306</v>
      </c>
    </row>
    <row r="12" spans="1:20">
      <c r="A12" s="12"/>
      <c r="B12" s="168" t="s">
        <v>284</v>
      </c>
      <c r="C12" s="41"/>
      <c r="D12" s="169" t="s">
        <v>292</v>
      </c>
      <c r="E12" s="155"/>
      <c r="F12" s="169" t="s">
        <v>298</v>
      </c>
      <c r="G12" s="41"/>
      <c r="H12" s="169" t="s">
        <v>298</v>
      </c>
      <c r="J12" s="169" t="s">
        <v>292</v>
      </c>
      <c r="L12" s="169" t="s">
        <v>301</v>
      </c>
      <c r="N12" s="190" t="s">
        <v>302</v>
      </c>
      <c r="P12" s="190" t="s">
        <v>301</v>
      </c>
      <c r="R12" s="190" t="s">
        <v>35</v>
      </c>
      <c r="T12" s="190" t="s">
        <v>301</v>
      </c>
    </row>
    <row r="13" spans="1:20">
      <c r="A13" s="12"/>
      <c r="B13" s="167" t="s">
        <v>286</v>
      </c>
      <c r="C13" s="41"/>
      <c r="D13" s="171">
        <v>3.79</v>
      </c>
      <c r="E13" s="171"/>
      <c r="F13" s="171">
        <v>14.76</v>
      </c>
      <c r="G13" s="40"/>
      <c r="H13" s="171">
        <f>F13+1</f>
        <v>15.76</v>
      </c>
      <c r="J13" s="171">
        <f>ROUND((D13*F13)/H13,2)</f>
        <v>3.55</v>
      </c>
      <c r="L13" s="186">
        <f>J13-D13</f>
        <v>-0.24000000000000021</v>
      </c>
      <c r="N13" s="88">
        <f>3469.866-F90</f>
        <v>2558.779</v>
      </c>
      <c r="O13" s="88"/>
      <c r="P13" s="88">
        <f>(L13*N13)/100</f>
        <v>-6.1410696000000051</v>
      </c>
      <c r="R13" s="192">
        <v>0.95113199999999998</v>
      </c>
      <c r="T13" s="88">
        <f>P13*R13</f>
        <v>-5.8409678107872045</v>
      </c>
    </row>
    <row r="14" spans="1:20">
      <c r="A14" s="12"/>
      <c r="B14" s="167" t="s">
        <v>287</v>
      </c>
      <c r="C14" s="41"/>
      <c r="D14" s="172">
        <v>4.16</v>
      </c>
      <c r="E14" s="172"/>
      <c r="F14" s="172">
        <v>16.559999999999999</v>
      </c>
      <c r="G14" s="40"/>
      <c r="H14" s="171">
        <f t="shared" ref="H14:H25" si="0">F14+1</f>
        <v>17.559999999999999</v>
      </c>
      <c r="J14" s="171">
        <f t="shared" ref="J14:J19" si="1">ROUND((D14*F14)/H14,2)</f>
        <v>3.92</v>
      </c>
      <c r="L14" s="186">
        <f t="shared" ref="L14" si="2">J14-D14</f>
        <v>-0.24000000000000021</v>
      </c>
      <c r="N14" s="88">
        <f>8132.213-F92</f>
        <v>8048.5039999999999</v>
      </c>
      <c r="O14" s="88"/>
      <c r="P14" s="88">
        <f>(L14*N14)/100</f>
        <v>-19.316409600000018</v>
      </c>
      <c r="R14" s="192">
        <v>0.93241799999999997</v>
      </c>
      <c r="T14" s="88">
        <f t="shared" ref="T14:T19" si="3">P14*R14</f>
        <v>-18.010968006412817</v>
      </c>
    </row>
    <row r="15" spans="1:20">
      <c r="A15" s="12"/>
      <c r="B15" s="167"/>
      <c r="C15" s="41"/>
      <c r="D15" s="172"/>
      <c r="E15" s="172"/>
      <c r="F15" s="172"/>
      <c r="G15" s="40"/>
      <c r="H15" s="171"/>
      <c r="J15" s="171"/>
      <c r="L15" s="186"/>
      <c r="N15" s="88"/>
      <c r="O15" s="88"/>
      <c r="P15" s="88"/>
      <c r="R15" s="192"/>
      <c r="T15" s="88"/>
    </row>
    <row r="16" spans="1:20">
      <c r="A16" s="12"/>
      <c r="B16" s="167" t="s">
        <v>288</v>
      </c>
      <c r="C16" s="41"/>
      <c r="D16" s="171">
        <v>4.33</v>
      </c>
      <c r="E16" s="171"/>
      <c r="F16" s="171">
        <v>17.93</v>
      </c>
      <c r="G16" s="40"/>
      <c r="H16" s="171"/>
      <c r="J16" s="171"/>
      <c r="L16" s="186"/>
      <c r="N16" s="88"/>
      <c r="O16" s="88"/>
      <c r="P16" s="88"/>
      <c r="R16" s="192"/>
      <c r="T16" s="88">
        <f t="shared" si="3"/>
        <v>0</v>
      </c>
    </row>
    <row r="17" spans="1:20">
      <c r="A17" s="12"/>
      <c r="B17" s="167" t="s">
        <v>289</v>
      </c>
      <c r="C17" s="41"/>
      <c r="D17" s="173">
        <v>3.31</v>
      </c>
      <c r="E17" s="173"/>
      <c r="F17" s="173">
        <v>27.96</v>
      </c>
      <c r="G17" s="40"/>
      <c r="H17" s="171"/>
      <c r="I17" s="4"/>
      <c r="J17" s="171"/>
      <c r="L17" s="186"/>
      <c r="N17" s="88"/>
      <c r="O17" s="88"/>
      <c r="P17" s="88"/>
      <c r="R17" s="192"/>
      <c r="T17" s="88">
        <f t="shared" si="3"/>
        <v>0</v>
      </c>
    </row>
    <row r="18" spans="1:20">
      <c r="A18" s="12"/>
      <c r="B18" s="167" t="s">
        <v>290</v>
      </c>
      <c r="C18" s="41"/>
      <c r="D18" s="174">
        <v>3.18</v>
      </c>
      <c r="E18" s="173"/>
      <c r="F18" s="174">
        <v>26.66</v>
      </c>
      <c r="G18" s="40"/>
      <c r="H18" s="178"/>
      <c r="J18" s="178"/>
      <c r="L18" s="187"/>
      <c r="N18" s="196"/>
      <c r="O18" s="88"/>
      <c r="P18" s="196"/>
      <c r="R18" s="192"/>
      <c r="T18" s="196">
        <f t="shared" si="3"/>
        <v>0</v>
      </c>
    </row>
    <row r="19" spans="1:20">
      <c r="A19" s="12"/>
      <c r="B19" s="167" t="s">
        <v>309</v>
      </c>
      <c r="C19" s="41"/>
      <c r="D19" s="173">
        <f>ROUND(L55,2)</f>
        <v>4.18</v>
      </c>
      <c r="E19" s="173"/>
      <c r="F19" s="173">
        <f>F55</f>
        <v>19.219265996291522</v>
      </c>
      <c r="G19" s="40"/>
      <c r="H19" s="171">
        <f t="shared" si="0"/>
        <v>20.219265996291522</v>
      </c>
      <c r="J19" s="171">
        <f t="shared" si="1"/>
        <v>3.97</v>
      </c>
      <c r="L19" s="186">
        <f>J19-D19</f>
        <v>-0.20999999999999952</v>
      </c>
      <c r="N19" s="45">
        <f>13811.108-F99-N64</f>
        <v>11756.815999999999</v>
      </c>
      <c r="O19" s="88"/>
      <c r="P19" s="88">
        <f>(L19*N19)/100</f>
        <v>-24.689313599999942</v>
      </c>
      <c r="R19" s="192">
        <v>0.95108499999999996</v>
      </c>
      <c r="T19" s="88">
        <f t="shared" si="3"/>
        <v>-23.481635825255943</v>
      </c>
    </row>
    <row r="20" spans="1:20">
      <c r="A20" s="12"/>
      <c r="B20" s="41"/>
      <c r="C20" s="41"/>
      <c r="D20" s="171"/>
      <c r="E20" s="171"/>
      <c r="F20" s="171"/>
      <c r="G20" s="40"/>
      <c r="H20" s="171"/>
      <c r="J20" s="171"/>
      <c r="L20" s="10"/>
      <c r="N20" s="88"/>
      <c r="O20" s="88"/>
      <c r="P20" s="88"/>
      <c r="R20" s="192"/>
      <c r="T20" s="88"/>
    </row>
    <row r="21" spans="1:20">
      <c r="A21" s="12"/>
      <c r="B21" s="167" t="s">
        <v>293</v>
      </c>
      <c r="C21" s="41"/>
      <c r="D21" s="171">
        <v>2.5</v>
      </c>
      <c r="E21" s="171"/>
      <c r="F21" s="173">
        <v>36.03</v>
      </c>
      <c r="G21" s="40"/>
      <c r="H21" s="171">
        <f t="shared" si="0"/>
        <v>37.03</v>
      </c>
      <c r="J21" s="171">
        <f t="shared" ref="J21:J25" si="4">ROUND((D21*F21)/H21,2)</f>
        <v>2.4300000000000002</v>
      </c>
      <c r="L21" s="186">
        <f t="shared" ref="L21:L23" si="5">J21-D21</f>
        <v>-6.999999999999984E-2</v>
      </c>
      <c r="N21" s="88">
        <f>5774.132-F101</f>
        <v>5765.4619999999995</v>
      </c>
      <c r="O21" s="88"/>
      <c r="P21" s="88">
        <f>(L21*N21)/100</f>
        <v>-4.0358233999999902</v>
      </c>
      <c r="R21" s="192">
        <v>0.90313500000000002</v>
      </c>
      <c r="T21" s="88">
        <f t="shared" ref="T21:T23" si="6">P21*R21</f>
        <v>-3.6448933663589913</v>
      </c>
    </row>
    <row r="22" spans="1:20">
      <c r="A22" s="29"/>
      <c r="B22" s="167" t="s">
        <v>294</v>
      </c>
      <c r="C22" s="42"/>
      <c r="D22" s="173">
        <v>3.19</v>
      </c>
      <c r="E22" s="173"/>
      <c r="F22" s="173">
        <v>32.28</v>
      </c>
      <c r="G22" s="179"/>
      <c r="H22" s="171">
        <f t="shared" si="0"/>
        <v>33.28</v>
      </c>
      <c r="J22" s="171">
        <f t="shared" si="4"/>
        <v>3.09</v>
      </c>
      <c r="L22" s="186">
        <f t="shared" si="5"/>
        <v>-0.10000000000000009</v>
      </c>
      <c r="N22" s="88">
        <v>16678.022000000001</v>
      </c>
      <c r="O22" s="88"/>
      <c r="P22" s="88">
        <f>(L22*N22)/100</f>
        <v>-16.678022000000016</v>
      </c>
      <c r="R22" s="192">
        <v>0.99973599999999996</v>
      </c>
      <c r="T22" s="88">
        <f t="shared" si="6"/>
        <v>-16.673619002192016</v>
      </c>
    </row>
    <row r="23" spans="1:20">
      <c r="A23" s="29"/>
      <c r="B23" s="167" t="s">
        <v>295</v>
      </c>
      <c r="C23" s="42"/>
      <c r="D23" s="181">
        <v>3.94</v>
      </c>
      <c r="E23" s="175"/>
      <c r="F23" s="174">
        <v>17.239999999999998</v>
      </c>
      <c r="G23" s="179"/>
      <c r="H23" s="178">
        <f t="shared" si="0"/>
        <v>18.239999999999998</v>
      </c>
      <c r="I23" s="29"/>
      <c r="J23" s="178">
        <f t="shared" si="4"/>
        <v>3.72</v>
      </c>
      <c r="L23" s="187">
        <f t="shared" si="5"/>
        <v>-0.21999999999999975</v>
      </c>
      <c r="N23" s="196">
        <f>518.649+472.315+356.175-F103</f>
        <v>1340.9979999999998</v>
      </c>
      <c r="O23" s="88"/>
      <c r="P23" s="196">
        <f>(L23*N23)/100</f>
        <v>-2.9501955999999963</v>
      </c>
      <c r="R23" s="192">
        <v>0.96845999999999999</v>
      </c>
      <c r="T23" s="196">
        <f t="shared" si="6"/>
        <v>-2.8571464307759964</v>
      </c>
    </row>
    <row r="24" spans="1:20">
      <c r="A24" s="29"/>
      <c r="B24" s="42"/>
      <c r="C24" s="42"/>
      <c r="D24" s="175"/>
      <c r="E24" s="175"/>
      <c r="F24" s="180"/>
      <c r="G24" s="179"/>
      <c r="H24" s="171"/>
      <c r="J24" s="171"/>
      <c r="L24" s="10"/>
      <c r="N24" s="88"/>
      <c r="O24" s="88"/>
      <c r="P24" s="88"/>
      <c r="R24" s="192"/>
      <c r="T24" s="88"/>
    </row>
    <row r="25" spans="1:20" ht="13.5" thickBot="1">
      <c r="A25" s="29"/>
      <c r="B25" s="170" t="s">
        <v>296</v>
      </c>
      <c r="C25" s="42"/>
      <c r="D25" s="183">
        <v>3.6</v>
      </c>
      <c r="E25" s="175"/>
      <c r="F25" s="184">
        <v>23.65</v>
      </c>
      <c r="G25" s="179"/>
      <c r="H25" s="185">
        <f t="shared" si="0"/>
        <v>24.65</v>
      </c>
      <c r="J25" s="185">
        <f t="shared" si="4"/>
        <v>3.45</v>
      </c>
      <c r="L25" s="188">
        <f>J25-D25</f>
        <v>-0.14999999999999991</v>
      </c>
      <c r="N25" s="197">
        <f>N13+N14+N19+N21+N22+N23</f>
        <v>46148.580999999998</v>
      </c>
      <c r="O25" s="88"/>
      <c r="P25" s="197">
        <f>P13+P14+P19+P21+P22+P23</f>
        <v>-73.810833799999969</v>
      </c>
      <c r="T25" s="197">
        <f>T13+T14+T19+T21+T22+T23</f>
        <v>-70.509230441782975</v>
      </c>
    </row>
    <row r="26" spans="1:20" ht="13.5" thickTop="1">
      <c r="A26" s="29"/>
      <c r="B26" s="42"/>
      <c r="C26" s="42"/>
      <c r="D26" s="45"/>
      <c r="E26" s="45"/>
      <c r="F26" s="45"/>
      <c r="G26" s="42"/>
      <c r="H26" s="177"/>
      <c r="J26" s="29"/>
      <c r="L26" s="10"/>
    </row>
    <row r="27" spans="1:20">
      <c r="A27" s="29"/>
      <c r="B27" s="42"/>
      <c r="C27" s="42"/>
      <c r="D27" s="45"/>
      <c r="E27" s="45"/>
      <c r="F27" s="45"/>
      <c r="G27" s="42"/>
      <c r="H27" s="177"/>
      <c r="J27" s="29"/>
      <c r="L27" s="10"/>
      <c r="N27" s="11">
        <v>2018</v>
      </c>
      <c r="O27" s="11"/>
      <c r="P27" s="11">
        <v>2017</v>
      </c>
    </row>
    <row r="28" spans="1:20">
      <c r="A28" s="29"/>
      <c r="B28" s="167" t="s">
        <v>424</v>
      </c>
      <c r="C28" s="42"/>
      <c r="D28" s="45"/>
      <c r="E28" s="45"/>
      <c r="F28" s="45"/>
      <c r="G28" s="42"/>
      <c r="H28" s="177"/>
      <c r="J28" s="29"/>
      <c r="L28" s="10"/>
      <c r="N28" s="45"/>
      <c r="P28" s="45">
        <f>-'Exh. LK-11 (Pages 1-3)'!T25</f>
        <v>67.551304716143676</v>
      </c>
    </row>
    <row r="29" spans="1:20">
      <c r="A29" s="29"/>
      <c r="B29" s="167" t="s">
        <v>429</v>
      </c>
      <c r="C29" s="42"/>
      <c r="D29" s="45"/>
      <c r="E29" s="45"/>
      <c r="F29" s="45"/>
      <c r="G29" s="42"/>
      <c r="H29" s="177"/>
      <c r="J29" s="29"/>
      <c r="L29" s="10"/>
      <c r="N29" s="45"/>
      <c r="P29" s="45">
        <f>-P28*0.38575</f>
        <v>-26.057915794252423</v>
      </c>
    </row>
    <row r="30" spans="1:20">
      <c r="A30" s="29"/>
      <c r="B30" s="167" t="s">
        <v>431</v>
      </c>
      <c r="C30" s="42"/>
      <c r="D30" s="45"/>
      <c r="E30" s="45"/>
      <c r="F30" s="45"/>
      <c r="G30" s="42"/>
      <c r="H30" s="177"/>
      <c r="J30" s="29"/>
      <c r="L30" s="10"/>
      <c r="N30" s="45"/>
      <c r="P30" s="45"/>
    </row>
    <row r="31" spans="1:20">
      <c r="A31" s="29"/>
      <c r="B31" s="167"/>
      <c r="C31" s="42"/>
      <c r="D31" s="45"/>
      <c r="E31" s="45"/>
      <c r="F31" s="45"/>
      <c r="G31" s="42"/>
      <c r="H31" s="177"/>
      <c r="J31" s="29"/>
      <c r="L31" s="10"/>
      <c r="N31" s="45"/>
      <c r="P31" s="45"/>
    </row>
    <row r="32" spans="1:20">
      <c r="A32" s="29"/>
      <c r="B32" s="167" t="s">
        <v>428</v>
      </c>
      <c r="C32" s="42"/>
      <c r="D32" s="45"/>
      <c r="E32" s="45"/>
      <c r="F32" s="45"/>
      <c r="G32" s="42"/>
      <c r="H32" s="177"/>
      <c r="J32" s="29"/>
      <c r="L32" s="10"/>
      <c r="N32" s="45">
        <f>-T25</f>
        <v>70.509230441782975</v>
      </c>
      <c r="P32" s="45"/>
    </row>
    <row r="33" spans="1:16">
      <c r="A33" s="29"/>
      <c r="B33" s="167" t="s">
        <v>468</v>
      </c>
      <c r="C33" s="42"/>
      <c r="D33" s="45"/>
      <c r="E33" s="45"/>
      <c r="F33" s="45"/>
      <c r="G33" s="42"/>
      <c r="H33" s="177"/>
      <c r="J33" s="29"/>
      <c r="L33" s="10"/>
      <c r="N33" s="198">
        <f>-N32*0.38575</f>
        <v>-27.198935642917782</v>
      </c>
      <c r="P33" s="198"/>
    </row>
    <row r="34" spans="1:16">
      <c r="A34" s="29"/>
      <c r="B34" s="167" t="s">
        <v>430</v>
      </c>
      <c r="C34" s="42"/>
      <c r="D34" s="45"/>
      <c r="E34" s="45"/>
      <c r="F34" s="45"/>
      <c r="G34" s="42"/>
      <c r="H34" s="177"/>
      <c r="J34" s="29"/>
      <c r="L34" s="10"/>
      <c r="N34" s="45">
        <f>SUM(N28:N33)</f>
        <v>43.310294798865193</v>
      </c>
      <c r="P34" s="45"/>
    </row>
    <row r="35" spans="1:16">
      <c r="A35" s="29"/>
      <c r="B35" s="167"/>
      <c r="C35" s="42"/>
      <c r="D35" s="45"/>
      <c r="E35" s="45"/>
      <c r="F35" s="45"/>
      <c r="G35" s="42"/>
      <c r="H35" s="177"/>
      <c r="J35" s="29"/>
      <c r="L35" s="10"/>
      <c r="N35" s="45"/>
      <c r="P35" s="45"/>
    </row>
    <row r="36" spans="1:16">
      <c r="A36" s="29"/>
      <c r="B36" s="167" t="s">
        <v>425</v>
      </c>
      <c r="C36" s="42"/>
      <c r="D36" s="45"/>
      <c r="E36" s="45"/>
      <c r="F36" s="45"/>
      <c r="G36" s="42"/>
      <c r="H36" s="177"/>
      <c r="J36" s="29"/>
      <c r="L36" s="10"/>
      <c r="N36" s="45">
        <f>N34/2</f>
        <v>21.655147399432597</v>
      </c>
      <c r="P36" s="45">
        <f>P28+P29</f>
        <v>41.493388921891253</v>
      </c>
    </row>
    <row r="37" spans="1:16">
      <c r="A37" s="29"/>
      <c r="B37" s="167" t="s">
        <v>422</v>
      </c>
      <c r="C37" s="42"/>
      <c r="D37" s="45"/>
      <c r="E37" s="45"/>
      <c r="F37" s="259"/>
      <c r="G37" s="42"/>
      <c r="H37" s="177"/>
      <c r="J37" s="29"/>
      <c r="L37" s="10"/>
      <c r="N37" s="260">
        <f>'Exh. LK-28'!J19</f>
        <v>9.8804316192411479E-2</v>
      </c>
      <c r="P37" s="260">
        <f>'Exh. LK-28'!J19</f>
        <v>9.8804316192411479E-2</v>
      </c>
    </row>
    <row r="38" spans="1:16" ht="13.5" thickBot="1">
      <c r="A38" s="29"/>
      <c r="B38" s="167" t="s">
        <v>423</v>
      </c>
      <c r="C38" s="42"/>
      <c r="D38" s="45"/>
      <c r="E38" s="45"/>
      <c r="F38" s="45"/>
      <c r="G38" s="42"/>
      <c r="H38" s="177"/>
      <c r="J38" s="29"/>
      <c r="L38" s="10"/>
      <c r="N38" s="261">
        <f>N36*N37</f>
        <v>2.1396220308468155</v>
      </c>
      <c r="P38" s="261">
        <f>P36*P37</f>
        <v>4.0997259189332471</v>
      </c>
    </row>
    <row r="39" spans="1:16" ht="13.5" thickTop="1">
      <c r="A39" s="29"/>
      <c r="B39" s="42"/>
      <c r="C39" s="42"/>
      <c r="D39" s="45"/>
      <c r="E39" s="45"/>
      <c r="F39" s="45"/>
      <c r="G39" s="42"/>
      <c r="H39" s="177"/>
      <c r="J39" s="29"/>
      <c r="L39" s="10"/>
    </row>
    <row r="40" spans="1:16" ht="13.5" thickBot="1">
      <c r="A40" s="29"/>
      <c r="B40" s="167" t="s">
        <v>432</v>
      </c>
      <c r="C40" s="42"/>
      <c r="D40" s="45"/>
      <c r="E40" s="45"/>
      <c r="F40" s="45"/>
      <c r="G40" s="42"/>
      <c r="H40" s="177"/>
      <c r="J40" s="29"/>
      <c r="L40" s="10"/>
      <c r="N40" s="209">
        <f>T25+N38+P38</f>
        <v>-64.269882492002921</v>
      </c>
      <c r="P40" s="262"/>
    </row>
    <row r="41" spans="1:16" ht="13.5" thickTop="1">
      <c r="A41" s="29"/>
      <c r="B41" s="42"/>
      <c r="C41" s="42"/>
      <c r="D41" s="45"/>
      <c r="E41" s="45"/>
      <c r="F41" s="45"/>
      <c r="G41" s="42"/>
      <c r="H41" s="177"/>
      <c r="J41" s="29"/>
      <c r="L41" s="10"/>
    </row>
    <row r="42" spans="1:16">
      <c r="A42" s="29"/>
      <c r="B42" s="42"/>
      <c r="C42" s="42"/>
      <c r="D42" s="45"/>
      <c r="E42" s="45"/>
      <c r="F42" s="45"/>
      <c r="G42" s="42"/>
      <c r="H42" s="42"/>
      <c r="J42" s="29"/>
    </row>
    <row r="43" spans="1:16">
      <c r="A43" s="166" t="s">
        <v>334</v>
      </c>
      <c r="B43" s="39"/>
      <c r="C43" s="39"/>
      <c r="D43" s="39"/>
      <c r="E43" s="45"/>
      <c r="F43" s="45"/>
      <c r="G43" s="42"/>
      <c r="H43" s="42"/>
    </row>
    <row r="44" spans="1:16">
      <c r="A44" s="29"/>
      <c r="B44" s="42"/>
      <c r="C44" s="42"/>
      <c r="D44" s="45"/>
      <c r="E44" s="45"/>
      <c r="F44" s="45"/>
      <c r="G44" s="42"/>
      <c r="H44" s="42"/>
    </row>
    <row r="45" spans="1:16">
      <c r="A45" s="29"/>
      <c r="B45" s="42"/>
      <c r="C45" s="42"/>
      <c r="D45" s="45"/>
      <c r="E45" s="45"/>
      <c r="F45" s="45"/>
      <c r="G45" s="42"/>
      <c r="H45" s="42"/>
    </row>
    <row r="46" spans="1:16">
      <c r="A46" s="29"/>
      <c r="B46" s="42"/>
      <c r="C46" s="42"/>
      <c r="D46" s="42"/>
      <c r="E46" s="42"/>
      <c r="F46" s="42"/>
      <c r="G46" s="42"/>
      <c r="H46" s="42"/>
    </row>
    <row r="47" spans="1:16">
      <c r="A47" s="29"/>
      <c r="B47" s="42"/>
      <c r="C47" s="42"/>
      <c r="D47" s="45"/>
      <c r="E47" s="45"/>
      <c r="F47" s="45"/>
      <c r="G47" s="42"/>
      <c r="H47" s="42"/>
    </row>
    <row r="48" spans="1:16">
      <c r="A48" s="29"/>
      <c r="B48" s="42"/>
      <c r="C48" s="42"/>
      <c r="D48" s="42"/>
      <c r="E48" s="42"/>
      <c r="F48" s="42"/>
      <c r="G48" s="42"/>
      <c r="H48" s="42"/>
    </row>
    <row r="49" spans="1:14">
      <c r="A49" s="29"/>
      <c r="B49" s="42"/>
      <c r="C49" s="42"/>
      <c r="D49" s="46"/>
      <c r="E49" s="46"/>
      <c r="F49" s="46"/>
      <c r="G49" s="42"/>
      <c r="H49" s="42"/>
    </row>
    <row r="50" spans="1:14">
      <c r="A50" s="29"/>
      <c r="B50" s="167" t="s">
        <v>310</v>
      </c>
      <c r="C50" s="42"/>
      <c r="D50" s="42"/>
      <c r="E50" s="42"/>
      <c r="F50" s="195" t="s">
        <v>311</v>
      </c>
      <c r="G50" s="42"/>
      <c r="H50" s="42"/>
      <c r="L50" s="158" t="s">
        <v>292</v>
      </c>
    </row>
    <row r="51" spans="1:14">
      <c r="A51" s="29"/>
      <c r="B51" s="167" t="s">
        <v>288</v>
      </c>
      <c r="C51" s="42"/>
      <c r="D51" s="45">
        <v>8453.6117269999995</v>
      </c>
      <c r="E51" s="46"/>
      <c r="F51" s="194">
        <f>F16</f>
        <v>17.93</v>
      </c>
      <c r="G51" s="42"/>
      <c r="H51" s="45">
        <f>D51*F51</f>
        <v>151573.25826510999</v>
      </c>
      <c r="L51" s="200">
        <v>4.33</v>
      </c>
      <c r="N51" s="88">
        <f>D51*L51</f>
        <v>36604.138777909997</v>
      </c>
    </row>
    <row r="52" spans="1:14">
      <c r="A52" s="29"/>
      <c r="B52" s="167" t="s">
        <v>289</v>
      </c>
      <c r="C52" s="42"/>
      <c r="D52" s="45">
        <v>488.567362</v>
      </c>
      <c r="E52" s="42"/>
      <c r="F52" s="194">
        <f>F17</f>
        <v>27.96</v>
      </c>
      <c r="G52" s="42"/>
      <c r="H52" s="45">
        <f>D52*F52</f>
        <v>13660.343441520001</v>
      </c>
      <c r="L52" s="201">
        <v>3.31</v>
      </c>
      <c r="N52" s="88">
        <f t="shared" ref="N52:N53" si="7">D52*L52</f>
        <v>1617.1579682199999</v>
      </c>
    </row>
    <row r="53" spans="1:14">
      <c r="A53" s="29"/>
      <c r="B53" s="167" t="s">
        <v>290</v>
      </c>
      <c r="C53" s="42"/>
      <c r="D53" s="198">
        <v>890.84178899999995</v>
      </c>
      <c r="E53" s="42"/>
      <c r="F53" s="199">
        <f>F18</f>
        <v>26.66</v>
      </c>
      <c r="G53" s="42"/>
      <c r="H53" s="198">
        <f>D53*F53</f>
        <v>23749.842094739997</v>
      </c>
      <c r="L53" s="202">
        <v>3.18</v>
      </c>
      <c r="N53" s="196">
        <f t="shared" si="7"/>
        <v>2832.8768890199999</v>
      </c>
    </row>
    <row r="54" spans="1:14">
      <c r="A54" s="29"/>
      <c r="B54" s="42"/>
      <c r="C54" s="42"/>
      <c r="D54" s="45"/>
      <c r="E54" s="42"/>
      <c r="F54" s="42"/>
      <c r="G54" s="42"/>
      <c r="H54" s="45"/>
      <c r="N54" s="88"/>
    </row>
    <row r="55" spans="1:14" ht="13.5" thickBot="1">
      <c r="A55" s="29"/>
      <c r="B55" s="42" t="s">
        <v>320</v>
      </c>
      <c r="C55" s="42"/>
      <c r="D55" s="203">
        <f>SUM(D51:D54)</f>
        <v>9833.0208779999994</v>
      </c>
      <c r="E55" s="42"/>
      <c r="F55" s="205">
        <f>H55/D55</f>
        <v>19.219265996291522</v>
      </c>
      <c r="G55" s="42"/>
      <c r="H55" s="203">
        <f>SUM(H51:H54)</f>
        <v>188983.44380136998</v>
      </c>
      <c r="L55" s="207">
        <f>N55/D55</f>
        <v>4.1751333740176362</v>
      </c>
      <c r="N55" s="197">
        <f>SUM(N51:N54)</f>
        <v>41054.17363515</v>
      </c>
    </row>
    <row r="56" spans="1:14" ht="13.5" thickTop="1">
      <c r="A56" s="29"/>
      <c r="B56" s="42"/>
      <c r="C56" s="42"/>
      <c r="D56" s="45"/>
      <c r="E56" s="45"/>
      <c r="F56" s="45"/>
      <c r="G56" s="42"/>
      <c r="H56" s="45"/>
    </row>
    <row r="57" spans="1:14">
      <c r="A57" s="29"/>
      <c r="B57" s="42"/>
      <c r="C57" s="42"/>
      <c r="D57" s="45"/>
      <c r="E57" s="45"/>
      <c r="F57" s="45"/>
      <c r="G57" s="42"/>
      <c r="H57" s="42"/>
    </row>
    <row r="58" spans="1:14">
      <c r="A58" s="29"/>
      <c r="B58" s="42"/>
      <c r="C58" s="42"/>
      <c r="D58" s="45"/>
      <c r="E58" s="45"/>
      <c r="F58" s="45"/>
      <c r="G58" s="42"/>
      <c r="H58" s="42"/>
    </row>
    <row r="59" spans="1:14">
      <c r="A59" s="29"/>
      <c r="B59" s="42"/>
      <c r="C59" s="42"/>
      <c r="D59" s="45"/>
      <c r="E59" s="45"/>
      <c r="F59" s="45"/>
      <c r="G59" s="42"/>
      <c r="H59" s="42" t="s">
        <v>312</v>
      </c>
    </row>
    <row r="60" spans="1:14">
      <c r="A60" s="29"/>
      <c r="B60" s="42"/>
      <c r="C60" s="42"/>
      <c r="D60" s="45"/>
      <c r="E60" s="45"/>
      <c r="F60" s="45"/>
      <c r="G60" s="42"/>
      <c r="H60" s="42"/>
      <c r="N60" s="204">
        <f>N25</f>
        <v>46148.580999999998</v>
      </c>
    </row>
    <row r="61" spans="1:14">
      <c r="A61" s="29"/>
      <c r="B61" s="42"/>
      <c r="C61" s="42"/>
      <c r="D61" s="45"/>
      <c r="E61" s="45"/>
      <c r="F61" s="45"/>
      <c r="G61" s="42"/>
      <c r="H61" s="42" t="s">
        <v>314</v>
      </c>
      <c r="N61" s="204">
        <v>1111.7260000000001</v>
      </c>
    </row>
    <row r="62" spans="1:14">
      <c r="A62" s="29"/>
      <c r="B62" s="42"/>
      <c r="C62" s="42"/>
      <c r="D62" s="45"/>
      <c r="E62" s="45"/>
      <c r="F62" s="45"/>
      <c r="G62" s="42"/>
      <c r="H62" s="42" t="s">
        <v>313</v>
      </c>
      <c r="N62">
        <v>57.676000000000002</v>
      </c>
    </row>
    <row r="63" spans="1:14">
      <c r="A63" s="29"/>
      <c r="B63" s="42"/>
      <c r="C63" s="42"/>
      <c r="D63" s="45"/>
      <c r="E63" s="45"/>
      <c r="F63" s="45"/>
      <c r="G63" s="42"/>
      <c r="H63" s="42" t="s">
        <v>315</v>
      </c>
      <c r="N63">
        <v>107.383</v>
      </c>
    </row>
    <row r="64" spans="1:14">
      <c r="A64" s="29"/>
      <c r="B64" s="42"/>
      <c r="C64" s="42"/>
      <c r="D64" s="45"/>
      <c r="E64" s="45"/>
      <c r="F64" s="45"/>
      <c r="G64" s="42"/>
      <c r="H64" s="167" t="s">
        <v>341</v>
      </c>
      <c r="N64" s="88">
        <v>1409.94</v>
      </c>
    </row>
    <row r="65" spans="1:14">
      <c r="A65" s="29"/>
      <c r="B65" s="42"/>
      <c r="C65" s="42"/>
      <c r="D65" s="45"/>
      <c r="E65" s="45"/>
      <c r="F65" s="45"/>
      <c r="G65" s="42"/>
      <c r="H65" s="167" t="s">
        <v>344</v>
      </c>
      <c r="N65" s="204">
        <f>F105</f>
        <v>1653.9589999999998</v>
      </c>
    </row>
    <row r="66" spans="1:14">
      <c r="A66" s="29"/>
      <c r="B66" s="42"/>
      <c r="C66" s="42"/>
      <c r="D66" s="45"/>
      <c r="E66" s="45"/>
      <c r="F66" s="45"/>
      <c r="G66" s="42"/>
      <c r="H66" s="42" t="s">
        <v>317</v>
      </c>
      <c r="N66">
        <v>2.6619999999999999</v>
      </c>
    </row>
    <row r="67" spans="1:14">
      <c r="A67" s="29"/>
      <c r="B67" s="42"/>
      <c r="C67" s="42"/>
      <c r="D67" s="45"/>
      <c r="E67" s="45"/>
      <c r="F67" s="45"/>
      <c r="G67" s="42"/>
      <c r="H67" s="42" t="s">
        <v>318</v>
      </c>
      <c r="N67" s="193">
        <v>0.59899999999999998</v>
      </c>
    </row>
    <row r="68" spans="1:14" ht="13.5" thickBot="1">
      <c r="A68" s="29"/>
      <c r="B68" s="42"/>
      <c r="C68" s="42"/>
      <c r="D68" s="42"/>
      <c r="E68" s="42"/>
      <c r="F68" s="42"/>
      <c r="G68" s="42"/>
      <c r="H68" s="42" t="s">
        <v>316</v>
      </c>
      <c r="N68" s="208">
        <f>SUM(N60:N67)</f>
        <v>50492.526000000005</v>
      </c>
    </row>
    <row r="69" spans="1:14" ht="13.5" thickTop="1">
      <c r="A69" s="29"/>
      <c r="B69" s="42"/>
      <c r="C69" s="42"/>
      <c r="D69" s="46"/>
      <c r="E69" s="46"/>
      <c r="F69" s="46"/>
      <c r="G69" s="42"/>
      <c r="H69" s="42"/>
    </row>
    <row r="70" spans="1:14">
      <c r="B70" s="26"/>
      <c r="C70" s="26"/>
      <c r="D70" s="26"/>
      <c r="E70" s="26"/>
      <c r="F70" s="26"/>
      <c r="G70" s="26"/>
      <c r="H70" s="26"/>
    </row>
    <row r="71" spans="1:14">
      <c r="B71" s="26"/>
      <c r="C71" s="26"/>
      <c r="D71" s="26"/>
      <c r="E71" s="26"/>
      <c r="F71" s="26"/>
      <c r="G71" s="26"/>
      <c r="H71" s="26"/>
    </row>
    <row r="72" spans="1:14">
      <c r="B72" s="26"/>
      <c r="C72" s="26"/>
      <c r="D72" s="26"/>
      <c r="E72" s="26"/>
      <c r="F72" s="26"/>
      <c r="G72" s="26"/>
      <c r="H72" s="26"/>
    </row>
    <row r="73" spans="1:14">
      <c r="B73" s="26"/>
      <c r="C73" s="26"/>
      <c r="D73" s="26"/>
      <c r="E73" s="26"/>
      <c r="F73" s="26"/>
      <c r="G73" s="26"/>
      <c r="H73" s="26"/>
    </row>
    <row r="74" spans="1:14">
      <c r="B74" s="26"/>
      <c r="C74" s="26"/>
      <c r="D74" s="26"/>
      <c r="E74" s="26"/>
      <c r="F74" s="26"/>
      <c r="G74" s="26"/>
      <c r="H74" s="26"/>
    </row>
    <row r="75" spans="1:14">
      <c r="B75" s="26"/>
      <c r="C75" s="26"/>
      <c r="D75" s="26"/>
      <c r="E75" s="26"/>
      <c r="F75" s="26"/>
      <c r="G75" s="26"/>
      <c r="H75" s="26"/>
    </row>
    <row r="76" spans="1:14">
      <c r="B76" s="26"/>
      <c r="C76" s="26"/>
      <c r="D76" s="26"/>
      <c r="E76" s="26"/>
      <c r="F76" s="26"/>
      <c r="G76" s="26"/>
      <c r="H76" s="26"/>
    </row>
    <row r="77" spans="1:14">
      <c r="B77" s="26"/>
      <c r="C77" s="26"/>
      <c r="D77" s="26"/>
      <c r="E77" s="26"/>
      <c r="F77" s="26"/>
      <c r="G77" s="26"/>
      <c r="H77" s="26"/>
    </row>
    <row r="78" spans="1:14">
      <c r="B78" s="26"/>
      <c r="C78" s="26"/>
      <c r="D78" s="26"/>
      <c r="E78" s="26"/>
      <c r="F78" s="26"/>
      <c r="G78" s="26"/>
      <c r="H78" s="26"/>
    </row>
    <row r="79" spans="1:14">
      <c r="B79" s="26"/>
      <c r="C79" s="26"/>
      <c r="D79" s="26"/>
      <c r="E79" s="26"/>
      <c r="F79" s="26"/>
      <c r="G79" s="26"/>
      <c r="H79" s="26"/>
    </row>
    <row r="80" spans="1:14">
      <c r="B80" s="26"/>
      <c r="C80" s="26"/>
      <c r="D80" s="26"/>
      <c r="E80" s="26"/>
      <c r="F80" s="26"/>
      <c r="G80" s="26"/>
      <c r="H80" s="26"/>
    </row>
    <row r="81" spans="1:8">
      <c r="B81" s="26"/>
      <c r="C81" s="26"/>
      <c r="D81" s="26"/>
      <c r="E81" s="26"/>
      <c r="F81" s="26"/>
      <c r="G81" s="26"/>
      <c r="H81" s="26"/>
    </row>
    <row r="82" spans="1:8">
      <c r="A82" s="158" t="s">
        <v>326</v>
      </c>
      <c r="B82" s="26"/>
      <c r="C82" s="26"/>
      <c r="D82" s="26"/>
      <c r="E82" s="26"/>
      <c r="F82" s="26"/>
      <c r="G82" s="26"/>
      <c r="H82" s="26"/>
    </row>
    <row r="83" spans="1:8">
      <c r="A83" s="158"/>
      <c r="B83" s="26"/>
      <c r="C83" s="26"/>
      <c r="D83" s="26"/>
      <c r="E83" s="26"/>
      <c r="F83" s="212" t="s">
        <v>330</v>
      </c>
      <c r="G83" s="26"/>
      <c r="H83" s="26"/>
    </row>
    <row r="84" spans="1:8">
      <c r="B84" s="212" t="s">
        <v>327</v>
      </c>
      <c r="C84" s="26"/>
      <c r="D84" s="26"/>
      <c r="E84" s="26"/>
      <c r="F84" s="26"/>
      <c r="G84" s="26"/>
      <c r="H84" s="26"/>
    </row>
    <row r="85" spans="1:8">
      <c r="B85" s="213" t="s">
        <v>328</v>
      </c>
      <c r="C85" s="26"/>
      <c r="D85" s="26"/>
      <c r="E85" s="26"/>
      <c r="F85" s="215">
        <v>191.53899999999999</v>
      </c>
      <c r="G85" s="26"/>
      <c r="H85" s="26"/>
    </row>
    <row r="86" spans="1:8">
      <c r="B86" s="213" t="s">
        <v>329</v>
      </c>
      <c r="C86" s="26"/>
      <c r="D86" s="26"/>
      <c r="E86" s="26"/>
      <c r="F86" s="215">
        <v>486.45400000000001</v>
      </c>
      <c r="G86" s="26"/>
      <c r="H86" s="26"/>
    </row>
    <row r="87" spans="1:8">
      <c r="B87" s="214" t="s">
        <v>331</v>
      </c>
      <c r="C87" s="26"/>
      <c r="D87" s="26"/>
      <c r="E87" s="26"/>
      <c r="F87" s="215">
        <v>28.428999999999998</v>
      </c>
      <c r="G87" s="26"/>
      <c r="H87" s="26"/>
    </row>
    <row r="88" spans="1:8">
      <c r="B88" s="214" t="s">
        <v>332</v>
      </c>
      <c r="C88" s="26"/>
      <c r="D88" s="26"/>
      <c r="E88" s="26"/>
      <c r="F88" s="215">
        <v>26.91</v>
      </c>
      <c r="G88" s="26"/>
      <c r="H88" s="26"/>
    </row>
    <row r="89" spans="1:8">
      <c r="B89" s="214" t="s">
        <v>333</v>
      </c>
      <c r="C89" s="26"/>
      <c r="D89" s="26"/>
      <c r="E89" s="26"/>
      <c r="F89" s="196">
        <v>177.755</v>
      </c>
      <c r="G89" s="26"/>
      <c r="H89" s="26"/>
    </row>
    <row r="90" spans="1:8">
      <c r="B90" s="167" t="s">
        <v>335</v>
      </c>
      <c r="C90" s="26"/>
      <c r="D90" s="26"/>
      <c r="E90" s="26"/>
      <c r="F90" s="215">
        <f>SUM(F85:F89)</f>
        <v>911.08699999999988</v>
      </c>
      <c r="G90" s="26"/>
      <c r="H90" s="26"/>
    </row>
    <row r="91" spans="1:8">
      <c r="B91" s="26"/>
      <c r="C91" s="26"/>
      <c r="D91" s="26"/>
      <c r="E91" s="26"/>
      <c r="F91" s="215"/>
      <c r="G91" s="26"/>
      <c r="H91" s="26"/>
    </row>
    <row r="92" spans="1:8">
      <c r="B92" s="167" t="s">
        <v>336</v>
      </c>
      <c r="C92" s="26"/>
      <c r="D92" s="26"/>
      <c r="E92" s="26"/>
      <c r="F92" s="215">
        <v>83.709000000000003</v>
      </c>
      <c r="G92" s="26"/>
      <c r="H92" s="26"/>
    </row>
    <row r="93" spans="1:8">
      <c r="B93" s="26"/>
      <c r="C93" s="26"/>
      <c r="D93" s="26"/>
      <c r="E93" s="26"/>
      <c r="F93" s="215"/>
      <c r="G93" s="26"/>
      <c r="H93" s="26"/>
    </row>
    <row r="94" spans="1:8">
      <c r="B94" s="170" t="s">
        <v>310</v>
      </c>
      <c r="C94" s="26"/>
      <c r="D94" s="26"/>
      <c r="E94" s="26"/>
      <c r="F94" s="215"/>
      <c r="G94" s="26"/>
      <c r="H94" s="26"/>
    </row>
    <row r="95" spans="1:8">
      <c r="B95" s="216" t="s">
        <v>337</v>
      </c>
      <c r="C95" s="26"/>
      <c r="D95" s="26"/>
      <c r="E95" s="26"/>
      <c r="F95" s="215">
        <v>120.70699999999999</v>
      </c>
      <c r="G95" s="26"/>
      <c r="H95" s="26"/>
    </row>
    <row r="96" spans="1:8">
      <c r="B96" s="216" t="s">
        <v>338</v>
      </c>
      <c r="C96" s="26"/>
      <c r="D96" s="26"/>
      <c r="E96" s="26"/>
      <c r="F96" s="215">
        <v>3.0179999999999998</v>
      </c>
      <c r="G96" s="26"/>
      <c r="H96" s="26"/>
    </row>
    <row r="97" spans="2:8">
      <c r="B97" s="216" t="s">
        <v>339</v>
      </c>
      <c r="C97" s="26"/>
      <c r="D97" s="26"/>
      <c r="E97" s="26"/>
      <c r="F97" s="45">
        <v>459.01600000000002</v>
      </c>
      <c r="G97" s="26"/>
      <c r="H97" s="26"/>
    </row>
    <row r="98" spans="2:8">
      <c r="B98" s="216" t="s">
        <v>340</v>
      </c>
      <c r="C98" s="26"/>
      <c r="D98" s="26"/>
      <c r="E98" s="26"/>
      <c r="F98" s="198">
        <v>61.610999999999997</v>
      </c>
      <c r="G98" s="26"/>
      <c r="H98" s="26"/>
    </row>
    <row r="99" spans="2:8">
      <c r="B99" s="216"/>
      <c r="C99" s="26"/>
      <c r="D99" s="26"/>
      <c r="E99" s="26"/>
      <c r="F99" s="45">
        <f>SUM(F95:F98)</f>
        <v>644.35199999999998</v>
      </c>
      <c r="G99" s="26"/>
      <c r="H99" s="26"/>
    </row>
    <row r="100" spans="2:8">
      <c r="B100" s="26"/>
      <c r="C100" s="26"/>
      <c r="D100" s="26"/>
      <c r="E100" s="26"/>
      <c r="F100" s="26"/>
      <c r="G100" s="26"/>
      <c r="H100" s="26"/>
    </row>
    <row r="101" spans="2:8">
      <c r="B101" s="170" t="s">
        <v>342</v>
      </c>
      <c r="C101" s="26"/>
      <c r="D101" s="26"/>
      <c r="E101" s="26"/>
      <c r="F101" s="45">
        <v>8.67</v>
      </c>
      <c r="G101" s="26"/>
      <c r="H101" s="26"/>
    </row>
    <row r="102" spans="2:8">
      <c r="B102" s="26"/>
      <c r="C102" s="26"/>
      <c r="D102" s="26"/>
      <c r="E102" s="26"/>
      <c r="F102" s="26"/>
      <c r="G102" s="26"/>
      <c r="H102" s="26"/>
    </row>
    <row r="103" spans="2:8">
      <c r="B103" s="212" t="s">
        <v>343</v>
      </c>
      <c r="C103" s="26"/>
      <c r="D103" s="26"/>
      <c r="E103" s="26"/>
      <c r="F103" s="26">
        <v>6.141</v>
      </c>
      <c r="G103" s="26"/>
      <c r="H103" s="26"/>
    </row>
    <row r="104" spans="2:8">
      <c r="B104" s="26"/>
      <c r="C104" s="26"/>
      <c r="D104" s="26"/>
      <c r="E104" s="26"/>
      <c r="F104" s="26"/>
      <c r="G104" s="26"/>
      <c r="H104" s="26"/>
    </row>
    <row r="105" spans="2:8">
      <c r="B105" s="212" t="s">
        <v>344</v>
      </c>
      <c r="C105" s="26"/>
      <c r="D105" s="26"/>
      <c r="E105" s="26"/>
      <c r="F105" s="215">
        <f>F90+F92+F99+F101+F103</f>
        <v>1653.9589999999998</v>
      </c>
      <c r="G105" s="26"/>
      <c r="H105" s="26"/>
    </row>
    <row r="106" spans="2:8">
      <c r="B106" s="26"/>
      <c r="C106" s="26"/>
      <c r="D106" s="26"/>
      <c r="E106" s="26"/>
      <c r="F106" s="26"/>
      <c r="G106" s="26"/>
      <c r="H106" s="26"/>
    </row>
    <row r="107" spans="2:8">
      <c r="B107" s="26"/>
      <c r="C107" s="26"/>
      <c r="D107" s="26"/>
      <c r="E107" s="26"/>
      <c r="F107" s="26"/>
      <c r="G107" s="26"/>
      <c r="H107" s="26"/>
    </row>
    <row r="108" spans="2:8">
      <c r="B108" s="26"/>
      <c r="C108" s="26"/>
      <c r="D108" s="26"/>
      <c r="E108" s="26"/>
      <c r="F108" s="26"/>
      <c r="G108" s="26"/>
      <c r="H108" s="26"/>
    </row>
    <row r="109" spans="2:8">
      <c r="B109" s="26"/>
      <c r="C109" s="26"/>
      <c r="D109" s="26"/>
      <c r="E109" s="26"/>
      <c r="F109" s="26"/>
      <c r="G109" s="26"/>
      <c r="H109" s="26"/>
    </row>
  </sheetData>
  <mergeCells count="5">
    <mergeCell ref="A1:T1"/>
    <mergeCell ref="A2:T2"/>
    <mergeCell ref="A3:T3"/>
    <mergeCell ref="A4:T4"/>
    <mergeCell ref="A5:T5"/>
  </mergeCells>
  <pageMargins left="0.39" right="0.25" top="1" bottom="1" header="0.5" footer="0.5"/>
  <pageSetup orientation="landscape" r:id="rId1"/>
  <headerFooter alignWithMargins="0">
    <oddHeader>&amp;R&amp;8Docket No. 160021-EI, &amp;"Arial,Italic"et al&amp;"Arial,Regular".
FPL POD No. 5
Attachment A
Page &amp;P of &amp;N</oddHeader>
  </headerFooter>
  <rowBreaks count="2" manualBreakCount="2">
    <brk id="47" max="19" man="1"/>
    <brk id="80" max="1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8"/>
  <sheetViews>
    <sheetView tabSelected="1" view="pageLayout" zoomScaleNormal="100" zoomScaleSheetLayoutView="100" workbookViewId="0">
      <selection activeCell="G9" sqref="G9"/>
    </sheetView>
  </sheetViews>
  <sheetFormatPr defaultRowHeight="12.75"/>
  <cols>
    <col min="1" max="1" width="1.85546875" customWidth="1"/>
    <col min="2" max="2" width="19.28515625" customWidth="1"/>
    <col min="3" max="3" width="2.140625" customWidth="1"/>
    <col min="4" max="4" width="35.42578125" customWidth="1"/>
    <col min="5" max="5" width="2.140625" customWidth="1"/>
    <col min="6" max="6" width="9.85546875" customWidth="1"/>
    <col min="7" max="7" width="2.140625" customWidth="1"/>
    <col min="8" max="8" width="12.7109375" customWidth="1"/>
    <col min="9" max="9" width="2.140625" customWidth="1"/>
    <col min="10" max="10" width="8.5703125" customWidth="1"/>
    <col min="11" max="11" width="2.28515625" customWidth="1"/>
    <col min="12" max="12" width="15.140625" customWidth="1"/>
    <col min="13" max="13" width="2.140625" customWidth="1"/>
    <col min="14" max="14" width="10.140625" customWidth="1"/>
    <col min="15" max="15" width="2.140625" customWidth="1"/>
    <col min="16" max="16" width="9.7109375" customWidth="1"/>
    <col min="17" max="17" width="2.140625" customWidth="1"/>
    <col min="18" max="18" width="12" customWidth="1"/>
    <col min="19" max="19" width="2.140625" customWidth="1"/>
    <col min="20" max="20" width="10.5703125" customWidth="1"/>
    <col min="21" max="21" width="2.140625" customWidth="1"/>
    <col min="22" max="22" width="12.7109375" customWidth="1"/>
  </cols>
  <sheetData>
    <row r="1" spans="1:25">
      <c r="A1" s="374" t="s">
        <v>33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</row>
    <row r="2" spans="1:25">
      <c r="A2" s="375" t="s">
        <v>469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375"/>
    </row>
    <row r="3" spans="1:25">
      <c r="A3" s="375" t="s">
        <v>65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V3" s="375"/>
    </row>
    <row r="4" spans="1:25">
      <c r="A4" s="375" t="s">
        <v>373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V4" s="375"/>
    </row>
    <row r="5" spans="1:25">
      <c r="A5" s="374" t="s">
        <v>19</v>
      </c>
      <c r="B5" s="374"/>
      <c r="C5" s="374"/>
      <c r="D5" s="374"/>
      <c r="E5" s="374"/>
      <c r="F5" s="374"/>
      <c r="G5" s="374"/>
      <c r="H5" s="374"/>
      <c r="I5" s="374"/>
      <c r="J5" s="374"/>
      <c r="K5" s="374"/>
      <c r="L5" s="374"/>
      <c r="M5" s="374"/>
      <c r="N5" s="374"/>
      <c r="O5" s="374"/>
      <c r="P5" s="374"/>
      <c r="Q5" s="374"/>
      <c r="R5" s="374"/>
      <c r="S5" s="374"/>
      <c r="T5" s="374"/>
      <c r="U5" s="374"/>
      <c r="V5" s="374"/>
    </row>
    <row r="6" spans="1:25">
      <c r="A6" s="257"/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</row>
    <row r="7" spans="1:25">
      <c r="A7" s="166" t="s">
        <v>473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 t="s">
        <v>481</v>
      </c>
      <c r="M7" s="176"/>
      <c r="N7" s="176" t="s">
        <v>481</v>
      </c>
      <c r="O7" s="176"/>
      <c r="P7" s="176"/>
      <c r="Q7" s="176"/>
      <c r="R7" s="176" t="s">
        <v>300</v>
      </c>
      <c r="S7" s="176"/>
      <c r="T7" s="176" t="s">
        <v>300</v>
      </c>
      <c r="U7" s="176"/>
      <c r="V7" s="176" t="s">
        <v>300</v>
      </c>
      <c r="W7" s="158"/>
      <c r="X7" s="158"/>
      <c r="Y7" s="158"/>
    </row>
    <row r="8" spans="1:25">
      <c r="A8" s="166"/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55" t="s">
        <v>479</v>
      </c>
      <c r="M8" s="176"/>
      <c r="N8" s="155" t="s">
        <v>479</v>
      </c>
      <c r="O8" s="176"/>
      <c r="P8" s="176" t="s">
        <v>300</v>
      </c>
      <c r="Q8" s="176"/>
      <c r="R8" s="155" t="s">
        <v>479</v>
      </c>
      <c r="S8" s="176"/>
      <c r="T8" s="155" t="s">
        <v>479</v>
      </c>
      <c r="U8" s="176"/>
      <c r="V8" s="176" t="s">
        <v>479</v>
      </c>
      <c r="W8" s="158"/>
      <c r="X8" s="158"/>
      <c r="Y8" s="158"/>
    </row>
    <row r="9" spans="1:25">
      <c r="A9" s="166"/>
      <c r="B9" s="176"/>
      <c r="C9" s="176"/>
      <c r="D9" s="176"/>
      <c r="E9" s="176"/>
      <c r="F9" s="176" t="s">
        <v>478</v>
      </c>
      <c r="G9" s="176"/>
      <c r="H9" s="176" t="s">
        <v>474</v>
      </c>
      <c r="I9" s="176"/>
      <c r="J9" s="176" t="s">
        <v>477</v>
      </c>
      <c r="K9" s="176"/>
      <c r="L9" s="155" t="s">
        <v>480</v>
      </c>
      <c r="M9" s="176"/>
      <c r="N9" s="155" t="s">
        <v>480</v>
      </c>
      <c r="O9" s="176"/>
      <c r="P9" s="176" t="s">
        <v>477</v>
      </c>
      <c r="Q9" s="176"/>
      <c r="R9" s="155" t="s">
        <v>480</v>
      </c>
      <c r="S9" s="176"/>
      <c r="T9" s="155" t="s">
        <v>480</v>
      </c>
      <c r="U9" s="176"/>
      <c r="V9" s="176" t="s">
        <v>480</v>
      </c>
      <c r="W9" s="158"/>
      <c r="X9" s="158"/>
      <c r="Y9" s="158"/>
    </row>
    <row r="10" spans="1:25">
      <c r="A10" s="176"/>
      <c r="B10" s="176"/>
      <c r="C10" s="176"/>
      <c r="D10" s="169" t="s">
        <v>483</v>
      </c>
      <c r="E10" s="176"/>
      <c r="F10" s="169" t="s">
        <v>5</v>
      </c>
      <c r="G10" s="176"/>
      <c r="H10" s="169" t="s">
        <v>475</v>
      </c>
      <c r="I10" s="176"/>
      <c r="J10" s="169" t="s">
        <v>311</v>
      </c>
      <c r="K10" s="158"/>
      <c r="L10" s="190" t="s">
        <v>475</v>
      </c>
      <c r="M10" s="158"/>
      <c r="N10" s="190" t="s">
        <v>24</v>
      </c>
      <c r="O10" s="158"/>
      <c r="P10" s="190" t="s">
        <v>311</v>
      </c>
      <c r="Q10" s="158"/>
      <c r="R10" s="190" t="s">
        <v>475</v>
      </c>
      <c r="S10" s="158"/>
      <c r="T10" s="190" t="s">
        <v>24</v>
      </c>
      <c r="U10" s="158"/>
      <c r="V10" s="169" t="s">
        <v>301</v>
      </c>
      <c r="W10" s="158"/>
      <c r="X10" s="158"/>
      <c r="Y10" s="158"/>
    </row>
    <row r="11" spans="1:25">
      <c r="A11" s="176"/>
      <c r="B11" s="166" t="s">
        <v>470</v>
      </c>
      <c r="C11" s="176"/>
      <c r="D11" s="166" t="s">
        <v>476</v>
      </c>
      <c r="E11" s="176"/>
      <c r="F11" s="276">
        <v>29.161926000000001</v>
      </c>
      <c r="G11" s="176"/>
      <c r="H11" s="276">
        <v>22.304165000000001</v>
      </c>
      <c r="I11" s="276"/>
      <c r="J11" s="275">
        <v>14.72</v>
      </c>
      <c r="K11" s="285"/>
      <c r="L11" s="285">
        <f>H11/J11</f>
        <v>1.5152286005434783</v>
      </c>
      <c r="M11" s="285"/>
      <c r="N11" s="286">
        <f>L11/F11</f>
        <v>5.1959140165964285E-2</v>
      </c>
      <c r="O11" s="285"/>
      <c r="P11" s="287">
        <f>J11</f>
        <v>14.72</v>
      </c>
      <c r="Q11" s="285"/>
      <c r="R11" s="285">
        <f>H11/P11</f>
        <v>1.5152286005434783</v>
      </c>
      <c r="S11" s="285"/>
      <c r="T11" s="286">
        <f>R11/F11</f>
        <v>5.1959140165964285E-2</v>
      </c>
      <c r="U11" s="285"/>
      <c r="V11" s="285">
        <f>R11-L11</f>
        <v>0</v>
      </c>
      <c r="W11" s="158"/>
      <c r="X11" s="158"/>
      <c r="Y11" s="158"/>
    </row>
    <row r="12" spans="1:25">
      <c r="A12" s="176"/>
      <c r="B12" s="166" t="s">
        <v>470</v>
      </c>
      <c r="C12" s="176"/>
      <c r="D12" s="166" t="s">
        <v>485</v>
      </c>
      <c r="E12" s="176"/>
      <c r="F12" s="279">
        <v>37.564239000000001</v>
      </c>
      <c r="G12" s="176"/>
      <c r="H12" s="279">
        <v>15.559710000000001</v>
      </c>
      <c r="I12" s="276"/>
      <c r="J12" s="280">
        <v>6.67</v>
      </c>
      <c r="K12" s="285"/>
      <c r="L12" s="288">
        <f>H12/J12</f>
        <v>2.3327901049475264</v>
      </c>
      <c r="M12" s="285"/>
      <c r="N12" s="286">
        <f>L12/F12</f>
        <v>6.2101354028429173E-2</v>
      </c>
      <c r="O12" s="285"/>
      <c r="P12" s="287">
        <f>J11</f>
        <v>14.72</v>
      </c>
      <c r="Q12" s="285"/>
      <c r="R12" s="288">
        <f>H12/P12</f>
        <v>1.0570455163043477</v>
      </c>
      <c r="S12" s="285"/>
      <c r="T12" s="289">
        <f>R12/F12</f>
        <v>2.8139676044131964E-2</v>
      </c>
      <c r="U12" s="285"/>
      <c r="V12" s="288">
        <f>R12-L12</f>
        <v>-1.2757445886431786</v>
      </c>
      <c r="W12" s="158"/>
      <c r="X12" s="158"/>
      <c r="Y12" s="158"/>
    </row>
    <row r="13" spans="1:25">
      <c r="A13" s="176"/>
      <c r="B13" s="166" t="s">
        <v>482</v>
      </c>
      <c r="C13" s="176"/>
      <c r="D13" s="176" t="s">
        <v>484</v>
      </c>
      <c r="E13" s="176"/>
      <c r="F13" s="276">
        <f>SUM(F11:F12)</f>
        <v>66.726165000000009</v>
      </c>
      <c r="G13" s="176"/>
      <c r="H13" s="276">
        <f>SUM(H11:H12)</f>
        <v>37.863875</v>
      </c>
      <c r="I13" s="276"/>
      <c r="J13" s="275"/>
      <c r="K13" s="285"/>
      <c r="L13" s="276">
        <f>SUM(L11:L12)</f>
        <v>3.8480187054910049</v>
      </c>
      <c r="M13" s="285"/>
      <c r="N13" s="276"/>
      <c r="O13" s="285"/>
      <c r="P13" s="290"/>
      <c r="Q13" s="285"/>
      <c r="R13" s="276">
        <f>SUM(R11:R12)</f>
        <v>2.5722741168478258</v>
      </c>
      <c r="S13" s="285"/>
      <c r="T13" s="286">
        <f>R13/F13</f>
        <v>3.8549707102870749E-2</v>
      </c>
      <c r="U13" s="285"/>
      <c r="V13" s="276">
        <f>SUM(V11:V12)</f>
        <v>-1.2757445886431786</v>
      </c>
      <c r="W13" s="158"/>
      <c r="X13" s="158"/>
      <c r="Y13" s="158"/>
    </row>
    <row r="14" spans="1:25">
      <c r="A14" s="176"/>
      <c r="B14" s="166"/>
      <c r="C14" s="176"/>
      <c r="D14" s="176"/>
      <c r="E14" s="176"/>
      <c r="F14" s="276"/>
      <c r="G14" s="176"/>
      <c r="H14" s="276"/>
      <c r="I14" s="276"/>
      <c r="J14" s="275"/>
      <c r="K14" s="285"/>
      <c r="L14" s="291"/>
      <c r="M14" s="285"/>
      <c r="N14" s="285"/>
      <c r="O14" s="285"/>
      <c r="P14" s="285"/>
      <c r="Q14" s="285"/>
      <c r="R14" s="285"/>
      <c r="S14" s="285"/>
      <c r="T14" s="285"/>
      <c r="U14" s="285"/>
      <c r="V14" s="285"/>
      <c r="W14" s="158"/>
      <c r="X14" s="158"/>
      <c r="Y14" s="158"/>
    </row>
    <row r="15" spans="1:25">
      <c r="A15" s="176"/>
      <c r="B15" s="166" t="s">
        <v>471</v>
      </c>
      <c r="C15" s="176"/>
      <c r="D15" s="166" t="s">
        <v>476</v>
      </c>
      <c r="E15" s="176"/>
      <c r="F15" s="276">
        <v>130.963584</v>
      </c>
      <c r="G15" s="176"/>
      <c r="H15" s="276">
        <v>78.193494000000001</v>
      </c>
      <c r="I15" s="276"/>
      <c r="J15" s="275">
        <v>14.36</v>
      </c>
      <c r="K15" s="285"/>
      <c r="L15" s="285">
        <f>H15/J15</f>
        <v>5.4452293871866297</v>
      </c>
      <c r="M15" s="285"/>
      <c r="N15" s="286">
        <f>L15/F15</f>
        <v>4.1578194646739584E-2</v>
      </c>
      <c r="O15" s="285"/>
      <c r="P15" s="287">
        <f>J15</f>
        <v>14.36</v>
      </c>
      <c r="Q15" s="285"/>
      <c r="R15" s="285">
        <f>H15/P15</f>
        <v>5.4452293871866297</v>
      </c>
      <c r="S15" s="285"/>
      <c r="T15" s="286">
        <f>R15/F15</f>
        <v>4.1578194646739584E-2</v>
      </c>
      <c r="U15" s="285"/>
      <c r="V15" s="285">
        <f>R15-L15</f>
        <v>0</v>
      </c>
      <c r="W15" s="158"/>
      <c r="X15" s="158"/>
      <c r="Y15" s="158"/>
    </row>
    <row r="16" spans="1:25">
      <c r="A16" s="176"/>
      <c r="B16" s="166" t="s">
        <v>471</v>
      </c>
      <c r="C16" s="176"/>
      <c r="D16" s="166" t="s">
        <v>485</v>
      </c>
      <c r="E16" s="176"/>
      <c r="F16" s="279">
        <v>54.498882999999999</v>
      </c>
      <c r="G16" s="176"/>
      <c r="H16" s="279">
        <v>31.225297999999999</v>
      </c>
      <c r="I16" s="276"/>
      <c r="J16" s="280">
        <v>6.41</v>
      </c>
      <c r="K16" s="285"/>
      <c r="L16" s="288">
        <f>H16/J16</f>
        <v>4.8713413416536655</v>
      </c>
      <c r="M16" s="285"/>
      <c r="N16" s="286">
        <f>L16/F16</f>
        <v>8.938424190553898E-2</v>
      </c>
      <c r="O16" s="285"/>
      <c r="P16" s="287">
        <f>J15</f>
        <v>14.36</v>
      </c>
      <c r="Q16" s="285"/>
      <c r="R16" s="288">
        <f>H16/P16</f>
        <v>2.1744636490250695</v>
      </c>
      <c r="S16" s="285"/>
      <c r="T16" s="289">
        <f>R16/F16</f>
        <v>3.9899233329700898E-2</v>
      </c>
      <c r="U16" s="285"/>
      <c r="V16" s="288">
        <f>R16-L16</f>
        <v>-2.696877692628596</v>
      </c>
      <c r="W16" s="158"/>
      <c r="X16" s="158"/>
      <c r="Y16" s="158"/>
    </row>
    <row r="17" spans="1:25">
      <c r="A17" s="176"/>
      <c r="B17" s="166" t="s">
        <v>482</v>
      </c>
      <c r="C17" s="176"/>
      <c r="D17" s="176" t="s">
        <v>484</v>
      </c>
      <c r="E17" s="176"/>
      <c r="F17" s="276">
        <f>SUM(F15:F16)</f>
        <v>185.462467</v>
      </c>
      <c r="G17" s="176"/>
      <c r="H17" s="276">
        <f>SUM(H15:H16)</f>
        <v>109.418792</v>
      </c>
      <c r="I17" s="276"/>
      <c r="J17" s="275"/>
      <c r="K17" s="285"/>
      <c r="L17" s="276">
        <f>SUM(L15:L16)</f>
        <v>10.316570728840295</v>
      </c>
      <c r="M17" s="285"/>
      <c r="N17" s="276"/>
      <c r="O17" s="285"/>
      <c r="P17" s="290"/>
      <c r="Q17" s="285"/>
      <c r="R17" s="276">
        <f>SUM(R15:R16)</f>
        <v>7.6196930362116992</v>
      </c>
      <c r="S17" s="285"/>
      <c r="T17" s="286">
        <f>R17/F17</f>
        <v>4.10848251911353E-2</v>
      </c>
      <c r="U17" s="285"/>
      <c r="V17" s="276">
        <f>SUM(V15:V16)</f>
        <v>-2.696877692628596</v>
      </c>
      <c r="W17" s="158"/>
      <c r="X17" s="158"/>
      <c r="Y17" s="158"/>
    </row>
    <row r="18" spans="1:25">
      <c r="A18" s="176"/>
      <c r="B18" s="166"/>
      <c r="C18" s="176"/>
      <c r="D18" s="176"/>
      <c r="E18" s="176"/>
      <c r="F18" s="176"/>
      <c r="G18" s="176"/>
      <c r="H18" s="276"/>
      <c r="I18" s="276"/>
      <c r="J18" s="276"/>
      <c r="K18" s="285"/>
      <c r="L18" s="285"/>
      <c r="M18" s="285"/>
      <c r="N18" s="285"/>
      <c r="O18" s="285"/>
      <c r="P18" s="285"/>
      <c r="Q18" s="285"/>
      <c r="R18" s="285"/>
      <c r="S18" s="285"/>
      <c r="T18" s="285"/>
      <c r="U18" s="285"/>
      <c r="V18" s="285"/>
      <c r="W18" s="158"/>
      <c r="X18" s="158"/>
      <c r="Y18" s="158"/>
    </row>
    <row r="19" spans="1:25">
      <c r="A19" s="176"/>
      <c r="B19" s="166" t="s">
        <v>472</v>
      </c>
      <c r="C19" s="176"/>
      <c r="D19" s="166" t="s">
        <v>476</v>
      </c>
      <c r="E19" s="176"/>
      <c r="F19" s="276">
        <v>130.296359</v>
      </c>
      <c r="G19" s="176"/>
      <c r="H19" s="276">
        <v>97.312657999999999</v>
      </c>
      <c r="I19" s="276"/>
      <c r="J19" s="275">
        <v>14.37</v>
      </c>
      <c r="K19" s="285"/>
      <c r="L19" s="285">
        <f>H19/J19</f>
        <v>6.7719316631871962</v>
      </c>
      <c r="M19" s="285"/>
      <c r="N19" s="286">
        <f>L19/F19</f>
        <v>5.1973299293706254E-2</v>
      </c>
      <c r="O19" s="285"/>
      <c r="P19" s="287">
        <f>J19</f>
        <v>14.37</v>
      </c>
      <c r="Q19" s="285"/>
      <c r="R19" s="285">
        <f>H19/P19</f>
        <v>6.7719316631871962</v>
      </c>
      <c r="S19" s="285"/>
      <c r="T19" s="286">
        <f>R19/F19</f>
        <v>5.1973299293706254E-2</v>
      </c>
      <c r="U19" s="285"/>
      <c r="V19" s="285">
        <f>R19-L19</f>
        <v>0</v>
      </c>
      <c r="W19" s="158"/>
      <c r="X19" s="158"/>
      <c r="Y19" s="158"/>
    </row>
    <row r="20" spans="1:25">
      <c r="A20" s="176"/>
      <c r="B20" s="166" t="s">
        <v>472</v>
      </c>
      <c r="C20" s="176"/>
      <c r="D20" s="166" t="s">
        <v>485</v>
      </c>
      <c r="E20" s="176"/>
      <c r="F20" s="279">
        <v>24.422478000000002</v>
      </c>
      <c r="G20" s="176"/>
      <c r="H20" s="279">
        <v>13.827699000000001</v>
      </c>
      <c r="I20" s="276"/>
      <c r="J20" s="280">
        <v>6.92</v>
      </c>
      <c r="K20" s="285"/>
      <c r="L20" s="288">
        <f>H20/J20</f>
        <v>1.9982223988439307</v>
      </c>
      <c r="M20" s="285"/>
      <c r="N20" s="286">
        <f>L20/F20</f>
        <v>8.1818986543623073E-2</v>
      </c>
      <c r="O20" s="285"/>
      <c r="P20" s="287">
        <f>J19</f>
        <v>14.37</v>
      </c>
      <c r="Q20" s="285"/>
      <c r="R20" s="288">
        <f>H20/P20</f>
        <v>0.96226158663883099</v>
      </c>
      <c r="S20" s="285"/>
      <c r="T20" s="289">
        <f>R20/F20</f>
        <v>3.9400653227687661E-2</v>
      </c>
      <c r="U20" s="285"/>
      <c r="V20" s="288">
        <f>R20-L20</f>
        <v>-1.0359608122050998</v>
      </c>
      <c r="W20" s="158"/>
      <c r="X20" s="158"/>
      <c r="Y20" s="158"/>
    </row>
    <row r="21" spans="1:25">
      <c r="A21" s="176"/>
      <c r="B21" s="166" t="s">
        <v>482</v>
      </c>
      <c r="C21" s="176"/>
      <c r="D21" s="176" t="s">
        <v>484</v>
      </c>
      <c r="E21" s="176"/>
      <c r="F21" s="276">
        <f>SUM(F19:F20)</f>
        <v>154.71883700000001</v>
      </c>
      <c r="G21" s="176"/>
      <c r="H21" s="276">
        <f>SUM(H19:H20)</f>
        <v>111.14035699999999</v>
      </c>
      <c r="I21" s="276"/>
      <c r="J21" s="275"/>
      <c r="K21" s="285"/>
      <c r="L21" s="276">
        <f>SUM(L19:L20)</f>
        <v>8.7701540620311267</v>
      </c>
      <c r="M21" s="285"/>
      <c r="N21" s="276"/>
      <c r="O21" s="285"/>
      <c r="P21" s="290"/>
      <c r="Q21" s="285"/>
      <c r="R21" s="276">
        <f>SUM(R19:R20)</f>
        <v>7.7341932498260269</v>
      </c>
      <c r="S21" s="285"/>
      <c r="T21" s="286">
        <f>R21/F21</f>
        <v>4.9988698207614028E-2</v>
      </c>
      <c r="U21" s="285"/>
      <c r="V21" s="276">
        <f>SUM(V19:V20)</f>
        <v>-1.0359608122050998</v>
      </c>
      <c r="W21" s="158"/>
      <c r="X21" s="158"/>
      <c r="Y21" s="158"/>
    </row>
    <row r="22" spans="1:25">
      <c r="A22" s="176"/>
      <c r="B22" s="176"/>
      <c r="C22" s="176"/>
      <c r="D22" s="176"/>
      <c r="E22" s="176"/>
      <c r="F22" s="176"/>
      <c r="G22" s="176"/>
      <c r="H22" s="276"/>
      <c r="I22" s="276"/>
      <c r="J22" s="276"/>
      <c r="K22" s="285"/>
      <c r="L22" s="285"/>
      <c r="M22" s="285"/>
      <c r="N22" s="285"/>
      <c r="O22" s="285"/>
      <c r="P22" s="285"/>
      <c r="Q22" s="285"/>
      <c r="R22" s="285"/>
      <c r="S22" s="285"/>
      <c r="T22" s="285"/>
      <c r="U22" s="285"/>
      <c r="V22" s="285"/>
      <c r="W22" s="158"/>
      <c r="X22" s="158"/>
      <c r="Y22" s="158"/>
    </row>
    <row r="23" spans="1:25">
      <c r="A23" s="176"/>
      <c r="B23" s="166" t="s">
        <v>488</v>
      </c>
      <c r="C23" s="176"/>
      <c r="D23" s="166" t="s">
        <v>476</v>
      </c>
      <c r="E23" s="176"/>
      <c r="F23" s="276">
        <v>3.9662350000000002</v>
      </c>
      <c r="G23" s="176"/>
      <c r="H23" s="276">
        <v>2.8780199999999998</v>
      </c>
      <c r="I23" s="276"/>
      <c r="J23" s="275">
        <v>23.12</v>
      </c>
      <c r="K23" s="285"/>
      <c r="L23" s="285">
        <f>H23/J23</f>
        <v>0.12448183391003459</v>
      </c>
      <c r="M23" s="285"/>
      <c r="N23" s="286">
        <f>L23/F23</f>
        <v>3.1385390404258591E-2</v>
      </c>
      <c r="O23" s="285"/>
      <c r="P23" s="287">
        <f>J23</f>
        <v>23.12</v>
      </c>
      <c r="Q23" s="285"/>
      <c r="R23" s="285">
        <f>H23/P23</f>
        <v>0.12448183391003459</v>
      </c>
      <c r="S23" s="285"/>
      <c r="T23" s="286">
        <f>R23/F23</f>
        <v>3.1385390404258591E-2</v>
      </c>
      <c r="U23" s="285"/>
      <c r="V23" s="285">
        <f>R23-L23</f>
        <v>0</v>
      </c>
      <c r="W23" s="158"/>
      <c r="X23" s="158"/>
      <c r="Y23" s="158"/>
    </row>
    <row r="24" spans="1:25">
      <c r="A24" s="176"/>
      <c r="B24" s="166" t="s">
        <v>488</v>
      </c>
      <c r="C24" s="176"/>
      <c r="D24" s="166" t="s">
        <v>485</v>
      </c>
      <c r="E24" s="176"/>
      <c r="F24" s="279">
        <v>0.441577</v>
      </c>
      <c r="G24" s="176"/>
      <c r="H24" s="279">
        <v>5.4322000000000002E-2</v>
      </c>
      <c r="I24" s="276"/>
      <c r="J24" s="280">
        <v>5.5</v>
      </c>
      <c r="K24" s="285"/>
      <c r="L24" s="288">
        <f>H24/J24</f>
        <v>9.8767272727272731E-3</v>
      </c>
      <c r="M24" s="285"/>
      <c r="N24" s="286">
        <f>L24/F24</f>
        <v>2.2366942283514026E-2</v>
      </c>
      <c r="O24" s="285"/>
      <c r="P24" s="287">
        <f>J23</f>
        <v>23.12</v>
      </c>
      <c r="Q24" s="285"/>
      <c r="R24" s="288">
        <f>H24/P24</f>
        <v>2.3495674740484427E-3</v>
      </c>
      <c r="S24" s="285"/>
      <c r="T24" s="289">
        <f>R24/F24</f>
        <v>5.3208556470297199E-3</v>
      </c>
      <c r="U24" s="285"/>
      <c r="V24" s="288">
        <f>R24-L24</f>
        <v>-7.5271597986788299E-3</v>
      </c>
      <c r="W24" s="158"/>
      <c r="X24" s="158"/>
      <c r="Y24" s="158"/>
    </row>
    <row r="25" spans="1:25">
      <c r="A25" s="176"/>
      <c r="B25" s="166" t="s">
        <v>482</v>
      </c>
      <c r="C25" s="176"/>
      <c r="D25" s="176" t="s">
        <v>484</v>
      </c>
      <c r="E25" s="176"/>
      <c r="F25" s="276">
        <f>SUM(F23:F24)</f>
        <v>4.4078119999999998</v>
      </c>
      <c r="G25" s="176"/>
      <c r="H25" s="276">
        <f>SUM(H23:H24)</f>
        <v>2.9323419999999998</v>
      </c>
      <c r="I25" s="276"/>
      <c r="J25" s="275"/>
      <c r="K25" s="285"/>
      <c r="L25" s="276">
        <f>SUM(L23:L24)</f>
        <v>0.13435856118276185</v>
      </c>
      <c r="M25" s="285"/>
      <c r="N25" s="276"/>
      <c r="O25" s="285"/>
      <c r="P25" s="290"/>
      <c r="Q25" s="285"/>
      <c r="R25" s="276">
        <f>SUM(R23:R24)</f>
        <v>0.12683140138408303</v>
      </c>
      <c r="S25" s="285"/>
      <c r="T25" s="286">
        <f>R25/F25</f>
        <v>2.8774231156883059E-2</v>
      </c>
      <c r="U25" s="285"/>
      <c r="V25" s="276">
        <f>SUM(V23:V24)</f>
        <v>-7.5271597986788299E-3</v>
      </c>
      <c r="W25" s="158"/>
      <c r="X25" s="158"/>
      <c r="Y25" s="158"/>
    </row>
    <row r="26" spans="1:25">
      <c r="A26" s="176"/>
      <c r="B26" s="166"/>
      <c r="C26" s="176"/>
      <c r="D26" s="176"/>
      <c r="E26" s="176"/>
      <c r="F26" s="276"/>
      <c r="G26" s="176"/>
      <c r="H26" s="276"/>
      <c r="I26" s="276"/>
      <c r="J26" s="275"/>
      <c r="K26" s="285"/>
      <c r="L26" s="291"/>
      <c r="M26" s="285"/>
      <c r="N26" s="285"/>
      <c r="O26" s="285"/>
      <c r="P26" s="285"/>
      <c r="Q26" s="285"/>
      <c r="R26" s="285"/>
      <c r="S26" s="285"/>
      <c r="T26" s="285"/>
      <c r="U26" s="285"/>
      <c r="V26" s="285"/>
      <c r="W26" s="158"/>
      <c r="X26" s="158"/>
      <c r="Y26" s="158"/>
    </row>
    <row r="27" spans="1:25">
      <c r="A27" s="176"/>
      <c r="B27" s="166" t="s">
        <v>489</v>
      </c>
      <c r="C27" s="176"/>
      <c r="D27" s="166" t="s">
        <v>476</v>
      </c>
      <c r="E27" s="176"/>
      <c r="F27" s="276">
        <v>408.86498599999999</v>
      </c>
      <c r="G27" s="176"/>
      <c r="H27" s="276">
        <v>331.80694699999998</v>
      </c>
      <c r="I27" s="276"/>
      <c r="J27" s="275">
        <v>22.81</v>
      </c>
      <c r="K27" s="285"/>
      <c r="L27" s="285">
        <f>H27/J27</f>
        <v>14.546556203419552</v>
      </c>
      <c r="M27" s="285"/>
      <c r="N27" s="286">
        <f>L27/F27</f>
        <v>3.5577896619935934E-2</v>
      </c>
      <c r="O27" s="285"/>
      <c r="P27" s="287">
        <f>J27</f>
        <v>22.81</v>
      </c>
      <c r="Q27" s="285"/>
      <c r="R27" s="285">
        <f>H27/P27</f>
        <v>14.546556203419552</v>
      </c>
      <c r="S27" s="285"/>
      <c r="T27" s="286">
        <f>R27/F27</f>
        <v>3.5577896619935934E-2</v>
      </c>
      <c r="U27" s="285"/>
      <c r="V27" s="285">
        <f>R27-L27</f>
        <v>0</v>
      </c>
      <c r="W27" s="158"/>
      <c r="X27" s="158"/>
      <c r="Y27" s="158"/>
    </row>
    <row r="28" spans="1:25">
      <c r="A28" s="176"/>
      <c r="B28" s="166" t="s">
        <v>489</v>
      </c>
      <c r="C28" s="176"/>
      <c r="D28" s="166" t="s">
        <v>485</v>
      </c>
      <c r="E28" s="176"/>
      <c r="F28" s="279">
        <v>296.49418300000002</v>
      </c>
      <c r="G28" s="176"/>
      <c r="H28" s="279">
        <v>147.83473799999999</v>
      </c>
      <c r="I28" s="276"/>
      <c r="J28" s="280">
        <v>6.72</v>
      </c>
      <c r="K28" s="285"/>
      <c r="L28" s="288">
        <f>H28/J28</f>
        <v>21.999216964285715</v>
      </c>
      <c r="M28" s="285"/>
      <c r="N28" s="286">
        <f>L28/F28</f>
        <v>7.4197802944031832E-2</v>
      </c>
      <c r="O28" s="285"/>
      <c r="P28" s="287">
        <f>J27</f>
        <v>22.81</v>
      </c>
      <c r="Q28" s="285"/>
      <c r="R28" s="288">
        <f>H28/P28</f>
        <v>6.4811371328364746</v>
      </c>
      <c r="S28" s="285"/>
      <c r="T28" s="289">
        <f>R28/F28</f>
        <v>2.1859238745457865E-2</v>
      </c>
      <c r="U28" s="285"/>
      <c r="V28" s="288">
        <f>R28-L28</f>
        <v>-15.51807983144924</v>
      </c>
      <c r="W28" s="158"/>
      <c r="X28" s="158"/>
      <c r="Y28" s="158"/>
    </row>
    <row r="29" spans="1:25">
      <c r="A29" s="176"/>
      <c r="B29" s="166" t="s">
        <v>482</v>
      </c>
      <c r="C29" s="176"/>
      <c r="D29" s="176" t="s">
        <v>484</v>
      </c>
      <c r="E29" s="176"/>
      <c r="F29" s="276">
        <f>SUM(F27:F28)</f>
        <v>705.35916900000007</v>
      </c>
      <c r="G29" s="176"/>
      <c r="H29" s="276">
        <f>SUM(H27:H28)</f>
        <v>479.64168499999994</v>
      </c>
      <c r="I29" s="276"/>
      <c r="J29" s="275"/>
      <c r="K29" s="285"/>
      <c r="L29" s="276">
        <f>SUM(L27:L28)</f>
        <v>36.545773167705264</v>
      </c>
      <c r="M29" s="285"/>
      <c r="N29" s="276"/>
      <c r="O29" s="285"/>
      <c r="P29" s="290"/>
      <c r="Q29" s="285"/>
      <c r="R29" s="276">
        <f>SUM(R27:R28)</f>
        <v>21.027693336256029</v>
      </c>
      <c r="S29" s="285"/>
      <c r="T29" s="286">
        <f>R29/F29</f>
        <v>2.981132770424939E-2</v>
      </c>
      <c r="U29" s="285"/>
      <c r="V29" s="276">
        <f>SUM(V27:V28)</f>
        <v>-15.51807983144924</v>
      </c>
      <c r="W29" s="158"/>
      <c r="X29" s="158"/>
      <c r="Y29" s="158"/>
    </row>
    <row r="30" spans="1:25">
      <c r="A30" s="176"/>
      <c r="B30" s="166"/>
      <c r="C30" s="176"/>
      <c r="D30" s="176"/>
      <c r="E30" s="176"/>
      <c r="F30" s="176"/>
      <c r="G30" s="176"/>
      <c r="H30" s="276"/>
      <c r="I30" s="276"/>
      <c r="J30" s="276"/>
      <c r="K30" s="285"/>
      <c r="L30" s="285"/>
      <c r="M30" s="285"/>
      <c r="N30" s="285"/>
      <c r="O30" s="285"/>
      <c r="P30" s="285"/>
      <c r="Q30" s="285"/>
      <c r="R30" s="285"/>
      <c r="S30" s="285"/>
      <c r="T30" s="285"/>
      <c r="U30" s="285"/>
      <c r="V30" s="285"/>
      <c r="W30" s="158"/>
      <c r="X30" s="158"/>
      <c r="Y30" s="158"/>
    </row>
    <row r="31" spans="1:25">
      <c r="A31" s="176"/>
      <c r="B31" s="166" t="s">
        <v>490</v>
      </c>
      <c r="C31" s="176"/>
      <c r="D31" s="166" t="s">
        <v>476</v>
      </c>
      <c r="E31" s="176"/>
      <c r="F31" s="276">
        <v>168.67457099999999</v>
      </c>
      <c r="G31" s="176"/>
      <c r="H31" s="276">
        <v>176.09166999999999</v>
      </c>
      <c r="I31" s="276"/>
      <c r="J31" s="275">
        <v>23.24</v>
      </c>
      <c r="K31" s="285"/>
      <c r="L31" s="285">
        <f>H31/J31</f>
        <v>7.5770942340791745</v>
      </c>
      <c r="M31" s="285"/>
      <c r="N31" s="286">
        <f>L31/F31</f>
        <v>4.4921378422116603E-2</v>
      </c>
      <c r="O31" s="285"/>
      <c r="P31" s="287">
        <f>J31</f>
        <v>23.24</v>
      </c>
      <c r="Q31" s="285"/>
      <c r="R31" s="285">
        <f>H31/P31</f>
        <v>7.5770942340791745</v>
      </c>
      <c r="S31" s="285"/>
      <c r="T31" s="286">
        <f>R31/F31</f>
        <v>4.4921378422116603E-2</v>
      </c>
      <c r="U31" s="285"/>
      <c r="V31" s="285">
        <f>R31-L31</f>
        <v>0</v>
      </c>
      <c r="W31" s="158"/>
      <c r="X31" s="158"/>
      <c r="Y31" s="158"/>
    </row>
    <row r="32" spans="1:25">
      <c r="A32" s="176"/>
      <c r="B32" s="166" t="s">
        <v>490</v>
      </c>
      <c r="C32" s="176"/>
      <c r="D32" s="166" t="s">
        <v>485</v>
      </c>
      <c r="E32" s="176"/>
      <c r="F32" s="279">
        <v>20.277149000000001</v>
      </c>
      <c r="G32" s="176"/>
      <c r="H32" s="279">
        <v>14.681927</v>
      </c>
      <c r="I32" s="276"/>
      <c r="J32" s="280">
        <v>19.16</v>
      </c>
      <c r="K32" s="285"/>
      <c r="L32" s="288">
        <f>H32/J32</f>
        <v>0.76628011482254699</v>
      </c>
      <c r="M32" s="285"/>
      <c r="N32" s="286">
        <f>L32/F32</f>
        <v>3.7790328158191618E-2</v>
      </c>
      <c r="O32" s="285"/>
      <c r="P32" s="287">
        <f>J31</f>
        <v>23.24</v>
      </c>
      <c r="Q32" s="285"/>
      <c r="R32" s="288">
        <f>H32/P32</f>
        <v>0.6317524526678141</v>
      </c>
      <c r="S32" s="285"/>
      <c r="T32" s="289">
        <f>R32/F32</f>
        <v>3.115588156243336E-2</v>
      </c>
      <c r="U32" s="285"/>
      <c r="V32" s="288">
        <f>R32-L32</f>
        <v>-0.13452766215473289</v>
      </c>
      <c r="W32" s="158"/>
      <c r="X32" s="158"/>
      <c r="Y32" s="158"/>
    </row>
    <row r="33" spans="1:25">
      <c r="A33" s="176"/>
      <c r="B33" s="166" t="s">
        <v>482</v>
      </c>
      <c r="C33" s="176"/>
      <c r="D33" s="176" t="s">
        <v>484</v>
      </c>
      <c r="E33" s="176"/>
      <c r="F33" s="276">
        <f>SUM(F31:F32)</f>
        <v>188.95171999999999</v>
      </c>
      <c r="G33" s="176"/>
      <c r="H33" s="276">
        <f>SUM(H31:H32)</f>
        <v>190.773597</v>
      </c>
      <c r="I33" s="276"/>
      <c r="J33" s="275"/>
      <c r="K33" s="285"/>
      <c r="L33" s="276">
        <f>SUM(L31:L32)</f>
        <v>8.3433743489017207</v>
      </c>
      <c r="M33" s="285"/>
      <c r="N33" s="276"/>
      <c r="O33" s="285"/>
      <c r="P33" s="290"/>
      <c r="Q33" s="285"/>
      <c r="R33" s="276">
        <f>SUM(R31:R32)</f>
        <v>8.2088466867469894</v>
      </c>
      <c r="S33" s="285"/>
      <c r="T33" s="286">
        <f>R33/F33</f>
        <v>4.3444149049010984E-2</v>
      </c>
      <c r="U33" s="285"/>
      <c r="V33" s="276">
        <f>SUM(V31:V32)</f>
        <v>-0.13452766215473289</v>
      </c>
      <c r="W33" s="158"/>
      <c r="X33" s="158"/>
      <c r="Y33" s="158"/>
    </row>
    <row r="34" spans="1:25">
      <c r="A34" s="176"/>
      <c r="B34" s="176"/>
      <c r="C34" s="176"/>
      <c r="D34" s="176"/>
      <c r="E34" s="176"/>
      <c r="F34" s="176"/>
      <c r="G34" s="176"/>
      <c r="H34" s="276"/>
      <c r="I34" s="276"/>
      <c r="J34" s="276"/>
      <c r="K34" s="285"/>
      <c r="L34" s="285"/>
      <c r="M34" s="285"/>
      <c r="N34" s="285"/>
      <c r="O34" s="285"/>
      <c r="P34" s="285"/>
      <c r="Q34" s="285"/>
      <c r="R34" s="285"/>
      <c r="S34" s="285"/>
      <c r="T34" s="285"/>
      <c r="U34" s="285"/>
      <c r="V34" s="285"/>
      <c r="W34" s="158"/>
      <c r="X34" s="158"/>
      <c r="Y34" s="158"/>
    </row>
    <row r="35" spans="1:25">
      <c r="A35" s="176"/>
      <c r="B35" s="166" t="s">
        <v>491</v>
      </c>
      <c r="C35" s="176"/>
      <c r="D35" s="166" t="s">
        <v>476</v>
      </c>
      <c r="E35" s="176"/>
      <c r="F35" s="276">
        <v>285.00985500000002</v>
      </c>
      <c r="G35" s="176"/>
      <c r="H35" s="276">
        <v>247.93287100000001</v>
      </c>
      <c r="I35" s="276"/>
      <c r="J35" s="275">
        <v>24.32</v>
      </c>
      <c r="K35" s="285"/>
      <c r="L35" s="285">
        <f>H35/J35</f>
        <v>10.194608182565789</v>
      </c>
      <c r="M35" s="285"/>
      <c r="N35" s="286">
        <f>L35/F35</f>
        <v>3.5769318161176525E-2</v>
      </c>
      <c r="O35" s="285"/>
      <c r="P35" s="287">
        <f>J35</f>
        <v>24.32</v>
      </c>
      <c r="Q35" s="285"/>
      <c r="R35" s="285">
        <f>H35/P35</f>
        <v>10.194608182565789</v>
      </c>
      <c r="S35" s="285"/>
      <c r="T35" s="286">
        <f>R35/F35</f>
        <v>3.5769318161176525E-2</v>
      </c>
      <c r="U35" s="285"/>
      <c r="V35" s="285">
        <f>R35-L35</f>
        <v>0</v>
      </c>
      <c r="W35" s="158"/>
      <c r="X35" s="158"/>
      <c r="Y35" s="158"/>
    </row>
    <row r="36" spans="1:25">
      <c r="A36" s="176"/>
      <c r="B36" s="166" t="s">
        <v>491</v>
      </c>
      <c r="C36" s="176"/>
      <c r="D36" s="166" t="s">
        <v>485</v>
      </c>
      <c r="E36" s="176"/>
      <c r="F36" s="279">
        <v>189.328023</v>
      </c>
      <c r="G36" s="176"/>
      <c r="H36" s="279">
        <v>105.091172</v>
      </c>
      <c r="I36" s="276"/>
      <c r="J36" s="280">
        <v>7.04</v>
      </c>
      <c r="K36" s="285"/>
      <c r="L36" s="288">
        <f>H36/J36</f>
        <v>14.927723295454545</v>
      </c>
      <c r="M36" s="285"/>
      <c r="N36" s="286">
        <f>L36/F36</f>
        <v>7.8845820385789078E-2</v>
      </c>
      <c r="O36" s="285"/>
      <c r="P36" s="287">
        <f>J35</f>
        <v>24.32</v>
      </c>
      <c r="Q36" s="285"/>
      <c r="R36" s="288">
        <f>H36/P36</f>
        <v>4.3211830592105267</v>
      </c>
      <c r="S36" s="285"/>
      <c r="T36" s="289">
        <f>R36/F36</f>
        <v>2.282379011167579E-2</v>
      </c>
      <c r="U36" s="285"/>
      <c r="V36" s="288">
        <f>R36-L36</f>
        <v>-10.606540236244019</v>
      </c>
      <c r="W36" s="158"/>
      <c r="X36" s="158"/>
      <c r="Y36" s="158"/>
    </row>
    <row r="37" spans="1:25">
      <c r="A37" s="176"/>
      <c r="B37" s="166" t="s">
        <v>482</v>
      </c>
      <c r="C37" s="176"/>
      <c r="D37" s="176" t="s">
        <v>484</v>
      </c>
      <c r="E37" s="176"/>
      <c r="F37" s="276">
        <f>SUM(F35:F36)</f>
        <v>474.33787800000005</v>
      </c>
      <c r="G37" s="176"/>
      <c r="H37" s="276">
        <f>SUM(H35:H36)</f>
        <v>353.02404300000001</v>
      </c>
      <c r="I37" s="276"/>
      <c r="J37" s="275"/>
      <c r="K37" s="285"/>
      <c r="L37" s="276">
        <f>SUM(L35:L36)</f>
        <v>25.122331478020335</v>
      </c>
      <c r="M37" s="285"/>
      <c r="N37" s="276"/>
      <c r="O37" s="285"/>
      <c r="P37" s="290"/>
      <c r="Q37" s="285"/>
      <c r="R37" s="276">
        <f>SUM(R35:R36)</f>
        <v>14.515791241776316</v>
      </c>
      <c r="S37" s="285"/>
      <c r="T37" s="286">
        <f>R37/F37</f>
        <v>3.0602218197249502E-2</v>
      </c>
      <c r="U37" s="285"/>
      <c r="V37" s="276">
        <f>SUM(V35:V36)</f>
        <v>-10.606540236244019</v>
      </c>
      <c r="W37" s="158"/>
      <c r="X37" s="158"/>
      <c r="Y37" s="158"/>
    </row>
    <row r="38" spans="1:25">
      <c r="A38" s="176"/>
      <c r="B38" s="166"/>
      <c r="C38" s="176"/>
      <c r="D38" s="176"/>
      <c r="E38" s="176"/>
      <c r="F38" s="276"/>
      <c r="G38" s="176"/>
      <c r="H38" s="276"/>
      <c r="I38" s="276"/>
      <c r="J38" s="275"/>
      <c r="K38" s="285"/>
      <c r="L38" s="291"/>
      <c r="M38" s="285"/>
      <c r="N38" s="285"/>
      <c r="O38" s="285"/>
      <c r="P38" s="285"/>
      <c r="Q38" s="285"/>
      <c r="R38" s="285"/>
      <c r="S38" s="285"/>
      <c r="T38" s="285"/>
      <c r="U38" s="285"/>
      <c r="V38" s="285"/>
      <c r="W38" s="158"/>
      <c r="X38" s="158"/>
      <c r="Y38" s="158"/>
    </row>
    <row r="39" spans="1:25">
      <c r="A39" s="176"/>
      <c r="B39" s="166" t="s">
        <v>492</v>
      </c>
      <c r="C39" s="176"/>
      <c r="D39" s="166" t="s">
        <v>476</v>
      </c>
      <c r="E39" s="176"/>
      <c r="F39" s="276">
        <v>23.358058</v>
      </c>
      <c r="G39" s="176"/>
      <c r="H39" s="276">
        <v>9.137613</v>
      </c>
      <c r="I39" s="276"/>
      <c r="J39" s="275">
        <v>15.31</v>
      </c>
      <c r="K39" s="285"/>
      <c r="L39" s="285">
        <f>H39/J39</f>
        <v>0.5968395166557805</v>
      </c>
      <c r="M39" s="285"/>
      <c r="N39" s="286">
        <f>L39/F39</f>
        <v>2.5551761052043816E-2</v>
      </c>
      <c r="O39" s="285"/>
      <c r="P39" s="287">
        <f>J39</f>
        <v>15.31</v>
      </c>
      <c r="Q39" s="285"/>
      <c r="R39" s="285">
        <f>H39/P39</f>
        <v>0.5968395166557805</v>
      </c>
      <c r="S39" s="285"/>
      <c r="T39" s="286">
        <f>R39/F39</f>
        <v>2.5551761052043816E-2</v>
      </c>
      <c r="U39" s="285"/>
      <c r="V39" s="285">
        <f>R39-L39</f>
        <v>0</v>
      </c>
      <c r="W39" s="158"/>
      <c r="X39" s="158"/>
      <c r="Y39" s="158"/>
    </row>
    <row r="40" spans="1:25">
      <c r="A40" s="176"/>
      <c r="B40" s="166" t="s">
        <v>492</v>
      </c>
      <c r="C40" s="176"/>
      <c r="D40" s="166" t="s">
        <v>485</v>
      </c>
      <c r="E40" s="176"/>
      <c r="F40" s="279">
        <v>2.2304219999999999</v>
      </c>
      <c r="G40" s="176"/>
      <c r="H40" s="279">
        <v>0.60936800000000002</v>
      </c>
      <c r="I40" s="276"/>
      <c r="J40" s="280">
        <v>5.67</v>
      </c>
      <c r="K40" s="285"/>
      <c r="L40" s="288">
        <f>H40/J40</f>
        <v>0.10747231040564374</v>
      </c>
      <c r="M40" s="285"/>
      <c r="N40" s="286">
        <f>L40/F40</f>
        <v>4.8184742800081663E-2</v>
      </c>
      <c r="O40" s="285"/>
      <c r="P40" s="287">
        <f>J39</f>
        <v>15.31</v>
      </c>
      <c r="Q40" s="285"/>
      <c r="R40" s="288">
        <f>H40/P40</f>
        <v>3.9801959503592423E-2</v>
      </c>
      <c r="S40" s="285"/>
      <c r="T40" s="289">
        <f>R40/F40</f>
        <v>1.7845035380565841E-2</v>
      </c>
      <c r="U40" s="285"/>
      <c r="V40" s="288">
        <f>R40-L40</f>
        <v>-6.7670350902051313E-2</v>
      </c>
      <c r="W40" s="158"/>
      <c r="X40" s="158"/>
      <c r="Y40" s="158"/>
    </row>
    <row r="41" spans="1:25">
      <c r="A41" s="176"/>
      <c r="B41" s="166" t="s">
        <v>482</v>
      </c>
      <c r="C41" s="176"/>
      <c r="D41" s="176" t="s">
        <v>484</v>
      </c>
      <c r="E41" s="176"/>
      <c r="F41" s="276">
        <f>SUM(F39:F40)</f>
        <v>25.588480000000001</v>
      </c>
      <c r="G41" s="176"/>
      <c r="H41" s="276">
        <f>SUM(H39:H40)</f>
        <v>9.7469809999999999</v>
      </c>
      <c r="I41" s="276"/>
      <c r="J41" s="275"/>
      <c r="K41" s="285"/>
      <c r="L41" s="276">
        <f>SUM(L39:L40)</f>
        <v>0.70431182706142426</v>
      </c>
      <c r="M41" s="285"/>
      <c r="N41" s="276"/>
      <c r="O41" s="285"/>
      <c r="P41" s="290"/>
      <c r="Q41" s="285"/>
      <c r="R41" s="276">
        <f>SUM(R39:R40)</f>
        <v>0.63664147615937294</v>
      </c>
      <c r="S41" s="285"/>
      <c r="T41" s="286">
        <f>R41/F41</f>
        <v>2.4880003664124361E-2</v>
      </c>
      <c r="U41" s="285"/>
      <c r="V41" s="276">
        <f>SUM(V39:V40)</f>
        <v>-6.7670350902051313E-2</v>
      </c>
      <c r="W41" s="158"/>
      <c r="X41" s="158"/>
      <c r="Y41" s="158"/>
    </row>
    <row r="42" spans="1:25">
      <c r="A42" s="176"/>
      <c r="B42" s="166"/>
      <c r="C42" s="176"/>
      <c r="D42" s="176"/>
      <c r="E42" s="176"/>
      <c r="F42" s="176"/>
      <c r="G42" s="176"/>
      <c r="H42" s="276"/>
      <c r="I42" s="276"/>
      <c r="J42" s="276"/>
      <c r="K42" s="285"/>
      <c r="L42" s="285"/>
      <c r="M42" s="285"/>
      <c r="N42" s="285"/>
      <c r="O42" s="285"/>
      <c r="P42" s="285"/>
      <c r="Q42" s="285"/>
      <c r="R42" s="285"/>
      <c r="S42" s="285"/>
      <c r="T42" s="285"/>
      <c r="U42" s="285"/>
      <c r="V42" s="285"/>
      <c r="W42" s="158"/>
      <c r="X42" s="158"/>
      <c r="Y42" s="158"/>
    </row>
    <row r="43" spans="1:25">
      <c r="A43" s="176"/>
      <c r="B43" s="166" t="s">
        <v>493</v>
      </c>
      <c r="C43" s="176"/>
      <c r="D43" s="166" t="s">
        <v>476</v>
      </c>
      <c r="E43" s="176"/>
      <c r="F43" s="276">
        <v>163.05640600000001</v>
      </c>
      <c r="G43" s="176"/>
      <c r="H43" s="276">
        <v>125.237796</v>
      </c>
      <c r="I43" s="276"/>
      <c r="J43" s="275">
        <v>15.28</v>
      </c>
      <c r="K43" s="285"/>
      <c r="L43" s="285">
        <f>H43/J43</f>
        <v>8.1961908376963351</v>
      </c>
      <c r="M43" s="285"/>
      <c r="N43" s="286">
        <f>L43/F43</f>
        <v>5.0265984874561347E-2</v>
      </c>
      <c r="O43" s="285"/>
      <c r="P43" s="287">
        <f>J43</f>
        <v>15.28</v>
      </c>
      <c r="Q43" s="285"/>
      <c r="R43" s="285">
        <f>H43/P43</f>
        <v>8.1961908376963351</v>
      </c>
      <c r="S43" s="285"/>
      <c r="T43" s="286">
        <f>R43/F43</f>
        <v>5.0265984874561347E-2</v>
      </c>
      <c r="U43" s="285"/>
      <c r="V43" s="285">
        <f>R43-L43</f>
        <v>0</v>
      </c>
      <c r="W43" s="158"/>
      <c r="X43" s="158"/>
      <c r="Y43" s="158"/>
    </row>
    <row r="44" spans="1:25">
      <c r="A44" s="176"/>
      <c r="B44" s="166" t="s">
        <v>493</v>
      </c>
      <c r="C44" s="176"/>
      <c r="D44" s="166" t="s">
        <v>485</v>
      </c>
      <c r="E44" s="176"/>
      <c r="F44" s="279">
        <v>62.930033999999999</v>
      </c>
      <c r="G44" s="176"/>
      <c r="H44" s="279">
        <v>36.546396000000001</v>
      </c>
      <c r="I44" s="276"/>
      <c r="J44" s="280">
        <v>7.31</v>
      </c>
      <c r="K44" s="285"/>
      <c r="L44" s="288">
        <f>H44/J44</f>
        <v>4.9995069767441862</v>
      </c>
      <c r="M44" s="285"/>
      <c r="N44" s="286">
        <f>L44/F44</f>
        <v>7.9445483483199547E-2</v>
      </c>
      <c r="O44" s="285"/>
      <c r="P44" s="287">
        <f>J43</f>
        <v>15.28</v>
      </c>
      <c r="Q44" s="285"/>
      <c r="R44" s="288">
        <f>H44/P44</f>
        <v>2.3917798429319372</v>
      </c>
      <c r="S44" s="285"/>
      <c r="T44" s="289">
        <f>R44/F44</f>
        <v>3.8006968865326486E-2</v>
      </c>
      <c r="U44" s="285"/>
      <c r="V44" s="288">
        <f>R44-L44</f>
        <v>-2.607727133812249</v>
      </c>
      <c r="W44" s="158"/>
      <c r="X44" s="158"/>
      <c r="Y44" s="158"/>
    </row>
    <row r="45" spans="1:25">
      <c r="A45" s="176"/>
      <c r="B45" s="166" t="s">
        <v>482</v>
      </c>
      <c r="C45" s="176"/>
      <c r="D45" s="176" t="s">
        <v>484</v>
      </c>
      <c r="E45" s="176"/>
      <c r="F45" s="276">
        <f>SUM(F43:F44)</f>
        <v>225.98644000000002</v>
      </c>
      <c r="G45" s="176"/>
      <c r="H45" s="276">
        <f>SUM(H43:H44)</f>
        <v>161.78419200000002</v>
      </c>
      <c r="I45" s="276"/>
      <c r="J45" s="275"/>
      <c r="K45" s="285"/>
      <c r="L45" s="276">
        <f>SUM(L43:L44)</f>
        <v>13.195697814440521</v>
      </c>
      <c r="M45" s="285"/>
      <c r="N45" s="276"/>
      <c r="O45" s="285"/>
      <c r="P45" s="290"/>
      <c r="Q45" s="285"/>
      <c r="R45" s="276">
        <f>SUM(R43:R44)</f>
        <v>10.587970680628272</v>
      </c>
      <c r="S45" s="285"/>
      <c r="T45" s="286">
        <f>R45/F45</f>
        <v>4.6852238924726064E-2</v>
      </c>
      <c r="U45" s="285"/>
      <c r="V45" s="276">
        <f>SUM(V43:V44)</f>
        <v>-2.607727133812249</v>
      </c>
      <c r="W45" s="158"/>
      <c r="X45" s="158"/>
      <c r="Y45" s="158"/>
    </row>
    <row r="46" spans="1:25">
      <c r="A46" s="176"/>
      <c r="B46" s="176"/>
      <c r="C46" s="176"/>
      <c r="D46" s="176"/>
      <c r="E46" s="176"/>
      <c r="F46" s="176"/>
      <c r="G46" s="176"/>
      <c r="H46" s="276"/>
      <c r="I46" s="276"/>
      <c r="J46" s="276"/>
      <c r="K46" s="285"/>
      <c r="L46" s="285"/>
      <c r="M46" s="285"/>
      <c r="N46" s="285"/>
      <c r="O46" s="285"/>
      <c r="P46" s="285"/>
      <c r="Q46" s="285"/>
      <c r="R46" s="285"/>
      <c r="S46" s="285"/>
      <c r="T46" s="285"/>
      <c r="U46" s="285"/>
      <c r="V46" s="285"/>
      <c r="W46" s="158"/>
      <c r="X46" s="158"/>
      <c r="Y46" s="158"/>
    </row>
    <row r="47" spans="1:25">
      <c r="A47" s="176"/>
      <c r="B47" s="166" t="s">
        <v>494</v>
      </c>
      <c r="C47" s="176"/>
      <c r="D47" s="166" t="s">
        <v>476</v>
      </c>
      <c r="E47" s="176"/>
      <c r="F47" s="276">
        <v>169.519058</v>
      </c>
      <c r="G47" s="176"/>
      <c r="H47" s="276">
        <v>110.042726</v>
      </c>
      <c r="I47" s="276"/>
      <c r="J47" s="275">
        <v>15.33</v>
      </c>
      <c r="K47" s="285"/>
      <c r="L47" s="285">
        <f>H47/J47</f>
        <v>7.1782600130463141</v>
      </c>
      <c r="M47" s="285"/>
      <c r="N47" s="286">
        <f>L47/F47</f>
        <v>4.234485548548951E-2</v>
      </c>
      <c r="O47" s="285"/>
      <c r="P47" s="287">
        <f>J47</f>
        <v>15.33</v>
      </c>
      <c r="Q47" s="285"/>
      <c r="R47" s="285">
        <f>H47/P47</f>
        <v>7.1782600130463141</v>
      </c>
      <c r="S47" s="285"/>
      <c r="T47" s="286">
        <f>R47/F47</f>
        <v>4.234485548548951E-2</v>
      </c>
      <c r="U47" s="285"/>
      <c r="V47" s="285">
        <f>R47-L47</f>
        <v>0</v>
      </c>
      <c r="W47" s="158"/>
      <c r="X47" s="158"/>
      <c r="Y47" s="158"/>
    </row>
    <row r="48" spans="1:25">
      <c r="A48" s="176"/>
      <c r="B48" s="166" t="s">
        <v>494</v>
      </c>
      <c r="C48" s="176"/>
      <c r="D48" s="166" t="s">
        <v>485</v>
      </c>
      <c r="E48" s="176"/>
      <c r="F48" s="279">
        <v>95.841804999999994</v>
      </c>
      <c r="G48" s="176"/>
      <c r="H48" s="279">
        <v>48.860942999999999</v>
      </c>
      <c r="I48" s="276"/>
      <c r="J48" s="280">
        <v>6.88</v>
      </c>
      <c r="K48" s="285"/>
      <c r="L48" s="288">
        <f>H48/J48</f>
        <v>7.1018812499999999</v>
      </c>
      <c r="M48" s="285"/>
      <c r="N48" s="286">
        <f>L48/F48</f>
        <v>7.4100036513293971E-2</v>
      </c>
      <c r="O48" s="285"/>
      <c r="P48" s="287">
        <f>J47</f>
        <v>15.33</v>
      </c>
      <c r="Q48" s="285"/>
      <c r="R48" s="288">
        <f>H48/P48</f>
        <v>3.1872761252446185</v>
      </c>
      <c r="S48" s="285"/>
      <c r="T48" s="289">
        <f>R48/F48</f>
        <v>3.325559368633154E-2</v>
      </c>
      <c r="U48" s="285"/>
      <c r="V48" s="288">
        <f>R48-L48</f>
        <v>-3.9146051247553815</v>
      </c>
      <c r="W48" s="158"/>
      <c r="X48" s="158"/>
      <c r="Y48" s="158"/>
    </row>
    <row r="49" spans="1:25">
      <c r="A49" s="176"/>
      <c r="B49" s="166" t="s">
        <v>482</v>
      </c>
      <c r="C49" s="176"/>
      <c r="D49" s="176" t="s">
        <v>484</v>
      </c>
      <c r="E49" s="176"/>
      <c r="F49" s="276">
        <f>SUM(F47:F48)</f>
        <v>265.36086299999999</v>
      </c>
      <c r="G49" s="176"/>
      <c r="H49" s="276">
        <f>SUM(H47:H48)</f>
        <v>158.90366900000001</v>
      </c>
      <c r="I49" s="276"/>
      <c r="J49" s="275"/>
      <c r="K49" s="285"/>
      <c r="L49" s="276">
        <f>SUM(L47:L48)</f>
        <v>14.280141263046314</v>
      </c>
      <c r="M49" s="285"/>
      <c r="N49" s="276"/>
      <c r="O49" s="285"/>
      <c r="P49" s="290"/>
      <c r="Q49" s="285"/>
      <c r="R49" s="276">
        <f>SUM(R47:R48)</f>
        <v>10.365536138290933</v>
      </c>
      <c r="S49" s="285"/>
      <c r="T49" s="286">
        <f>R49/F49</f>
        <v>3.9062038090714728E-2</v>
      </c>
      <c r="U49" s="285"/>
      <c r="V49" s="276">
        <f>SUM(V47:V48)</f>
        <v>-3.9146051247553815</v>
      </c>
      <c r="W49" s="158"/>
      <c r="X49" s="158"/>
      <c r="Y49" s="158"/>
    </row>
    <row r="50" spans="1:25">
      <c r="A50" s="176"/>
      <c r="B50" s="166"/>
      <c r="C50" s="176"/>
      <c r="D50" s="176"/>
      <c r="E50" s="176"/>
      <c r="F50" s="276"/>
      <c r="G50" s="176"/>
      <c r="H50" s="276"/>
      <c r="I50" s="276"/>
      <c r="J50" s="275"/>
      <c r="K50" s="285"/>
      <c r="L50" s="291"/>
      <c r="M50" s="285"/>
      <c r="N50" s="285"/>
      <c r="O50" s="285"/>
      <c r="P50" s="285"/>
      <c r="Q50" s="285"/>
      <c r="R50" s="285"/>
      <c r="S50" s="285"/>
      <c r="T50" s="285"/>
      <c r="U50" s="285"/>
      <c r="V50" s="285"/>
      <c r="W50" s="158"/>
      <c r="X50" s="158"/>
      <c r="Y50" s="158"/>
    </row>
    <row r="51" spans="1:25">
      <c r="A51" s="176"/>
      <c r="B51" s="166" t="s">
        <v>495</v>
      </c>
      <c r="C51" s="176"/>
      <c r="D51" s="166" t="s">
        <v>476</v>
      </c>
      <c r="E51" s="176"/>
      <c r="F51" s="276">
        <v>308.99424599999998</v>
      </c>
      <c r="G51" s="176"/>
      <c r="H51" s="276">
        <v>272.27610099999998</v>
      </c>
      <c r="I51" s="276"/>
      <c r="J51" s="275">
        <v>24.36</v>
      </c>
      <c r="K51" s="285"/>
      <c r="L51" s="285">
        <f>H51/J51</f>
        <v>11.177179844006568</v>
      </c>
      <c r="M51" s="285"/>
      <c r="N51" s="286">
        <f>L51/F51</f>
        <v>3.6172776641305381E-2</v>
      </c>
      <c r="O51" s="285"/>
      <c r="P51" s="287">
        <f>J51</f>
        <v>24.36</v>
      </c>
      <c r="Q51" s="285"/>
      <c r="R51" s="285">
        <f>H51/P51</f>
        <v>11.177179844006568</v>
      </c>
      <c r="S51" s="285"/>
      <c r="T51" s="286">
        <f>R51/F51</f>
        <v>3.6172776641305381E-2</v>
      </c>
      <c r="U51" s="285"/>
      <c r="V51" s="285">
        <f>R51-L51</f>
        <v>0</v>
      </c>
      <c r="W51" s="158"/>
      <c r="X51" s="158"/>
      <c r="Y51" s="158"/>
    </row>
    <row r="52" spans="1:25">
      <c r="A52" s="176"/>
      <c r="B52" s="166" t="s">
        <v>495</v>
      </c>
      <c r="C52" s="176"/>
      <c r="D52" s="166" t="s">
        <v>485</v>
      </c>
      <c r="E52" s="176"/>
      <c r="F52" s="279">
        <v>222.61026100000001</v>
      </c>
      <c r="G52" s="176"/>
      <c r="H52" s="279">
        <v>123.113287</v>
      </c>
      <c r="I52" s="276"/>
      <c r="J52" s="280">
        <v>6.93</v>
      </c>
      <c r="K52" s="285"/>
      <c r="L52" s="288">
        <f>H52/J52</f>
        <v>17.765265079365079</v>
      </c>
      <c r="M52" s="285"/>
      <c r="N52" s="286">
        <f>L52/F52</f>
        <v>7.9804340552680444E-2</v>
      </c>
      <c r="O52" s="285"/>
      <c r="P52" s="287">
        <f>J51</f>
        <v>24.36</v>
      </c>
      <c r="Q52" s="285"/>
      <c r="R52" s="288">
        <f>H52/P52</f>
        <v>5.0539116174055829</v>
      </c>
      <c r="S52" s="285"/>
      <c r="T52" s="289">
        <f>R52/F52</f>
        <v>2.2702958950331507E-2</v>
      </c>
      <c r="U52" s="285"/>
      <c r="V52" s="288">
        <f>R52-L52</f>
        <v>-12.711353461959497</v>
      </c>
      <c r="W52" s="158"/>
      <c r="X52" s="158"/>
      <c r="Y52" s="158"/>
    </row>
    <row r="53" spans="1:25">
      <c r="A53" s="176"/>
      <c r="B53" s="166" t="s">
        <v>482</v>
      </c>
      <c r="C53" s="176"/>
      <c r="D53" s="176" t="s">
        <v>484</v>
      </c>
      <c r="E53" s="176"/>
      <c r="F53" s="276">
        <f>SUM(F51:F52)</f>
        <v>531.60450700000001</v>
      </c>
      <c r="G53" s="176"/>
      <c r="H53" s="276">
        <f>SUM(H51:H52)</f>
        <v>395.389388</v>
      </c>
      <c r="I53" s="276"/>
      <c r="J53" s="275"/>
      <c r="K53" s="285"/>
      <c r="L53" s="276">
        <f>SUM(L51:L52)</f>
        <v>28.942444923371646</v>
      </c>
      <c r="M53" s="285"/>
      <c r="N53" s="276"/>
      <c r="O53" s="285"/>
      <c r="P53" s="290"/>
      <c r="Q53" s="285"/>
      <c r="R53" s="276">
        <f>SUM(R51:R52)</f>
        <v>16.231091461412152</v>
      </c>
      <c r="S53" s="285"/>
      <c r="T53" s="286">
        <f>R53/F53</f>
        <v>3.0532268345520541E-2</v>
      </c>
      <c r="U53" s="285"/>
      <c r="V53" s="276">
        <f>SUM(V51:V52)</f>
        <v>-12.711353461959497</v>
      </c>
      <c r="W53" s="158"/>
      <c r="X53" s="158"/>
      <c r="Y53" s="158"/>
    </row>
    <row r="54" spans="1:25">
      <c r="A54" s="176"/>
      <c r="B54" s="166"/>
      <c r="C54" s="176"/>
      <c r="D54" s="176"/>
      <c r="E54" s="176"/>
      <c r="F54" s="276"/>
      <c r="G54" s="176"/>
      <c r="H54" s="276"/>
      <c r="I54" s="276"/>
      <c r="J54" s="275"/>
      <c r="K54" s="285"/>
      <c r="L54" s="291"/>
      <c r="M54" s="285"/>
      <c r="N54" s="285"/>
      <c r="O54" s="285"/>
      <c r="P54" s="285"/>
      <c r="Q54" s="285"/>
      <c r="R54" s="285"/>
      <c r="S54" s="285"/>
      <c r="T54" s="285"/>
      <c r="U54" s="285"/>
      <c r="V54" s="285"/>
      <c r="W54" s="158"/>
      <c r="X54" s="158"/>
      <c r="Y54" s="158"/>
    </row>
    <row r="55" spans="1:25">
      <c r="A55" s="176"/>
      <c r="B55" s="166" t="s">
        <v>496</v>
      </c>
      <c r="C55" s="176"/>
      <c r="D55" s="166" t="s">
        <v>476</v>
      </c>
      <c r="E55" s="176"/>
      <c r="F55" s="276">
        <v>215.83548999999999</v>
      </c>
      <c r="G55" s="176"/>
      <c r="H55" s="276">
        <v>189.89054899999999</v>
      </c>
      <c r="I55" s="276"/>
      <c r="J55" s="275">
        <v>22.65</v>
      </c>
      <c r="K55" s="285"/>
      <c r="L55" s="285">
        <f>H55/J55</f>
        <v>8.3836886975717437</v>
      </c>
      <c r="M55" s="285"/>
      <c r="N55" s="286">
        <f>L55/F55</f>
        <v>3.8842957187308465E-2</v>
      </c>
      <c r="O55" s="285"/>
      <c r="P55" s="287">
        <f>J55</f>
        <v>22.65</v>
      </c>
      <c r="Q55" s="285"/>
      <c r="R55" s="285">
        <f>H55/P55</f>
        <v>8.3836886975717437</v>
      </c>
      <c r="S55" s="285"/>
      <c r="T55" s="286">
        <f>R55/F55</f>
        <v>3.8842957187308465E-2</v>
      </c>
      <c r="U55" s="285"/>
      <c r="V55" s="285">
        <f>R55-L55</f>
        <v>0</v>
      </c>
      <c r="W55" s="158"/>
      <c r="X55" s="158"/>
      <c r="Y55" s="158"/>
    </row>
    <row r="56" spans="1:25">
      <c r="A56" s="176"/>
      <c r="B56" s="166" t="s">
        <v>496</v>
      </c>
      <c r="C56" s="176"/>
      <c r="D56" s="166" t="s">
        <v>485</v>
      </c>
      <c r="E56" s="176"/>
      <c r="F56" s="279">
        <v>183.294116</v>
      </c>
      <c r="G56" s="176"/>
      <c r="H56" s="279">
        <v>105.401487</v>
      </c>
      <c r="I56" s="276"/>
      <c r="J56" s="280">
        <v>7.08</v>
      </c>
      <c r="K56" s="285"/>
      <c r="L56" s="288">
        <f>H56/J56</f>
        <v>14.887215677966102</v>
      </c>
      <c r="M56" s="285"/>
      <c r="N56" s="286">
        <f>L56/F56</f>
        <v>8.1220368677661761E-2</v>
      </c>
      <c r="O56" s="285"/>
      <c r="P56" s="287">
        <f>J55</f>
        <v>22.65</v>
      </c>
      <c r="Q56" s="285"/>
      <c r="R56" s="288">
        <f>H56/P56</f>
        <v>4.6534872847682127</v>
      </c>
      <c r="S56" s="285"/>
      <c r="T56" s="289">
        <f>R56/F56</f>
        <v>2.5388088752222752E-2</v>
      </c>
      <c r="U56" s="285"/>
      <c r="V56" s="288">
        <f>R56-L56</f>
        <v>-10.23372839319789</v>
      </c>
      <c r="W56" s="158"/>
      <c r="X56" s="158"/>
      <c r="Y56" s="158"/>
    </row>
    <row r="57" spans="1:25">
      <c r="A57" s="176"/>
      <c r="B57" s="166" t="s">
        <v>482</v>
      </c>
      <c r="C57" s="176"/>
      <c r="D57" s="176" t="s">
        <v>484</v>
      </c>
      <c r="E57" s="176"/>
      <c r="F57" s="276">
        <f>SUM(F55:F56)</f>
        <v>399.12960599999997</v>
      </c>
      <c r="G57" s="176"/>
      <c r="H57" s="276">
        <f>SUM(H55:H56)</f>
        <v>295.292036</v>
      </c>
      <c r="I57" s="276"/>
      <c r="J57" s="275"/>
      <c r="K57" s="285"/>
      <c r="L57" s="276">
        <f>SUM(L55:L56)</f>
        <v>23.270904375537846</v>
      </c>
      <c r="M57" s="285"/>
      <c r="N57" s="276"/>
      <c r="O57" s="285"/>
      <c r="P57" s="290"/>
      <c r="Q57" s="285"/>
      <c r="R57" s="276">
        <f>SUM(R55:R56)</f>
        <v>13.037175982339956</v>
      </c>
      <c r="S57" s="285"/>
      <c r="T57" s="286">
        <f>R57/F57</f>
        <v>3.2664016365500981E-2</v>
      </c>
      <c r="U57" s="285"/>
      <c r="V57" s="276">
        <f>SUM(V55:V56)</f>
        <v>-10.23372839319789</v>
      </c>
      <c r="W57" s="158"/>
      <c r="X57" s="158"/>
      <c r="Y57" s="158"/>
    </row>
    <row r="58" spans="1:25">
      <c r="A58" s="176"/>
      <c r="B58" s="166"/>
      <c r="C58" s="176"/>
      <c r="D58" s="176"/>
      <c r="E58" s="176"/>
      <c r="F58" s="176"/>
      <c r="G58" s="176"/>
      <c r="H58" s="276"/>
      <c r="I58" s="276"/>
      <c r="J58" s="276"/>
      <c r="K58" s="285"/>
      <c r="L58" s="285"/>
      <c r="M58" s="285"/>
      <c r="N58" s="285"/>
      <c r="O58" s="285"/>
      <c r="P58" s="285"/>
      <c r="Q58" s="285"/>
      <c r="R58" s="285"/>
      <c r="S58" s="285"/>
      <c r="T58" s="285"/>
      <c r="U58" s="285"/>
      <c r="V58" s="285"/>
      <c r="W58" s="158"/>
      <c r="X58" s="158"/>
      <c r="Y58" s="158"/>
    </row>
    <row r="59" spans="1:25">
      <c r="A59" s="176"/>
      <c r="B59" s="166" t="s">
        <v>497</v>
      </c>
      <c r="C59" s="176"/>
      <c r="D59" s="166" t="s">
        <v>476</v>
      </c>
      <c r="E59" s="176"/>
      <c r="F59" s="276">
        <v>233.978163</v>
      </c>
      <c r="G59" s="176"/>
      <c r="H59" s="276">
        <v>215.56967800000001</v>
      </c>
      <c r="I59" s="276"/>
      <c r="J59" s="275">
        <v>21.87</v>
      </c>
      <c r="K59" s="285"/>
      <c r="L59" s="285">
        <f>H59/J59</f>
        <v>9.8568668495656144</v>
      </c>
      <c r="M59" s="285"/>
      <c r="N59" s="286">
        <f>L59/F59</f>
        <v>4.2127293945656008E-2</v>
      </c>
      <c r="O59" s="285"/>
      <c r="P59" s="287">
        <f>J59</f>
        <v>21.87</v>
      </c>
      <c r="Q59" s="285"/>
      <c r="R59" s="285">
        <f>H59/P59</f>
        <v>9.8568668495656144</v>
      </c>
      <c r="S59" s="285"/>
      <c r="T59" s="286">
        <f>R59/F59</f>
        <v>4.2127293945656008E-2</v>
      </c>
      <c r="U59" s="285"/>
      <c r="V59" s="285">
        <f>R59-L59</f>
        <v>0</v>
      </c>
      <c r="W59" s="158"/>
      <c r="X59" s="158"/>
      <c r="Y59" s="158"/>
    </row>
    <row r="60" spans="1:25">
      <c r="A60" s="176"/>
      <c r="B60" s="166" t="s">
        <v>497</v>
      </c>
      <c r="C60" s="176"/>
      <c r="D60" s="166" t="s">
        <v>485</v>
      </c>
      <c r="E60" s="176"/>
      <c r="F60" s="279">
        <v>169.58434600000001</v>
      </c>
      <c r="G60" s="176"/>
      <c r="H60" s="279">
        <v>101.66595</v>
      </c>
      <c r="I60" s="276"/>
      <c r="J60" s="280">
        <v>7.16</v>
      </c>
      <c r="K60" s="285"/>
      <c r="L60" s="288">
        <f>H60/J60</f>
        <v>14.19915502793296</v>
      </c>
      <c r="M60" s="285"/>
      <c r="N60" s="286">
        <f>L60/F60</f>
        <v>8.3729161109793462E-2</v>
      </c>
      <c r="O60" s="285"/>
      <c r="P60" s="287">
        <f>J59</f>
        <v>21.87</v>
      </c>
      <c r="Q60" s="285"/>
      <c r="R60" s="288">
        <f>H60/P60</f>
        <v>4.6486488340192036</v>
      </c>
      <c r="S60" s="285"/>
      <c r="T60" s="289">
        <f>R60/F60</f>
        <v>2.7412016165803438E-2</v>
      </c>
      <c r="U60" s="285"/>
      <c r="V60" s="288">
        <f>R60-L60</f>
        <v>-9.5505061939137565</v>
      </c>
      <c r="W60" s="158"/>
      <c r="X60" s="158"/>
      <c r="Y60" s="158"/>
    </row>
    <row r="61" spans="1:25">
      <c r="A61" s="176"/>
      <c r="B61" s="166" t="s">
        <v>482</v>
      </c>
      <c r="C61" s="176"/>
      <c r="D61" s="176" t="s">
        <v>484</v>
      </c>
      <c r="E61" s="176"/>
      <c r="F61" s="276">
        <f>SUM(F59:F60)</f>
        <v>403.56250899999998</v>
      </c>
      <c r="G61" s="176"/>
      <c r="H61" s="276">
        <f>SUM(H59:H60)</f>
        <v>317.23562800000002</v>
      </c>
      <c r="I61" s="276"/>
      <c r="J61" s="275"/>
      <c r="K61" s="285"/>
      <c r="L61" s="276">
        <f>SUM(L59:L60)</f>
        <v>24.056021877498573</v>
      </c>
      <c r="M61" s="285"/>
      <c r="N61" s="276"/>
      <c r="O61" s="285"/>
      <c r="P61" s="290"/>
      <c r="Q61" s="285"/>
      <c r="R61" s="276">
        <f>SUM(R59:R60)</f>
        <v>14.505515683584818</v>
      </c>
      <c r="S61" s="285"/>
      <c r="T61" s="286">
        <f>R61/F61</f>
        <v>3.5943665132641987E-2</v>
      </c>
      <c r="U61" s="285"/>
      <c r="V61" s="276">
        <f>SUM(V59:V60)</f>
        <v>-9.5505061939137565</v>
      </c>
      <c r="W61" s="158"/>
      <c r="X61" s="158"/>
      <c r="Y61" s="158"/>
    </row>
    <row r="62" spans="1:25">
      <c r="A62" s="176"/>
      <c r="B62" s="176"/>
      <c r="C62" s="176"/>
      <c r="D62" s="176"/>
      <c r="E62" s="176"/>
      <c r="F62" s="176"/>
      <c r="G62" s="176"/>
      <c r="H62" s="276"/>
      <c r="I62" s="276"/>
      <c r="J62" s="276"/>
      <c r="K62" s="285"/>
      <c r="L62" s="285"/>
      <c r="M62" s="285"/>
      <c r="N62" s="285"/>
      <c r="O62" s="285"/>
      <c r="P62" s="285"/>
      <c r="Q62" s="285"/>
      <c r="R62" s="285"/>
      <c r="S62" s="285"/>
      <c r="T62" s="285"/>
      <c r="U62" s="285"/>
      <c r="V62" s="285"/>
      <c r="W62" s="158"/>
      <c r="X62" s="158"/>
      <c r="Y62" s="158"/>
    </row>
    <row r="63" spans="1:25">
      <c r="A63" s="176"/>
      <c r="B63" s="166" t="s">
        <v>498</v>
      </c>
      <c r="C63" s="176"/>
      <c r="D63" s="166" t="s">
        <v>476</v>
      </c>
      <c r="E63" s="176"/>
      <c r="F63" s="276">
        <v>278.605458</v>
      </c>
      <c r="G63" s="176"/>
      <c r="H63" s="276">
        <v>241.488089</v>
      </c>
      <c r="I63" s="276"/>
      <c r="J63" s="275">
        <v>25.84</v>
      </c>
      <c r="K63" s="285"/>
      <c r="L63" s="285">
        <f>H63/J63</f>
        <v>9.3455142801857587</v>
      </c>
      <c r="M63" s="285"/>
      <c r="N63" s="286">
        <f>L63/F63</f>
        <v>3.3543902360253681E-2</v>
      </c>
      <c r="O63" s="285"/>
      <c r="P63" s="287">
        <f>J63</f>
        <v>25.84</v>
      </c>
      <c r="Q63" s="285"/>
      <c r="R63" s="285">
        <f>H63/P63</f>
        <v>9.3455142801857587</v>
      </c>
      <c r="S63" s="285"/>
      <c r="T63" s="286">
        <f>R63/F63</f>
        <v>3.3543902360253681E-2</v>
      </c>
      <c r="U63" s="285"/>
      <c r="V63" s="285">
        <f>R63-L63</f>
        <v>0</v>
      </c>
      <c r="W63" s="158"/>
      <c r="X63" s="158"/>
      <c r="Y63" s="158"/>
    </row>
    <row r="64" spans="1:25">
      <c r="A64" s="176"/>
      <c r="B64" s="166" t="s">
        <v>498</v>
      </c>
      <c r="C64" s="176"/>
      <c r="D64" s="166" t="s">
        <v>485</v>
      </c>
      <c r="E64" s="176"/>
      <c r="F64" s="279">
        <v>187.98995500000001</v>
      </c>
      <c r="G64" s="176"/>
      <c r="H64" s="279">
        <v>106.00721299999999</v>
      </c>
      <c r="I64" s="276"/>
      <c r="J64" s="280">
        <v>7.4</v>
      </c>
      <c r="K64" s="285"/>
      <c r="L64" s="288">
        <f>H64/J64</f>
        <v>14.325299054054053</v>
      </c>
      <c r="M64" s="285"/>
      <c r="N64" s="286">
        <f>L64/F64</f>
        <v>7.6202470786559062E-2</v>
      </c>
      <c r="O64" s="285"/>
      <c r="P64" s="287">
        <f>J63</f>
        <v>25.84</v>
      </c>
      <c r="Q64" s="285"/>
      <c r="R64" s="288">
        <f>H64/P64</f>
        <v>4.1024463235294117</v>
      </c>
      <c r="S64" s="285"/>
      <c r="T64" s="289">
        <f>R64/F64</f>
        <v>2.1822689002342768E-2</v>
      </c>
      <c r="U64" s="285"/>
      <c r="V64" s="288">
        <f>R64-L64</f>
        <v>-10.222852730524641</v>
      </c>
      <c r="W64" s="158"/>
      <c r="X64" s="158"/>
      <c r="Y64" s="158"/>
    </row>
    <row r="65" spans="1:25">
      <c r="A65" s="176"/>
      <c r="B65" s="166" t="s">
        <v>482</v>
      </c>
      <c r="C65" s="176"/>
      <c r="D65" s="176" t="s">
        <v>484</v>
      </c>
      <c r="E65" s="176"/>
      <c r="F65" s="276">
        <f>SUM(F63:F64)</f>
        <v>466.59541300000001</v>
      </c>
      <c r="G65" s="176"/>
      <c r="H65" s="276">
        <f>SUM(H63:H64)</f>
        <v>347.49530199999998</v>
      </c>
      <c r="I65" s="276"/>
      <c r="J65" s="275"/>
      <c r="K65" s="285"/>
      <c r="L65" s="276">
        <f>SUM(L63:L64)</f>
        <v>23.67081333423981</v>
      </c>
      <c r="M65" s="285"/>
      <c r="N65" s="276"/>
      <c r="O65" s="285"/>
      <c r="P65" s="290"/>
      <c r="Q65" s="285"/>
      <c r="R65" s="276">
        <f>SUM(R63:R64)</f>
        <v>13.44796060371517</v>
      </c>
      <c r="S65" s="285"/>
      <c r="T65" s="286">
        <f>R65/F65</f>
        <v>2.8821459082185984E-2</v>
      </c>
      <c r="U65" s="285"/>
      <c r="V65" s="276">
        <f>SUM(V63:V64)</f>
        <v>-10.222852730524641</v>
      </c>
      <c r="W65" s="158"/>
      <c r="X65" s="158"/>
      <c r="Y65" s="158"/>
    </row>
    <row r="66" spans="1:25">
      <c r="A66" s="176"/>
      <c r="B66" s="166"/>
      <c r="C66" s="176"/>
      <c r="D66" s="176"/>
      <c r="E66" s="176"/>
      <c r="F66" s="276"/>
      <c r="G66" s="176"/>
      <c r="H66" s="276"/>
      <c r="I66" s="276"/>
      <c r="J66" s="275"/>
      <c r="K66" s="285"/>
      <c r="L66" s="291"/>
      <c r="M66" s="285"/>
      <c r="N66" s="285"/>
      <c r="O66" s="285"/>
      <c r="P66" s="285"/>
      <c r="Q66" s="285"/>
      <c r="R66" s="285"/>
      <c r="S66" s="285"/>
      <c r="T66" s="285"/>
      <c r="U66" s="285"/>
      <c r="V66" s="285"/>
      <c r="W66" s="158"/>
      <c r="X66" s="158"/>
      <c r="Y66" s="158"/>
    </row>
    <row r="67" spans="1:25">
      <c r="A67" s="176"/>
      <c r="B67" s="166" t="s">
        <v>499</v>
      </c>
      <c r="C67" s="176"/>
      <c r="D67" s="166" t="s">
        <v>476</v>
      </c>
      <c r="E67" s="176"/>
      <c r="F67" s="276">
        <v>31.305861</v>
      </c>
      <c r="G67" s="176"/>
      <c r="H67" s="276">
        <v>30.093921999999999</v>
      </c>
      <c r="I67" s="276"/>
      <c r="J67" s="275">
        <v>29.39</v>
      </c>
      <c r="K67" s="285"/>
      <c r="L67" s="285">
        <f>H67/J67</f>
        <v>1.0239510717931268</v>
      </c>
      <c r="M67" s="285"/>
      <c r="N67" s="286">
        <f>L67/F67</f>
        <v>3.270796710536493E-2</v>
      </c>
      <c r="O67" s="285"/>
      <c r="P67" s="287">
        <f>J67</f>
        <v>29.39</v>
      </c>
      <c r="Q67" s="285"/>
      <c r="R67" s="285">
        <f>H67/P67</f>
        <v>1.0239510717931268</v>
      </c>
      <c r="S67" s="285"/>
      <c r="T67" s="286">
        <f>R67/F67</f>
        <v>3.270796710536493E-2</v>
      </c>
      <c r="U67" s="285"/>
      <c r="V67" s="285">
        <f>R67-L67</f>
        <v>0</v>
      </c>
      <c r="W67" s="158"/>
      <c r="X67" s="158"/>
      <c r="Y67" s="158"/>
    </row>
    <row r="68" spans="1:25">
      <c r="A68" s="176"/>
      <c r="B68" s="166" t="s">
        <v>499</v>
      </c>
      <c r="C68" s="176"/>
      <c r="D68" s="166" t="s">
        <v>485</v>
      </c>
      <c r="E68" s="176"/>
      <c r="F68" s="279">
        <v>126.77198199999999</v>
      </c>
      <c r="G68" s="176"/>
      <c r="H68" s="279">
        <v>65.736424999999997</v>
      </c>
      <c r="I68" s="276"/>
      <c r="J68" s="280">
        <v>6.89</v>
      </c>
      <c r="K68" s="285"/>
      <c r="L68" s="288">
        <f>H68/J68</f>
        <v>9.5408454281567483</v>
      </c>
      <c r="M68" s="285"/>
      <c r="N68" s="286">
        <f>L68/F68</f>
        <v>7.5259890061170995E-2</v>
      </c>
      <c r="O68" s="285"/>
      <c r="P68" s="287">
        <f>J67</f>
        <v>29.39</v>
      </c>
      <c r="Q68" s="285"/>
      <c r="R68" s="288">
        <f>H68/P68</f>
        <v>2.2366936032664171</v>
      </c>
      <c r="S68" s="285"/>
      <c r="T68" s="289">
        <f>R68/F68</f>
        <v>1.76434379898424E-2</v>
      </c>
      <c r="U68" s="285"/>
      <c r="V68" s="288">
        <f>R68-L68</f>
        <v>-7.3041518248903312</v>
      </c>
      <c r="W68" s="158"/>
      <c r="X68" s="158"/>
      <c r="Y68" s="158"/>
    </row>
    <row r="69" spans="1:25">
      <c r="A69" s="176"/>
      <c r="B69" s="166" t="s">
        <v>482</v>
      </c>
      <c r="C69" s="176"/>
      <c r="D69" s="176" t="s">
        <v>484</v>
      </c>
      <c r="E69" s="176"/>
      <c r="F69" s="276">
        <f>SUM(F67:F68)</f>
        <v>158.077843</v>
      </c>
      <c r="G69" s="176"/>
      <c r="H69" s="276">
        <f>SUM(H67:H68)</f>
        <v>95.830346999999989</v>
      </c>
      <c r="I69" s="276"/>
      <c r="J69" s="275"/>
      <c r="K69" s="285"/>
      <c r="L69" s="276">
        <f>SUM(L67:L68)</f>
        <v>10.564796499949875</v>
      </c>
      <c r="M69" s="285"/>
      <c r="N69" s="276"/>
      <c r="O69" s="285"/>
      <c r="P69" s="290"/>
      <c r="Q69" s="285"/>
      <c r="R69" s="276">
        <f>SUM(R67:R68)</f>
        <v>3.2606446750595439</v>
      </c>
      <c r="S69" s="285"/>
      <c r="T69" s="286">
        <f>R69/F69</f>
        <v>2.0626829245510035E-2</v>
      </c>
      <c r="U69" s="285"/>
      <c r="V69" s="276">
        <f>SUM(V67:V68)</f>
        <v>-7.3041518248903312</v>
      </c>
      <c r="W69" s="158"/>
      <c r="X69" s="158"/>
      <c r="Y69" s="158"/>
    </row>
    <row r="70" spans="1:25">
      <c r="A70" s="176"/>
      <c r="B70" s="166"/>
      <c r="C70" s="176"/>
      <c r="D70" s="176"/>
      <c r="E70" s="176"/>
      <c r="F70" s="276"/>
      <c r="G70" s="176"/>
      <c r="H70" s="276"/>
      <c r="I70" s="276"/>
      <c r="J70" s="275"/>
      <c r="K70" s="285"/>
      <c r="L70" s="291"/>
      <c r="M70" s="285"/>
      <c r="N70" s="285"/>
      <c r="O70" s="285"/>
      <c r="P70" s="285"/>
      <c r="Q70" s="285"/>
      <c r="R70" s="285"/>
      <c r="S70" s="285"/>
      <c r="T70" s="285"/>
      <c r="U70" s="285"/>
      <c r="V70" s="285"/>
      <c r="W70" s="158"/>
      <c r="X70" s="158"/>
      <c r="Y70" s="158"/>
    </row>
    <row r="71" spans="1:25">
      <c r="A71" s="176"/>
      <c r="B71" s="166" t="s">
        <v>500</v>
      </c>
      <c r="C71" s="176"/>
      <c r="D71" s="166" t="s">
        <v>476</v>
      </c>
      <c r="E71" s="176"/>
      <c r="F71" s="276">
        <v>302.83179899999999</v>
      </c>
      <c r="G71" s="176"/>
      <c r="H71" s="276">
        <v>324.236895</v>
      </c>
      <c r="I71" s="276"/>
      <c r="J71" s="275">
        <v>27.4</v>
      </c>
      <c r="K71" s="285"/>
      <c r="L71" s="285">
        <f>H71/J71</f>
        <v>11.833463321167883</v>
      </c>
      <c r="M71" s="285"/>
      <c r="N71" s="286">
        <f>L71/F71</f>
        <v>3.9076026230547484E-2</v>
      </c>
      <c r="O71" s="285"/>
      <c r="P71" s="287">
        <f>J71</f>
        <v>27.4</v>
      </c>
      <c r="Q71" s="285"/>
      <c r="R71" s="285">
        <f>H71/P71</f>
        <v>11.833463321167883</v>
      </c>
      <c r="S71" s="285"/>
      <c r="T71" s="286">
        <f>R71/F71</f>
        <v>3.9076026230547484E-2</v>
      </c>
      <c r="U71" s="285"/>
      <c r="V71" s="285">
        <f>R71-L71</f>
        <v>0</v>
      </c>
      <c r="W71" s="158"/>
      <c r="X71" s="158"/>
      <c r="Y71" s="158"/>
    </row>
    <row r="72" spans="1:25">
      <c r="A72" s="176"/>
      <c r="B72" s="166" t="s">
        <v>500</v>
      </c>
      <c r="C72" s="176"/>
      <c r="D72" s="166" t="s">
        <v>485</v>
      </c>
      <c r="E72" s="176"/>
      <c r="F72" s="279">
        <v>81.978671000000006</v>
      </c>
      <c r="G72" s="176"/>
      <c r="H72" s="279">
        <v>57.218387999999997</v>
      </c>
      <c r="I72" s="276"/>
      <c r="J72" s="280">
        <v>5.91</v>
      </c>
      <c r="K72" s="285"/>
      <c r="L72" s="288">
        <f>H72/J72</f>
        <v>9.6816223350253807</v>
      </c>
      <c r="M72" s="285"/>
      <c r="N72" s="286">
        <f>L72/F72</f>
        <v>0.11809928383719931</v>
      </c>
      <c r="O72" s="285"/>
      <c r="P72" s="287">
        <f>J71</f>
        <v>27.4</v>
      </c>
      <c r="Q72" s="285"/>
      <c r="R72" s="288">
        <f>H72/P72</f>
        <v>2.0882623357664234</v>
      </c>
      <c r="S72" s="285"/>
      <c r="T72" s="289">
        <f>R72/F72</f>
        <v>2.5473239688972554E-2</v>
      </c>
      <c r="U72" s="285"/>
      <c r="V72" s="288">
        <f>R72-L72</f>
        <v>-7.5933599992589578</v>
      </c>
      <c r="W72" s="158"/>
      <c r="X72" s="158"/>
      <c r="Y72" s="158"/>
    </row>
    <row r="73" spans="1:25">
      <c r="A73" s="176"/>
      <c r="B73" s="166" t="s">
        <v>482</v>
      </c>
      <c r="C73" s="176"/>
      <c r="D73" s="176" t="s">
        <v>484</v>
      </c>
      <c r="E73" s="176"/>
      <c r="F73" s="276">
        <f>SUM(F71:F72)</f>
        <v>384.81047000000001</v>
      </c>
      <c r="G73" s="176"/>
      <c r="H73" s="276">
        <f>SUM(H71:H72)</f>
        <v>381.45528300000001</v>
      </c>
      <c r="I73" s="276"/>
      <c r="J73" s="275"/>
      <c r="K73" s="285"/>
      <c r="L73" s="276">
        <f>SUM(L71:L72)</f>
        <v>21.515085656193264</v>
      </c>
      <c r="M73" s="285"/>
      <c r="N73" s="276"/>
      <c r="O73" s="285"/>
      <c r="P73" s="290"/>
      <c r="Q73" s="285"/>
      <c r="R73" s="276">
        <f>SUM(R71:R72)</f>
        <v>13.921725656934306</v>
      </c>
      <c r="S73" s="285"/>
      <c r="T73" s="286">
        <f>R73/F73</f>
        <v>3.6178136361347722E-2</v>
      </c>
      <c r="U73" s="285"/>
      <c r="V73" s="276">
        <f>SUM(V71:V72)</f>
        <v>-7.5933599992589578</v>
      </c>
      <c r="W73" s="158"/>
      <c r="X73" s="158"/>
      <c r="Y73" s="158"/>
    </row>
    <row r="74" spans="1:25">
      <c r="A74" s="176"/>
      <c r="B74" s="166"/>
      <c r="C74" s="176"/>
      <c r="D74" s="176"/>
      <c r="E74" s="176"/>
      <c r="F74" s="176"/>
      <c r="G74" s="176"/>
      <c r="H74" s="276"/>
      <c r="I74" s="276"/>
      <c r="J74" s="276"/>
      <c r="K74" s="285"/>
      <c r="L74" s="285"/>
      <c r="M74" s="285"/>
      <c r="N74" s="285"/>
      <c r="O74" s="285"/>
      <c r="P74" s="285"/>
      <c r="Q74" s="285"/>
      <c r="R74" s="285"/>
      <c r="S74" s="285"/>
      <c r="T74" s="285"/>
      <c r="U74" s="285"/>
      <c r="V74" s="285"/>
      <c r="W74" s="158"/>
      <c r="X74" s="158"/>
      <c r="Y74" s="158"/>
    </row>
    <row r="75" spans="1:25">
      <c r="A75" s="176"/>
      <c r="B75" s="166" t="s">
        <v>501</v>
      </c>
      <c r="C75" s="176"/>
      <c r="D75" s="166" t="s">
        <v>476</v>
      </c>
      <c r="E75" s="176"/>
      <c r="F75" s="276">
        <v>257.77257600000002</v>
      </c>
      <c r="G75" s="176"/>
      <c r="H75" s="276">
        <v>239.80755400000001</v>
      </c>
      <c r="I75" s="276"/>
      <c r="J75" s="275">
        <v>27.39</v>
      </c>
      <c r="K75" s="285"/>
      <c r="L75" s="285">
        <f>H75/J75</f>
        <v>8.755295874406718</v>
      </c>
      <c r="M75" s="285"/>
      <c r="N75" s="286">
        <f>L75/F75</f>
        <v>3.3965195251828173E-2</v>
      </c>
      <c r="O75" s="285"/>
      <c r="P75" s="287">
        <f>J75</f>
        <v>27.39</v>
      </c>
      <c r="Q75" s="285"/>
      <c r="R75" s="285">
        <f>H75/P75</f>
        <v>8.755295874406718</v>
      </c>
      <c r="S75" s="285"/>
      <c r="T75" s="286">
        <f>R75/F75</f>
        <v>3.3965195251828173E-2</v>
      </c>
      <c r="U75" s="285"/>
      <c r="V75" s="285">
        <f>R75-L75</f>
        <v>0</v>
      </c>
      <c r="W75" s="158"/>
      <c r="X75" s="158"/>
      <c r="Y75" s="158"/>
    </row>
    <row r="76" spans="1:25">
      <c r="A76" s="176"/>
      <c r="B76" s="166" t="s">
        <v>501</v>
      </c>
      <c r="C76" s="176"/>
      <c r="D76" s="166" t="s">
        <v>485</v>
      </c>
      <c r="E76" s="176"/>
      <c r="F76" s="279">
        <v>149.902839</v>
      </c>
      <c r="G76" s="176"/>
      <c r="H76" s="279">
        <v>79.629394000000005</v>
      </c>
      <c r="I76" s="276"/>
      <c r="J76" s="280">
        <v>5.84</v>
      </c>
      <c r="K76" s="285"/>
      <c r="L76" s="288">
        <f>H76/J76</f>
        <v>13.635170205479453</v>
      </c>
      <c r="M76" s="285"/>
      <c r="N76" s="286">
        <f>L76/F76</f>
        <v>9.0960053168035418E-2</v>
      </c>
      <c r="O76" s="285"/>
      <c r="P76" s="287">
        <f>J75</f>
        <v>27.39</v>
      </c>
      <c r="Q76" s="285"/>
      <c r="R76" s="288">
        <f>H76/P76</f>
        <v>2.9072433004746259</v>
      </c>
      <c r="S76" s="285"/>
      <c r="T76" s="289">
        <f>R76/F76</f>
        <v>1.9394184392162353E-2</v>
      </c>
      <c r="U76" s="285"/>
      <c r="V76" s="288">
        <f>R76-L76</f>
        <v>-10.727926905004827</v>
      </c>
      <c r="W76" s="158"/>
      <c r="X76" s="158"/>
      <c r="Y76" s="158"/>
    </row>
    <row r="77" spans="1:25">
      <c r="A77" s="176"/>
      <c r="B77" s="166" t="s">
        <v>482</v>
      </c>
      <c r="C77" s="176"/>
      <c r="D77" s="176" t="s">
        <v>484</v>
      </c>
      <c r="E77" s="176"/>
      <c r="F77" s="276">
        <f>SUM(F75:F76)</f>
        <v>407.67541500000004</v>
      </c>
      <c r="G77" s="176"/>
      <c r="H77" s="276">
        <f>SUM(H75:H76)</f>
        <v>319.43694800000003</v>
      </c>
      <c r="I77" s="276"/>
      <c r="J77" s="275"/>
      <c r="K77" s="285"/>
      <c r="L77" s="276">
        <f>SUM(L75:L76)</f>
        <v>22.390466079886171</v>
      </c>
      <c r="M77" s="285"/>
      <c r="N77" s="276"/>
      <c r="O77" s="285"/>
      <c r="P77" s="290"/>
      <c r="Q77" s="285"/>
      <c r="R77" s="276">
        <f>SUM(R75:R76)</f>
        <v>11.662539174881344</v>
      </c>
      <c r="S77" s="285"/>
      <c r="T77" s="286">
        <f>R77/F77</f>
        <v>2.8607413510283279E-2</v>
      </c>
      <c r="U77" s="285"/>
      <c r="V77" s="276">
        <f>SUM(V75:V76)</f>
        <v>-10.727926905004827</v>
      </c>
      <c r="W77" s="158"/>
      <c r="X77" s="158"/>
      <c r="Y77" s="158"/>
    </row>
    <row r="78" spans="1:25">
      <c r="A78" s="176"/>
      <c r="B78" s="176"/>
      <c r="C78" s="176"/>
      <c r="D78" s="176"/>
      <c r="E78" s="176"/>
      <c r="F78" s="176"/>
      <c r="G78" s="176"/>
      <c r="H78" s="276"/>
      <c r="I78" s="276"/>
      <c r="J78" s="276"/>
      <c r="K78" s="285"/>
      <c r="L78" s="285"/>
      <c r="M78" s="285"/>
      <c r="N78" s="285"/>
      <c r="O78" s="285"/>
      <c r="P78" s="285"/>
      <c r="Q78" s="285"/>
      <c r="R78" s="285"/>
      <c r="S78" s="285"/>
      <c r="T78" s="285"/>
      <c r="U78" s="285"/>
      <c r="V78" s="285"/>
      <c r="W78" s="158"/>
      <c r="X78" s="158"/>
      <c r="Y78" s="158"/>
    </row>
    <row r="79" spans="1:25">
      <c r="A79" s="176"/>
      <c r="B79" s="166" t="s">
        <v>502</v>
      </c>
      <c r="C79" s="176"/>
      <c r="D79" s="166" t="s">
        <v>476</v>
      </c>
      <c r="E79" s="176"/>
      <c r="F79" s="276">
        <v>506.388398</v>
      </c>
      <c r="G79" s="176"/>
      <c r="H79" s="276">
        <v>492.36787700000002</v>
      </c>
      <c r="I79" s="276"/>
      <c r="J79" s="275">
        <v>28.99</v>
      </c>
      <c r="K79" s="285"/>
      <c r="L79" s="285">
        <f>H79/J79</f>
        <v>16.984059227319769</v>
      </c>
      <c r="M79" s="285"/>
      <c r="N79" s="286">
        <f>L79/F79</f>
        <v>3.3539589955849991E-2</v>
      </c>
      <c r="O79" s="285"/>
      <c r="P79" s="287">
        <f>J79</f>
        <v>28.99</v>
      </c>
      <c r="Q79" s="285"/>
      <c r="R79" s="285">
        <f>H79/P79</f>
        <v>16.984059227319769</v>
      </c>
      <c r="S79" s="285"/>
      <c r="T79" s="286">
        <f>R79/F79</f>
        <v>3.3539589955849991E-2</v>
      </c>
      <c r="U79" s="285"/>
      <c r="V79" s="285">
        <f>R79-L79</f>
        <v>0</v>
      </c>
      <c r="W79" s="158"/>
      <c r="X79" s="158"/>
      <c r="Y79" s="158"/>
    </row>
    <row r="80" spans="1:25">
      <c r="A80" s="176"/>
      <c r="B80" s="166" t="s">
        <v>502</v>
      </c>
      <c r="C80" s="176"/>
      <c r="D80" s="166" t="s">
        <v>485</v>
      </c>
      <c r="E80" s="176"/>
      <c r="F80" s="279">
        <v>84.037288000000004</v>
      </c>
      <c r="G80" s="176"/>
      <c r="H80" s="279">
        <v>49.657460999999998</v>
      </c>
      <c r="I80" s="276"/>
      <c r="J80" s="280">
        <v>6.9</v>
      </c>
      <c r="K80" s="285"/>
      <c r="L80" s="288">
        <f>H80/J80</f>
        <v>7.1967334782608692</v>
      </c>
      <c r="M80" s="285"/>
      <c r="N80" s="286">
        <f>L80/F80</f>
        <v>8.5637383708299444E-2</v>
      </c>
      <c r="O80" s="285"/>
      <c r="P80" s="287">
        <f>J79</f>
        <v>28.99</v>
      </c>
      <c r="Q80" s="285"/>
      <c r="R80" s="288">
        <f>H80/P80</f>
        <v>1.7129169023801312</v>
      </c>
      <c r="S80" s="285"/>
      <c r="T80" s="289">
        <f>R80/F80</f>
        <v>2.038281985468321E-2</v>
      </c>
      <c r="U80" s="285"/>
      <c r="V80" s="288">
        <f>R80-L80</f>
        <v>-5.4838165758807378</v>
      </c>
      <c r="W80" s="158"/>
      <c r="X80" s="158"/>
      <c r="Y80" s="158"/>
    </row>
    <row r="81" spans="1:25">
      <c r="A81" s="176"/>
      <c r="B81" s="166" t="s">
        <v>482</v>
      </c>
      <c r="C81" s="176"/>
      <c r="D81" s="176" t="s">
        <v>484</v>
      </c>
      <c r="E81" s="176"/>
      <c r="F81" s="276">
        <f>SUM(F79:F80)</f>
        <v>590.42568600000004</v>
      </c>
      <c r="G81" s="176"/>
      <c r="H81" s="276">
        <f>SUM(H79:H80)</f>
        <v>542.02533800000003</v>
      </c>
      <c r="I81" s="276"/>
      <c r="J81" s="275"/>
      <c r="K81" s="285"/>
      <c r="L81" s="276">
        <f>SUM(L79:L80)</f>
        <v>24.180792705580636</v>
      </c>
      <c r="M81" s="285"/>
      <c r="N81" s="276"/>
      <c r="O81" s="285"/>
      <c r="P81" s="290"/>
      <c r="Q81" s="285"/>
      <c r="R81" s="276">
        <f>SUM(R79:R80)</f>
        <v>18.696976129699898</v>
      </c>
      <c r="S81" s="285"/>
      <c r="T81" s="286">
        <f>R81/F81</f>
        <v>3.1666942297798165E-2</v>
      </c>
      <c r="U81" s="285"/>
      <c r="V81" s="276">
        <f>SUM(V79:V80)</f>
        <v>-5.4838165758807378</v>
      </c>
      <c r="W81" s="158"/>
      <c r="X81" s="158"/>
      <c r="Y81" s="158"/>
    </row>
    <row r="82" spans="1:25">
      <c r="A82" s="176"/>
      <c r="B82" s="166"/>
      <c r="C82" s="176"/>
      <c r="D82" s="176"/>
      <c r="E82" s="176"/>
      <c r="F82" s="276"/>
      <c r="G82" s="176"/>
      <c r="H82" s="276"/>
      <c r="I82" s="276"/>
      <c r="J82" s="275"/>
      <c r="K82" s="285"/>
      <c r="L82" s="291"/>
      <c r="M82" s="285"/>
      <c r="N82" s="285"/>
      <c r="O82" s="285"/>
      <c r="P82" s="285"/>
      <c r="Q82" s="285"/>
      <c r="R82" s="285"/>
      <c r="S82" s="285"/>
      <c r="T82" s="285"/>
      <c r="U82" s="285"/>
      <c r="V82" s="285"/>
      <c r="W82" s="158"/>
      <c r="X82" s="158"/>
      <c r="Y82" s="158"/>
    </row>
    <row r="83" spans="1:25">
      <c r="A83" s="176"/>
      <c r="B83" s="166" t="s">
        <v>503</v>
      </c>
      <c r="C83" s="176"/>
      <c r="D83" s="166" t="s">
        <v>476</v>
      </c>
      <c r="E83" s="176"/>
      <c r="F83" s="276">
        <v>400.91390799999999</v>
      </c>
      <c r="G83" s="176"/>
      <c r="H83" s="276">
        <v>374.76620100000002</v>
      </c>
      <c r="I83" s="276"/>
      <c r="J83" s="275">
        <v>30.59</v>
      </c>
      <c r="K83" s="285"/>
      <c r="L83" s="285">
        <f>H83/J83</f>
        <v>12.251265152010461</v>
      </c>
      <c r="M83" s="285"/>
      <c r="N83" s="286">
        <f>L83/F83</f>
        <v>3.0558344092194632E-2</v>
      </c>
      <c r="O83" s="285"/>
      <c r="P83" s="287">
        <f>J83</f>
        <v>30.59</v>
      </c>
      <c r="Q83" s="285"/>
      <c r="R83" s="285">
        <f>H83/P83</f>
        <v>12.251265152010461</v>
      </c>
      <c r="S83" s="285"/>
      <c r="T83" s="286">
        <f>R83/F83</f>
        <v>3.0558344092194632E-2</v>
      </c>
      <c r="U83" s="285"/>
      <c r="V83" s="285">
        <f>R83-L83</f>
        <v>0</v>
      </c>
      <c r="W83" s="158"/>
      <c r="X83" s="158"/>
      <c r="Y83" s="158"/>
    </row>
    <row r="84" spans="1:25">
      <c r="A84" s="176"/>
      <c r="B84" s="166" t="s">
        <v>503</v>
      </c>
      <c r="C84" s="176"/>
      <c r="D84" s="166" t="s">
        <v>485</v>
      </c>
      <c r="E84" s="176"/>
      <c r="F84" s="279">
        <v>229.37219400000001</v>
      </c>
      <c r="G84" s="176"/>
      <c r="H84" s="279">
        <v>123.443675</v>
      </c>
      <c r="I84" s="276"/>
      <c r="J84" s="280">
        <v>7.28</v>
      </c>
      <c r="K84" s="285"/>
      <c r="L84" s="288">
        <f>H84/J84</f>
        <v>16.956548763736262</v>
      </c>
      <c r="M84" s="285"/>
      <c r="N84" s="286">
        <f>L84/F84</f>
        <v>7.3925912587888748E-2</v>
      </c>
      <c r="O84" s="285"/>
      <c r="P84" s="287">
        <f>J83</f>
        <v>30.59</v>
      </c>
      <c r="Q84" s="285"/>
      <c r="R84" s="288">
        <f>H84/P84</f>
        <v>4.0354257927427266</v>
      </c>
      <c r="S84" s="285"/>
      <c r="T84" s="289">
        <f>R84/F84</f>
        <v>1.7593352194829364E-2</v>
      </c>
      <c r="U84" s="285"/>
      <c r="V84" s="288">
        <f>R84-L84</f>
        <v>-12.921122970993535</v>
      </c>
      <c r="W84" s="158"/>
      <c r="X84" s="158"/>
      <c r="Y84" s="158"/>
    </row>
    <row r="85" spans="1:25">
      <c r="A85" s="176"/>
      <c r="B85" s="166" t="s">
        <v>482</v>
      </c>
      <c r="C85" s="176"/>
      <c r="D85" s="176" t="s">
        <v>484</v>
      </c>
      <c r="E85" s="176"/>
      <c r="F85" s="276">
        <f>SUM(F83:F84)</f>
        <v>630.28610200000003</v>
      </c>
      <c r="G85" s="176"/>
      <c r="H85" s="276">
        <f>SUM(H83:H84)</f>
        <v>498.20987600000001</v>
      </c>
      <c r="I85" s="276"/>
      <c r="J85" s="275"/>
      <c r="K85" s="285"/>
      <c r="L85" s="276">
        <f>SUM(L83:L84)</f>
        <v>29.207813915746723</v>
      </c>
      <c r="M85" s="285"/>
      <c r="N85" s="276"/>
      <c r="O85" s="285"/>
      <c r="P85" s="290"/>
      <c r="Q85" s="285"/>
      <c r="R85" s="276">
        <f>SUM(R83:R84)</f>
        <v>16.28669094475319</v>
      </c>
      <c r="S85" s="285"/>
      <c r="T85" s="286">
        <f>R85/F85</f>
        <v>2.5840155594535365E-2</v>
      </c>
      <c r="U85" s="285"/>
      <c r="V85" s="276">
        <f>SUM(V83:V84)</f>
        <v>-12.921122970993535</v>
      </c>
      <c r="W85" s="158"/>
      <c r="X85" s="158"/>
      <c r="Y85" s="158"/>
    </row>
    <row r="86" spans="1:25">
      <c r="A86" s="176"/>
      <c r="B86" s="166"/>
      <c r="C86" s="176"/>
      <c r="D86" s="176"/>
      <c r="E86" s="176"/>
      <c r="F86" s="176"/>
      <c r="G86" s="176"/>
      <c r="H86" s="276"/>
      <c r="I86" s="276"/>
      <c r="J86" s="276"/>
      <c r="K86" s="285"/>
      <c r="L86" s="285"/>
      <c r="M86" s="285"/>
      <c r="N86" s="285"/>
      <c r="O86" s="285"/>
      <c r="P86" s="285"/>
      <c r="Q86" s="285"/>
      <c r="R86" s="285"/>
      <c r="S86" s="285"/>
      <c r="T86" s="285"/>
      <c r="U86" s="285"/>
      <c r="V86" s="285"/>
      <c r="W86" s="158"/>
      <c r="X86" s="158"/>
      <c r="Y86" s="158"/>
    </row>
    <row r="87" spans="1:25">
      <c r="A87" s="176"/>
      <c r="B87" s="166" t="s">
        <v>504</v>
      </c>
      <c r="C87" s="176"/>
      <c r="D87" s="166" t="s">
        <v>476</v>
      </c>
      <c r="E87" s="176"/>
      <c r="F87" s="276">
        <v>533.78014399999995</v>
      </c>
      <c r="G87" s="176"/>
      <c r="H87" s="276">
        <v>498.01345099999998</v>
      </c>
      <c r="I87" s="276"/>
      <c r="J87" s="275">
        <v>31.39</v>
      </c>
      <c r="K87" s="285"/>
      <c r="L87" s="285">
        <f>H87/J87</f>
        <v>15.865353647658489</v>
      </c>
      <c r="M87" s="285"/>
      <c r="N87" s="286">
        <f>L87/F87</f>
        <v>2.9722637355462385E-2</v>
      </c>
      <c r="O87" s="285"/>
      <c r="P87" s="287">
        <f>J87</f>
        <v>31.39</v>
      </c>
      <c r="Q87" s="285"/>
      <c r="R87" s="285">
        <f>H87/P87</f>
        <v>15.865353647658489</v>
      </c>
      <c r="S87" s="285"/>
      <c r="T87" s="286">
        <f>R87/F87</f>
        <v>2.9722637355462385E-2</v>
      </c>
      <c r="U87" s="285"/>
      <c r="V87" s="285">
        <f>R87-L87</f>
        <v>0</v>
      </c>
      <c r="W87" s="158"/>
      <c r="X87" s="158"/>
      <c r="Y87" s="158"/>
    </row>
    <row r="88" spans="1:25">
      <c r="A88" s="176"/>
      <c r="B88" s="166" t="s">
        <v>504</v>
      </c>
      <c r="C88" s="176"/>
      <c r="D88" s="166" t="s">
        <v>485</v>
      </c>
      <c r="E88" s="176"/>
      <c r="F88" s="279">
        <v>139.52496099999999</v>
      </c>
      <c r="G88" s="176"/>
      <c r="H88" s="279">
        <v>68.721959999999996</v>
      </c>
      <c r="I88" s="276"/>
      <c r="J88" s="280">
        <v>7.12</v>
      </c>
      <c r="K88" s="285"/>
      <c r="L88" s="288">
        <f>H88/J88</f>
        <v>9.6519606741573032</v>
      </c>
      <c r="M88" s="285"/>
      <c r="N88" s="286">
        <f>L88/F88</f>
        <v>6.9177304225566519E-2</v>
      </c>
      <c r="O88" s="285"/>
      <c r="P88" s="287">
        <f>J87</f>
        <v>31.39</v>
      </c>
      <c r="Q88" s="285"/>
      <c r="R88" s="288">
        <f>H88/P88</f>
        <v>2.189294679834342</v>
      </c>
      <c r="S88" s="285"/>
      <c r="T88" s="289">
        <f>R88/F88</f>
        <v>1.5691061041288104E-2</v>
      </c>
      <c r="U88" s="285"/>
      <c r="V88" s="288">
        <f>R88-L88</f>
        <v>-7.4626659943229612</v>
      </c>
      <c r="W88" s="158"/>
      <c r="X88" s="158"/>
      <c r="Y88" s="158"/>
    </row>
    <row r="89" spans="1:25">
      <c r="A89" s="176"/>
      <c r="B89" s="166" t="s">
        <v>482</v>
      </c>
      <c r="C89" s="176"/>
      <c r="D89" s="176" t="s">
        <v>484</v>
      </c>
      <c r="E89" s="176"/>
      <c r="F89" s="276">
        <f>SUM(F87:F88)</f>
        <v>673.30510499999991</v>
      </c>
      <c r="G89" s="176"/>
      <c r="H89" s="276">
        <f>SUM(H87:H88)</f>
        <v>566.735411</v>
      </c>
      <c r="I89" s="276"/>
      <c r="J89" s="275"/>
      <c r="K89" s="285"/>
      <c r="L89" s="276">
        <f>SUM(L87:L88)</f>
        <v>25.517314321815793</v>
      </c>
      <c r="M89" s="285"/>
      <c r="N89" s="276"/>
      <c r="O89" s="285"/>
      <c r="P89" s="290"/>
      <c r="Q89" s="285"/>
      <c r="R89" s="276">
        <f>SUM(R87:R88)</f>
        <v>18.054648327492831</v>
      </c>
      <c r="S89" s="285"/>
      <c r="T89" s="286">
        <f>R89/F89</f>
        <v>2.6814958320407853E-2</v>
      </c>
      <c r="U89" s="285"/>
      <c r="V89" s="276">
        <f>SUM(V87:V88)</f>
        <v>-7.4626659943229612</v>
      </c>
      <c r="W89" s="158"/>
      <c r="X89" s="158"/>
      <c r="Y89" s="158"/>
    </row>
    <row r="90" spans="1:25">
      <c r="A90" s="176"/>
      <c r="B90" s="176"/>
      <c r="C90" s="176"/>
      <c r="D90" s="176"/>
      <c r="E90" s="176"/>
      <c r="F90" s="176"/>
      <c r="G90" s="176"/>
      <c r="H90" s="276"/>
      <c r="I90" s="276"/>
      <c r="J90" s="276"/>
      <c r="K90" s="285"/>
      <c r="L90" s="285"/>
      <c r="M90" s="285"/>
      <c r="N90" s="285"/>
      <c r="O90" s="285"/>
      <c r="P90" s="285"/>
      <c r="Q90" s="285"/>
      <c r="R90" s="285"/>
      <c r="S90" s="285"/>
      <c r="T90" s="285"/>
      <c r="U90" s="285"/>
      <c r="V90" s="285"/>
      <c r="W90" s="158"/>
      <c r="X90" s="158"/>
      <c r="Y90" s="158"/>
    </row>
    <row r="91" spans="1:25">
      <c r="A91" s="176"/>
      <c r="B91" s="166" t="s">
        <v>505</v>
      </c>
      <c r="C91" s="176"/>
      <c r="D91" s="166" t="s">
        <v>476</v>
      </c>
      <c r="E91" s="176"/>
      <c r="F91" s="276">
        <v>518.62221699999998</v>
      </c>
      <c r="G91" s="176"/>
      <c r="H91" s="276">
        <v>512.32637299999999</v>
      </c>
      <c r="I91" s="276"/>
      <c r="J91" s="275">
        <v>33.03</v>
      </c>
      <c r="K91" s="285"/>
      <c r="L91" s="285">
        <f>H91/J91</f>
        <v>15.510940750832576</v>
      </c>
      <c r="M91" s="285"/>
      <c r="N91" s="286">
        <f>L91/F91</f>
        <v>2.990797586836234E-2</v>
      </c>
      <c r="O91" s="285"/>
      <c r="P91" s="287">
        <f>J91</f>
        <v>33.03</v>
      </c>
      <c r="Q91" s="285"/>
      <c r="R91" s="285">
        <f>H91/P91</f>
        <v>15.510940750832576</v>
      </c>
      <c r="S91" s="285"/>
      <c r="T91" s="286">
        <f>R91/F91</f>
        <v>2.990797586836234E-2</v>
      </c>
      <c r="U91" s="285"/>
      <c r="V91" s="285">
        <f>R91-L91</f>
        <v>0</v>
      </c>
      <c r="W91" s="158"/>
      <c r="X91" s="158"/>
      <c r="Y91" s="158"/>
    </row>
    <row r="92" spans="1:25">
      <c r="A92" s="176"/>
      <c r="B92" s="166" t="s">
        <v>505</v>
      </c>
      <c r="C92" s="176"/>
      <c r="D92" s="166" t="s">
        <v>485</v>
      </c>
      <c r="E92" s="176"/>
      <c r="F92" s="279">
        <v>191.36319599999999</v>
      </c>
      <c r="G92" s="176"/>
      <c r="H92" s="279">
        <v>108.457093</v>
      </c>
      <c r="I92" s="276"/>
      <c r="J92" s="280">
        <v>8.01</v>
      </c>
      <c r="K92" s="285"/>
      <c r="L92" s="288">
        <f>H92/J92</f>
        <v>13.540211360799002</v>
      </c>
      <c r="M92" s="285"/>
      <c r="N92" s="286">
        <f>L92/F92</f>
        <v>7.0756611740530315E-2</v>
      </c>
      <c r="O92" s="285"/>
      <c r="P92" s="287">
        <f>J91</f>
        <v>33.03</v>
      </c>
      <c r="Q92" s="285"/>
      <c r="R92" s="288">
        <f>H92/P92</f>
        <v>3.2835934907659703</v>
      </c>
      <c r="S92" s="285"/>
      <c r="T92" s="289">
        <f>R92/F92</f>
        <v>1.7158960340346585E-2</v>
      </c>
      <c r="U92" s="285"/>
      <c r="V92" s="288">
        <f>R92-L92</f>
        <v>-10.256617870033033</v>
      </c>
      <c r="W92" s="158"/>
      <c r="X92" s="158"/>
      <c r="Y92" s="158"/>
    </row>
    <row r="93" spans="1:25">
      <c r="A93" s="176"/>
      <c r="B93" s="166" t="s">
        <v>482</v>
      </c>
      <c r="C93" s="176"/>
      <c r="D93" s="176" t="s">
        <v>484</v>
      </c>
      <c r="E93" s="176"/>
      <c r="F93" s="276">
        <f>SUM(F91:F92)</f>
        <v>709.98541299999999</v>
      </c>
      <c r="G93" s="176"/>
      <c r="H93" s="276">
        <f>SUM(H91:H92)</f>
        <v>620.78346599999998</v>
      </c>
      <c r="I93" s="276"/>
      <c r="J93" s="275"/>
      <c r="K93" s="285"/>
      <c r="L93" s="276">
        <f>SUM(L91:L92)</f>
        <v>29.051152111631581</v>
      </c>
      <c r="M93" s="285"/>
      <c r="N93" s="276"/>
      <c r="O93" s="285"/>
      <c r="P93" s="290"/>
      <c r="Q93" s="285"/>
      <c r="R93" s="276">
        <f>SUM(R91:R92)</f>
        <v>18.794534241598548</v>
      </c>
      <c r="S93" s="285"/>
      <c r="T93" s="286">
        <f>R93/F93</f>
        <v>2.6471718851494977E-2</v>
      </c>
      <c r="U93" s="285"/>
      <c r="V93" s="276">
        <f>SUM(V91:V92)</f>
        <v>-10.256617870033033</v>
      </c>
      <c r="W93" s="158"/>
      <c r="X93" s="158"/>
      <c r="Y93" s="158"/>
    </row>
    <row r="94" spans="1:25">
      <c r="A94" s="166" t="s">
        <v>507</v>
      </c>
      <c r="B94" s="166"/>
      <c r="C94" s="176"/>
      <c r="D94" s="176"/>
      <c r="E94" s="176"/>
      <c r="F94" s="276"/>
      <c r="G94" s="176"/>
      <c r="H94" s="276"/>
      <c r="I94" s="276"/>
      <c r="J94" s="275"/>
      <c r="K94" s="285"/>
      <c r="L94" s="291"/>
      <c r="M94" s="285"/>
      <c r="N94" s="285"/>
      <c r="O94" s="285"/>
      <c r="P94" s="285"/>
      <c r="Q94" s="285"/>
      <c r="R94" s="285"/>
      <c r="S94" s="285"/>
      <c r="T94" s="285"/>
      <c r="U94" s="285"/>
      <c r="V94" s="285"/>
      <c r="W94" s="158"/>
      <c r="X94" s="158"/>
      <c r="Y94" s="158"/>
    </row>
    <row r="95" spans="1:25">
      <c r="A95" s="176"/>
      <c r="B95" s="166" t="s">
        <v>506</v>
      </c>
      <c r="C95" s="176"/>
      <c r="D95" s="166" t="s">
        <v>476</v>
      </c>
      <c r="E95" s="176"/>
      <c r="F95" s="276">
        <v>14.841925</v>
      </c>
      <c r="G95" s="176"/>
      <c r="H95" s="276">
        <v>13.098998999999999</v>
      </c>
      <c r="I95" s="276"/>
      <c r="J95" s="275">
        <v>10.14</v>
      </c>
      <c r="K95" s="285"/>
      <c r="L95" s="285">
        <f>H95/J95</f>
        <v>1.29181449704142</v>
      </c>
      <c r="M95" s="285"/>
      <c r="N95" s="286">
        <f>L95/F95</f>
        <v>8.7038204076723205E-2</v>
      </c>
      <c r="O95" s="285"/>
      <c r="P95" s="287">
        <f>J95</f>
        <v>10.14</v>
      </c>
      <c r="Q95" s="285"/>
      <c r="R95" s="285">
        <f>H95/P95</f>
        <v>1.29181449704142</v>
      </c>
      <c r="S95" s="285"/>
      <c r="T95" s="286">
        <f>R95/F95</f>
        <v>8.7038204076723205E-2</v>
      </c>
      <c r="U95" s="285"/>
      <c r="V95" s="285">
        <f>R95-L95</f>
        <v>0</v>
      </c>
      <c r="W95" s="158"/>
      <c r="X95" s="158"/>
      <c r="Y95" s="158"/>
    </row>
    <row r="96" spans="1:25">
      <c r="A96" s="176"/>
      <c r="B96" s="166" t="s">
        <v>506</v>
      </c>
      <c r="C96" s="176"/>
      <c r="D96" s="166" t="s">
        <v>485</v>
      </c>
      <c r="E96" s="176"/>
      <c r="F96" s="279">
        <v>1.858779</v>
      </c>
      <c r="G96" s="176"/>
      <c r="H96" s="279">
        <v>0.74830700000000006</v>
      </c>
      <c r="I96" s="276"/>
      <c r="J96" s="280">
        <v>7.6</v>
      </c>
      <c r="K96" s="285"/>
      <c r="L96" s="288">
        <f>H96/J96</f>
        <v>9.8461447368421065E-2</v>
      </c>
      <c r="M96" s="285"/>
      <c r="N96" s="286">
        <f>L96/F96</f>
        <v>5.2971034947361183E-2</v>
      </c>
      <c r="O96" s="285"/>
      <c r="P96" s="287">
        <f>J95</f>
        <v>10.14</v>
      </c>
      <c r="Q96" s="285"/>
      <c r="R96" s="288">
        <f>H96/P96</f>
        <v>7.3797534516765281E-2</v>
      </c>
      <c r="S96" s="285"/>
      <c r="T96" s="289">
        <f>R96/F96</f>
        <v>3.9702156370803245E-2</v>
      </c>
      <c r="U96" s="285"/>
      <c r="V96" s="288">
        <f>R96-L96</f>
        <v>-2.4663912851655784E-2</v>
      </c>
      <c r="W96" s="158"/>
      <c r="X96" s="158"/>
      <c r="Y96" s="158"/>
    </row>
    <row r="97" spans="1:25">
      <c r="A97" s="176"/>
      <c r="B97" s="166" t="s">
        <v>482</v>
      </c>
      <c r="C97" s="176"/>
      <c r="D97" s="176" t="s">
        <v>484</v>
      </c>
      <c r="E97" s="176"/>
      <c r="F97" s="276">
        <f>SUM(F95:F96)</f>
        <v>16.700703999999998</v>
      </c>
      <c r="G97" s="176"/>
      <c r="H97" s="276">
        <f>SUM(H95:H96)</f>
        <v>13.847306</v>
      </c>
      <c r="I97" s="276"/>
      <c r="J97" s="275"/>
      <c r="K97" s="285"/>
      <c r="L97" s="276">
        <f>SUM(L95:L96)</f>
        <v>1.3902759444098411</v>
      </c>
      <c r="M97" s="285"/>
      <c r="N97" s="276"/>
      <c r="O97" s="285"/>
      <c r="P97" s="290"/>
      <c r="Q97" s="285"/>
      <c r="R97" s="276">
        <f>SUM(R95:R96)</f>
        <v>1.3656120315581852</v>
      </c>
      <c r="S97" s="285"/>
      <c r="T97" s="286">
        <f>R97/F97</f>
        <v>8.176972848319361E-2</v>
      </c>
      <c r="U97" s="285"/>
      <c r="V97" s="276">
        <f>SUM(V95:V96)</f>
        <v>-2.4663912851655784E-2</v>
      </c>
      <c r="W97" s="158"/>
      <c r="X97" s="158"/>
      <c r="Y97" s="158"/>
    </row>
    <row r="98" spans="1:25">
      <c r="A98" s="176"/>
      <c r="B98" s="166"/>
      <c r="C98" s="176"/>
      <c r="D98" s="176"/>
      <c r="E98" s="176"/>
      <c r="F98" s="176"/>
      <c r="G98" s="176"/>
      <c r="H98" s="276"/>
      <c r="I98" s="276"/>
      <c r="J98" s="276"/>
      <c r="K98" s="285"/>
      <c r="L98" s="285"/>
      <c r="M98" s="285"/>
      <c r="N98" s="285"/>
      <c r="O98" s="285"/>
      <c r="P98" s="285"/>
      <c r="Q98" s="285"/>
      <c r="R98" s="285"/>
      <c r="S98" s="285"/>
      <c r="T98" s="285"/>
      <c r="U98" s="285"/>
      <c r="V98" s="285"/>
      <c r="W98" s="158"/>
      <c r="X98" s="158"/>
      <c r="Y98" s="158"/>
    </row>
    <row r="99" spans="1:25">
      <c r="A99" s="176"/>
      <c r="B99" s="166" t="s">
        <v>508</v>
      </c>
      <c r="C99" s="176"/>
      <c r="D99" s="166" t="s">
        <v>476</v>
      </c>
      <c r="E99" s="176"/>
      <c r="F99" s="276">
        <v>10.218902999999999</v>
      </c>
      <c r="G99" s="176"/>
      <c r="H99" s="276">
        <v>8.7558860000000003</v>
      </c>
      <c r="I99" s="276"/>
      <c r="J99" s="275">
        <v>10.14</v>
      </c>
      <c r="K99" s="285"/>
      <c r="L99" s="285">
        <f>H99/J99</f>
        <v>0.86349960552268246</v>
      </c>
      <c r="M99" s="285"/>
      <c r="N99" s="286">
        <f>L99/F99</f>
        <v>8.4500225271018081E-2</v>
      </c>
      <c r="O99" s="285"/>
      <c r="P99" s="287">
        <f>J99</f>
        <v>10.14</v>
      </c>
      <c r="Q99" s="285"/>
      <c r="R99" s="285">
        <f>H99/P99</f>
        <v>0.86349960552268246</v>
      </c>
      <c r="S99" s="285"/>
      <c r="T99" s="286">
        <f>R99/F99</f>
        <v>8.4500225271018081E-2</v>
      </c>
      <c r="U99" s="285"/>
      <c r="V99" s="285">
        <f>R99-L99</f>
        <v>0</v>
      </c>
      <c r="W99" s="158"/>
      <c r="X99" s="158"/>
      <c r="Y99" s="158"/>
    </row>
    <row r="100" spans="1:25">
      <c r="A100" s="176"/>
      <c r="B100" s="166" t="s">
        <v>508</v>
      </c>
      <c r="C100" s="176"/>
      <c r="D100" s="166" t="s">
        <v>485</v>
      </c>
      <c r="E100" s="176"/>
      <c r="F100" s="279">
        <v>2.8070949999999999</v>
      </c>
      <c r="G100" s="176"/>
      <c r="H100" s="279">
        <v>0.78318500000000002</v>
      </c>
      <c r="I100" s="276"/>
      <c r="J100" s="280">
        <v>5.72</v>
      </c>
      <c r="K100" s="285"/>
      <c r="L100" s="288">
        <f>H100/J100</f>
        <v>0.13692045454545457</v>
      </c>
      <c r="M100" s="285"/>
      <c r="N100" s="286">
        <f>L100/F100</f>
        <v>4.8776566003450032E-2</v>
      </c>
      <c r="O100" s="285"/>
      <c r="P100" s="287">
        <f>J99</f>
        <v>10.14</v>
      </c>
      <c r="Q100" s="285"/>
      <c r="R100" s="288">
        <f>H100/P100</f>
        <v>7.723717948717948E-2</v>
      </c>
      <c r="S100" s="285"/>
      <c r="T100" s="289">
        <f>R100/F100</f>
        <v>2.7514985950664116E-2</v>
      </c>
      <c r="U100" s="285"/>
      <c r="V100" s="288">
        <f>R100-L100</f>
        <v>-5.9683275058275087E-2</v>
      </c>
      <c r="W100" s="158"/>
      <c r="X100" s="158"/>
      <c r="Y100" s="158"/>
    </row>
    <row r="101" spans="1:25">
      <c r="A101" s="176"/>
      <c r="B101" s="166" t="s">
        <v>482</v>
      </c>
      <c r="C101" s="176"/>
      <c r="D101" s="176" t="s">
        <v>484</v>
      </c>
      <c r="E101" s="176"/>
      <c r="F101" s="276">
        <f>SUM(F99:F100)</f>
        <v>13.025998</v>
      </c>
      <c r="G101" s="176"/>
      <c r="H101" s="276">
        <f>SUM(H99:H100)</f>
        <v>9.5390709999999999</v>
      </c>
      <c r="I101" s="276"/>
      <c r="J101" s="275"/>
      <c r="K101" s="285"/>
      <c r="L101" s="276">
        <f>SUM(L99:L100)</f>
        <v>1.000420060068137</v>
      </c>
      <c r="M101" s="285"/>
      <c r="N101" s="276"/>
      <c r="O101" s="285"/>
      <c r="P101" s="290"/>
      <c r="Q101" s="285"/>
      <c r="R101" s="276">
        <f>SUM(R99:R100)</f>
        <v>0.94073678500986191</v>
      </c>
      <c r="S101" s="285"/>
      <c r="T101" s="286">
        <f>R101/F101</f>
        <v>7.2219939309821943E-2</v>
      </c>
      <c r="U101" s="285"/>
      <c r="V101" s="276">
        <f>SUM(V99:V100)</f>
        <v>-5.9683275058275087E-2</v>
      </c>
      <c r="W101" s="158"/>
      <c r="X101" s="158"/>
      <c r="Y101" s="158"/>
    </row>
    <row r="102" spans="1:25">
      <c r="A102" s="176"/>
      <c r="B102" s="176"/>
      <c r="C102" s="176"/>
      <c r="D102" s="176"/>
      <c r="E102" s="176"/>
      <c r="F102" s="176"/>
      <c r="G102" s="176"/>
      <c r="H102" s="276"/>
      <c r="I102" s="276"/>
      <c r="J102" s="276"/>
      <c r="K102" s="285"/>
      <c r="L102" s="285"/>
      <c r="M102" s="285"/>
      <c r="N102" s="285"/>
      <c r="O102" s="285"/>
      <c r="P102" s="285"/>
      <c r="Q102" s="285"/>
      <c r="R102" s="285"/>
      <c r="S102" s="285"/>
      <c r="T102" s="285"/>
      <c r="U102" s="285"/>
      <c r="V102" s="285"/>
      <c r="W102" s="158"/>
      <c r="X102" s="158"/>
      <c r="Y102" s="158"/>
    </row>
    <row r="103" spans="1:25">
      <c r="A103" s="176"/>
      <c r="B103" s="166" t="s">
        <v>509</v>
      </c>
      <c r="C103" s="176"/>
      <c r="D103" s="166" t="s">
        <v>476</v>
      </c>
      <c r="E103" s="176"/>
      <c r="F103" s="276">
        <v>226.79734199999999</v>
      </c>
      <c r="G103" s="176"/>
      <c r="H103" s="276">
        <v>225.57506599999999</v>
      </c>
      <c r="I103" s="276"/>
      <c r="J103" s="275">
        <v>33.03</v>
      </c>
      <c r="K103" s="278"/>
      <c r="L103" s="278">
        <f>H103/J103</f>
        <v>6.8293995155918861</v>
      </c>
      <c r="M103" s="278"/>
      <c r="N103" s="283">
        <f>L103/F103</f>
        <v>3.011234371341039E-2</v>
      </c>
      <c r="O103" s="278"/>
      <c r="P103" s="277">
        <f>J103</f>
        <v>33.03</v>
      </c>
      <c r="Q103" s="278"/>
      <c r="R103" s="278">
        <f>H103/P103</f>
        <v>6.8293995155918861</v>
      </c>
      <c r="S103" s="278"/>
      <c r="T103" s="283">
        <f>R103/F103</f>
        <v>3.011234371341039E-2</v>
      </c>
      <c r="U103" s="278"/>
      <c r="V103" s="278">
        <f>R103-L103</f>
        <v>0</v>
      </c>
      <c r="W103" s="158"/>
      <c r="X103" s="158"/>
      <c r="Y103" s="158"/>
    </row>
    <row r="104" spans="1:25">
      <c r="A104" s="176"/>
      <c r="B104" s="166" t="s">
        <v>509</v>
      </c>
      <c r="C104" s="176"/>
      <c r="D104" s="166" t="s">
        <v>485</v>
      </c>
      <c r="E104" s="176"/>
      <c r="F104" s="279">
        <v>83.870827000000006</v>
      </c>
      <c r="G104" s="176"/>
      <c r="H104" s="279">
        <v>56.883479999999999</v>
      </c>
      <c r="I104" s="276"/>
      <c r="J104" s="280">
        <v>23.58</v>
      </c>
      <c r="K104" s="278"/>
      <c r="L104" s="281">
        <f>H104/J104</f>
        <v>2.4123613231552166</v>
      </c>
      <c r="M104" s="278"/>
      <c r="N104" s="283">
        <f>L104/F104</f>
        <v>2.8762817888456214E-2</v>
      </c>
      <c r="O104" s="278"/>
      <c r="P104" s="277">
        <f>J103</f>
        <v>33.03</v>
      </c>
      <c r="Q104" s="278"/>
      <c r="R104" s="281">
        <f>H104/P104</f>
        <v>1.7221762034514077</v>
      </c>
      <c r="S104" s="278"/>
      <c r="T104" s="284">
        <f>R104/F104</f>
        <v>2.0533673805927865E-2</v>
      </c>
      <c r="U104" s="278"/>
      <c r="V104" s="281">
        <f>R104-L104</f>
        <v>-0.69018511970380891</v>
      </c>
      <c r="W104" s="158"/>
      <c r="X104" s="158"/>
      <c r="Y104" s="158"/>
    </row>
    <row r="105" spans="1:25">
      <c r="A105" s="176"/>
      <c r="B105" s="166" t="s">
        <v>482</v>
      </c>
      <c r="C105" s="176"/>
      <c r="D105" s="176" t="s">
        <v>484</v>
      </c>
      <c r="E105" s="176"/>
      <c r="F105" s="276">
        <f>SUM(F103:F104)</f>
        <v>310.66816899999998</v>
      </c>
      <c r="G105" s="176"/>
      <c r="H105" s="276">
        <f>SUM(H103:H104)</f>
        <v>282.45854600000001</v>
      </c>
      <c r="I105" s="276"/>
      <c r="J105" s="275"/>
      <c r="K105" s="278"/>
      <c r="L105" s="276">
        <f>SUM(L103:L104)</f>
        <v>9.2417608387471031</v>
      </c>
      <c r="M105" s="278"/>
      <c r="N105" s="276"/>
      <c r="O105" s="278"/>
      <c r="P105" s="282"/>
      <c r="Q105" s="278"/>
      <c r="R105" s="276">
        <f>SUM(R103:R104)</f>
        <v>8.5515757190432939</v>
      </c>
      <c r="S105" s="278"/>
      <c r="T105" s="283">
        <f>R105/F105</f>
        <v>2.7526398171301852E-2</v>
      </c>
      <c r="U105" s="278"/>
      <c r="V105" s="276">
        <f>SUM(V103:V104)</f>
        <v>-0.69018511970380891</v>
      </c>
      <c r="W105" s="158"/>
      <c r="X105" s="158"/>
      <c r="Y105" s="158"/>
    </row>
    <row r="106" spans="1:25">
      <c r="A106" s="176"/>
      <c r="B106" s="166"/>
      <c r="C106" s="176"/>
      <c r="D106" s="176"/>
      <c r="E106" s="176"/>
      <c r="F106" s="276"/>
      <c r="G106" s="176"/>
      <c r="H106" s="276"/>
      <c r="I106" s="276"/>
      <c r="J106" s="275"/>
      <c r="K106" s="278"/>
      <c r="L106" s="276"/>
      <c r="M106" s="278"/>
      <c r="N106" s="276"/>
      <c r="O106" s="278"/>
      <c r="P106" s="282"/>
      <c r="Q106" s="278"/>
      <c r="R106" s="276"/>
      <c r="S106" s="278"/>
      <c r="T106" s="283"/>
      <c r="U106" s="278"/>
      <c r="V106" s="276"/>
      <c r="W106" s="158"/>
      <c r="X106" s="158"/>
      <c r="Y106" s="158"/>
    </row>
    <row r="107" spans="1:25">
      <c r="A107" s="176"/>
      <c r="B107" s="166"/>
      <c r="C107" s="176"/>
      <c r="D107" s="176"/>
      <c r="E107" s="176"/>
      <c r="F107" s="276"/>
      <c r="G107" s="176"/>
      <c r="H107" s="276"/>
      <c r="I107" s="276"/>
      <c r="J107" s="275"/>
      <c r="K107" s="278"/>
      <c r="L107" s="276"/>
      <c r="M107" s="278"/>
      <c r="N107" s="276"/>
      <c r="O107" s="278"/>
      <c r="P107" s="282"/>
      <c r="Q107" s="278"/>
      <c r="R107" s="276"/>
      <c r="S107" s="278"/>
      <c r="T107" s="283"/>
      <c r="U107" s="278"/>
      <c r="V107" s="276"/>
      <c r="W107" s="158"/>
      <c r="X107" s="158"/>
      <c r="Y107" s="158"/>
    </row>
    <row r="108" spans="1:25">
      <c r="A108" s="176"/>
      <c r="B108" s="176"/>
      <c r="C108" s="176"/>
      <c r="D108" s="176"/>
      <c r="E108" s="176"/>
      <c r="F108" s="176"/>
      <c r="G108" s="176"/>
      <c r="H108" s="276"/>
      <c r="I108" s="276"/>
      <c r="J108" s="276"/>
      <c r="K108" s="278"/>
      <c r="L108" s="278"/>
      <c r="M108" s="278"/>
      <c r="N108" s="278"/>
      <c r="O108" s="278"/>
      <c r="P108" s="278"/>
      <c r="Q108" s="278"/>
      <c r="R108" s="278"/>
      <c r="S108" s="278"/>
      <c r="T108" s="278"/>
      <c r="U108" s="278"/>
      <c r="V108" s="278"/>
      <c r="W108" s="158"/>
      <c r="X108" s="158"/>
      <c r="Y108" s="158"/>
    </row>
    <row r="109" spans="1:25">
      <c r="A109" s="176"/>
      <c r="B109" s="176"/>
      <c r="C109" s="176"/>
      <c r="D109" s="176"/>
      <c r="E109" s="176"/>
      <c r="F109" s="176"/>
      <c r="G109" s="176"/>
      <c r="H109" s="276"/>
      <c r="I109" s="276"/>
      <c r="J109" s="276"/>
      <c r="K109" s="278"/>
      <c r="L109" s="278"/>
      <c r="M109" s="278"/>
      <c r="N109" s="278"/>
      <c r="O109" s="278"/>
      <c r="P109" s="278" t="s">
        <v>510</v>
      </c>
      <c r="Q109" s="278"/>
      <c r="R109" s="278"/>
      <c r="S109" s="278"/>
      <c r="T109" s="278"/>
      <c r="U109" s="278"/>
      <c r="V109" s="278">
        <f>V105+V101+V97+V93+V89+V85+V81+V77+V73+V69+V65+V61+V57+V53+V49+V45+V41+V37+V33+V29+V25+V21+V17+V13</f>
        <v>-143.10789582018717</v>
      </c>
      <c r="W109" s="158"/>
      <c r="X109" s="158"/>
      <c r="Y109" s="158"/>
    </row>
    <row r="110" spans="1:25">
      <c r="A110" s="176"/>
      <c r="B110" s="176"/>
      <c r="C110" s="176"/>
      <c r="D110" s="176"/>
      <c r="E110" s="176"/>
      <c r="F110" s="176"/>
      <c r="G110" s="176"/>
      <c r="H110" s="276"/>
      <c r="I110" s="276"/>
      <c r="J110" s="276"/>
      <c r="K110" s="278"/>
      <c r="L110" s="278"/>
      <c r="M110" s="278"/>
      <c r="N110" s="278"/>
      <c r="O110" s="278"/>
      <c r="P110" s="278"/>
      <c r="Q110" s="278"/>
      <c r="R110" s="278"/>
      <c r="S110" s="278"/>
      <c r="T110" s="278"/>
      <c r="U110" s="278"/>
      <c r="V110" s="278"/>
      <c r="W110" s="158"/>
      <c r="X110" s="158"/>
      <c r="Y110" s="158"/>
    </row>
    <row r="111" spans="1:25">
      <c r="A111" s="176"/>
      <c r="B111" s="176"/>
      <c r="C111" s="176"/>
      <c r="D111" s="176"/>
      <c r="E111" s="176"/>
      <c r="F111" s="176"/>
      <c r="G111" s="176"/>
      <c r="H111" s="276"/>
      <c r="I111" s="276"/>
      <c r="J111" s="276"/>
      <c r="K111" s="278"/>
      <c r="L111" s="278"/>
      <c r="M111" s="278"/>
      <c r="N111" s="278"/>
      <c r="O111" s="278"/>
      <c r="P111" s="278" t="s">
        <v>511</v>
      </c>
      <c r="Q111" s="278"/>
      <c r="R111" s="278"/>
      <c r="S111" s="278"/>
      <c r="T111" s="278"/>
      <c r="U111" s="278"/>
      <c r="V111" s="293">
        <f>'Exh. LK-11 (Pages 1-3)'!R19</f>
        <v>0.95042000000000004</v>
      </c>
      <c r="W111" s="158"/>
      <c r="X111" s="158"/>
      <c r="Y111" s="158"/>
    </row>
    <row r="112" spans="1:25">
      <c r="A112" s="176"/>
      <c r="B112" s="176"/>
      <c r="C112" s="176"/>
      <c r="D112" s="176"/>
      <c r="E112" s="176"/>
      <c r="F112" s="176"/>
      <c r="G112" s="176"/>
      <c r="H112" s="276"/>
      <c r="I112" s="276"/>
      <c r="J112" s="276"/>
      <c r="K112" s="278"/>
      <c r="L112" s="278"/>
      <c r="M112" s="278"/>
      <c r="N112" s="278"/>
      <c r="O112" s="278"/>
      <c r="P112" s="278"/>
      <c r="Q112" s="278"/>
      <c r="R112" s="278"/>
      <c r="S112" s="278"/>
      <c r="T112" s="278"/>
      <c r="U112" s="278"/>
      <c r="V112" s="278"/>
      <c r="W112" s="158"/>
      <c r="X112" s="158"/>
      <c r="Y112" s="158"/>
    </row>
    <row r="113" spans="1:25" ht="13.5" thickBot="1">
      <c r="A113" s="176"/>
      <c r="B113" s="176"/>
      <c r="C113" s="176"/>
      <c r="D113" s="176"/>
      <c r="E113" s="176"/>
      <c r="F113" s="176"/>
      <c r="G113" s="176"/>
      <c r="H113" s="276"/>
      <c r="I113" s="276"/>
      <c r="J113" s="276"/>
      <c r="K113" s="278"/>
      <c r="L113" s="278"/>
      <c r="M113" s="278"/>
      <c r="N113" s="278"/>
      <c r="O113" s="278"/>
      <c r="P113" s="278" t="s">
        <v>416</v>
      </c>
      <c r="Q113" s="278"/>
      <c r="R113" s="278"/>
      <c r="S113" s="278"/>
      <c r="T113" s="278"/>
      <c r="U113" s="278"/>
      <c r="V113" s="294">
        <f>V109*V111</f>
        <v>-136.01260634542228</v>
      </c>
      <c r="W113" s="158"/>
      <c r="X113" s="158"/>
      <c r="Y113" s="158"/>
    </row>
    <row r="114" spans="1:25" ht="13.5" thickTop="1">
      <c r="A114" s="176"/>
      <c r="B114" s="176"/>
      <c r="C114" s="176"/>
      <c r="D114" s="176"/>
      <c r="E114" s="176"/>
      <c r="F114" s="176"/>
      <c r="G114" s="176"/>
      <c r="H114" s="276"/>
      <c r="I114" s="276"/>
      <c r="J114" s="276"/>
      <c r="K114" s="278"/>
      <c r="L114" s="278"/>
      <c r="M114" s="278"/>
      <c r="N114" s="278"/>
      <c r="O114" s="278"/>
      <c r="P114" s="278"/>
      <c r="Q114" s="278"/>
      <c r="R114" s="278"/>
      <c r="S114" s="278"/>
      <c r="T114" s="278"/>
      <c r="U114" s="278"/>
      <c r="V114" s="278"/>
      <c r="W114" s="158"/>
      <c r="X114" s="158"/>
      <c r="Y114" s="158"/>
    </row>
    <row r="115" spans="1:25">
      <c r="A115" s="29"/>
      <c r="B115" s="42"/>
      <c r="C115" s="42"/>
      <c r="D115" s="45"/>
      <c r="E115" s="45"/>
      <c r="F115" s="45"/>
      <c r="G115" s="45"/>
      <c r="H115" s="45"/>
      <c r="I115" s="42"/>
      <c r="J115" s="177"/>
      <c r="L115" s="29"/>
      <c r="P115" s="10"/>
    </row>
    <row r="116" spans="1:25">
      <c r="A116" s="29"/>
      <c r="B116" s="42"/>
      <c r="C116" s="42"/>
      <c r="D116" s="45"/>
      <c r="E116" s="45"/>
      <c r="F116" s="45"/>
      <c r="G116" s="45"/>
      <c r="H116" s="45"/>
      <c r="I116" s="42"/>
      <c r="J116" s="177"/>
      <c r="L116" s="29"/>
      <c r="N116" s="11">
        <v>2017</v>
      </c>
      <c r="P116" s="10"/>
      <c r="R116" s="193">
        <v>2018</v>
      </c>
    </row>
    <row r="117" spans="1:25">
      <c r="A117" s="29"/>
      <c r="B117" s="167" t="s">
        <v>424</v>
      </c>
      <c r="C117" s="42"/>
      <c r="D117" s="45"/>
      <c r="E117" s="45"/>
      <c r="F117" s="45"/>
      <c r="G117" s="45"/>
      <c r="H117" s="45"/>
      <c r="I117" s="42"/>
      <c r="J117" s="177"/>
      <c r="L117" s="29"/>
      <c r="N117" s="88">
        <f>-V113</f>
        <v>136.01260634542228</v>
      </c>
      <c r="P117" s="10"/>
      <c r="R117" s="45">
        <f>-V113</f>
        <v>136.01260634542228</v>
      </c>
    </row>
    <row r="118" spans="1:25">
      <c r="A118" s="29"/>
      <c r="B118" s="167" t="s">
        <v>468</v>
      </c>
      <c r="C118" s="42"/>
      <c r="D118" s="45"/>
      <c r="E118" s="45"/>
      <c r="F118" s="45"/>
      <c r="G118" s="45"/>
      <c r="H118" s="45"/>
      <c r="I118" s="42"/>
      <c r="J118" s="177"/>
      <c r="L118" s="29"/>
      <c r="N118" s="196">
        <f>-N117*0.38575</f>
        <v>-52.466862897746644</v>
      </c>
      <c r="P118" s="10"/>
      <c r="R118" s="198">
        <f>-R117*0.38575</f>
        <v>-52.466862897746644</v>
      </c>
    </row>
    <row r="119" spans="1:25">
      <c r="A119" s="29"/>
      <c r="B119" s="167" t="s">
        <v>426</v>
      </c>
      <c r="C119" s="42"/>
      <c r="D119" s="45"/>
      <c r="E119" s="45"/>
      <c r="F119" s="45"/>
      <c r="G119" s="45"/>
      <c r="H119" s="45"/>
      <c r="I119" s="42"/>
      <c r="J119" s="177"/>
      <c r="L119" s="29"/>
      <c r="N119" s="88">
        <f>SUM(N117:N118)</f>
        <v>83.545743447675648</v>
      </c>
      <c r="P119" s="10"/>
      <c r="R119" s="45">
        <f>SUM(R117:R118)</f>
        <v>83.545743447675648</v>
      </c>
    </row>
    <row r="120" spans="1:25">
      <c r="A120" s="29"/>
      <c r="B120" s="167"/>
      <c r="C120" s="42"/>
      <c r="D120" s="45"/>
      <c r="E120" s="45"/>
      <c r="F120" s="45"/>
      <c r="G120" s="45"/>
      <c r="H120" s="45"/>
      <c r="I120" s="42"/>
      <c r="J120" s="177"/>
      <c r="L120" s="29"/>
      <c r="N120" s="88"/>
      <c r="P120" s="10"/>
      <c r="R120" s="45"/>
    </row>
    <row r="121" spans="1:25">
      <c r="A121" s="29"/>
      <c r="B121" s="167" t="s">
        <v>425</v>
      </c>
      <c r="C121" s="42"/>
      <c r="D121" s="45"/>
      <c r="E121" s="45"/>
      <c r="F121" s="45"/>
      <c r="G121" s="45"/>
      <c r="H121" s="45"/>
      <c r="I121" s="42"/>
      <c r="J121" s="177"/>
      <c r="L121" s="29"/>
      <c r="N121" s="88">
        <f>N119/2</f>
        <v>41.772871723837824</v>
      </c>
      <c r="P121" s="10"/>
      <c r="R121" s="45">
        <f>N119+(R119/2)</f>
        <v>125.31861517151347</v>
      </c>
    </row>
    <row r="122" spans="1:25">
      <c r="A122" s="29"/>
      <c r="B122" s="167" t="s">
        <v>422</v>
      </c>
      <c r="C122" s="42"/>
      <c r="D122" s="45"/>
      <c r="E122" s="45"/>
      <c r="F122" s="45"/>
      <c r="G122" s="45"/>
      <c r="H122" s="259"/>
      <c r="I122" s="42"/>
      <c r="J122" s="177"/>
      <c r="L122" s="29"/>
      <c r="N122" s="295">
        <f>'Exh. LK-28'!J19</f>
        <v>9.8804316192411479E-2</v>
      </c>
      <c r="P122" s="10"/>
      <c r="R122" s="260">
        <f>'Exh. LK-29'!J19</f>
        <v>9.9784915778226832E-2</v>
      </c>
    </row>
    <row r="123" spans="1:25" ht="13.5" thickBot="1">
      <c r="A123" s="29"/>
      <c r="B123" s="167" t="s">
        <v>423</v>
      </c>
      <c r="C123" s="42"/>
      <c r="D123" s="45"/>
      <c r="E123" s="45"/>
      <c r="F123" s="45"/>
      <c r="G123" s="45"/>
      <c r="H123" s="45"/>
      <c r="I123" s="42"/>
      <c r="J123" s="177"/>
      <c r="L123" s="29"/>
      <c r="N123" s="296">
        <f>N121*N122</f>
        <v>4.1273400260671167</v>
      </c>
      <c r="P123" s="10"/>
      <c r="R123" s="261">
        <f>R121*R122</f>
        <v>12.504907460333492</v>
      </c>
    </row>
    <row r="124" spans="1:25" ht="13.5" thickTop="1">
      <c r="A124" s="29"/>
      <c r="B124" s="42"/>
      <c r="C124" s="42"/>
      <c r="D124" s="45"/>
      <c r="E124" s="45"/>
      <c r="F124" s="45"/>
      <c r="G124" s="45"/>
      <c r="H124" s="45"/>
      <c r="I124" s="42"/>
      <c r="J124" s="177"/>
      <c r="L124" s="29"/>
      <c r="N124" s="88"/>
      <c r="P124" s="10"/>
    </row>
    <row r="125" spans="1:25" ht="13.5" thickBot="1">
      <c r="A125" s="29"/>
      <c r="B125" s="170" t="s">
        <v>427</v>
      </c>
      <c r="C125" s="42"/>
      <c r="D125" s="45"/>
      <c r="E125" s="45"/>
      <c r="F125" s="45"/>
      <c r="G125" s="45"/>
      <c r="H125" s="45"/>
      <c r="I125" s="42"/>
      <c r="J125" s="177"/>
      <c r="L125" s="29"/>
      <c r="N125" s="197">
        <f>V113+N123</f>
        <v>-131.88526631935517</v>
      </c>
      <c r="P125" s="10"/>
      <c r="R125" s="209">
        <f>V113+R123</f>
        <v>-123.50769888508879</v>
      </c>
    </row>
    <row r="126" spans="1:25" ht="13.5" thickTop="1">
      <c r="A126" s="29"/>
      <c r="B126" s="42"/>
      <c r="C126" s="42"/>
      <c r="D126" s="45"/>
      <c r="E126" s="45"/>
      <c r="F126" s="45"/>
      <c r="G126" s="45"/>
      <c r="H126" s="45"/>
      <c r="I126" s="42"/>
      <c r="J126" s="42"/>
      <c r="L126" s="29"/>
      <c r="N126" s="88"/>
    </row>
    <row r="127" spans="1:25">
      <c r="B127" s="26"/>
      <c r="C127" s="26"/>
      <c r="D127" s="26"/>
      <c r="E127" s="26"/>
      <c r="F127" s="26"/>
      <c r="G127" s="26"/>
      <c r="H127" s="26"/>
      <c r="I127" s="26"/>
      <c r="J127" s="26"/>
      <c r="N127" s="88"/>
    </row>
    <row r="128" spans="1:25">
      <c r="B128" s="26"/>
      <c r="C128" s="26"/>
      <c r="D128" s="26"/>
      <c r="E128" s="26"/>
      <c r="F128" s="26"/>
      <c r="G128" s="26"/>
      <c r="H128" s="26"/>
      <c r="I128" s="26"/>
      <c r="J128" s="26"/>
    </row>
  </sheetData>
  <mergeCells count="5">
    <mergeCell ref="A1:V1"/>
    <mergeCell ref="A2:V2"/>
    <mergeCell ref="A3:V3"/>
    <mergeCell ref="A4:V4"/>
    <mergeCell ref="A5:V5"/>
  </mergeCells>
  <pageMargins left="0.39" right="0.25" top="1" bottom="1" header="0.5" footer="0.5"/>
  <pageSetup orientation="landscape" r:id="rId1"/>
  <headerFooter alignWithMargins="0">
    <oddHeader>&amp;R&amp;8Docket No. 160021-EI, &amp;"Arial,Italic"et al&amp;"Arial,Regular".
FPL POD No. 5
Attachment A
Page &amp;P of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8"/>
  <sheetViews>
    <sheetView tabSelected="1" view="pageLayout" zoomScaleNormal="100" zoomScaleSheetLayoutView="100" workbookViewId="0">
      <selection activeCell="G9" sqref="G9"/>
    </sheetView>
  </sheetViews>
  <sheetFormatPr defaultRowHeight="12.75"/>
  <cols>
    <col min="1" max="1" width="1.85546875" customWidth="1"/>
    <col min="2" max="2" width="19.28515625" customWidth="1"/>
    <col min="3" max="3" width="2.140625" customWidth="1"/>
    <col min="4" max="4" width="35.42578125" customWidth="1"/>
    <col min="5" max="5" width="2.140625" customWidth="1"/>
    <col min="6" max="6" width="9.85546875" customWidth="1"/>
    <col min="7" max="7" width="2.140625" customWidth="1"/>
    <col min="8" max="8" width="12.7109375" customWidth="1"/>
    <col min="9" max="9" width="2.140625" customWidth="1"/>
    <col min="10" max="10" width="10.42578125" customWidth="1"/>
    <col min="11" max="11" width="2.140625" customWidth="1"/>
    <col min="12" max="12" width="8.28515625" customWidth="1"/>
    <col min="13" max="13" width="2.28515625" customWidth="1"/>
    <col min="14" max="14" width="10.140625" customWidth="1"/>
    <col min="15" max="15" width="2.140625" customWidth="1"/>
    <col min="16" max="16" width="10.140625" customWidth="1"/>
    <col min="17" max="17" width="2.140625" customWidth="1"/>
    <col min="18" max="18" width="8.7109375" customWidth="1"/>
    <col min="19" max="19" width="2.140625" customWidth="1"/>
    <col min="20" max="20" width="8.5703125" customWidth="1"/>
    <col min="21" max="21" width="2.140625" customWidth="1"/>
    <col min="22" max="22" width="8.85546875" customWidth="1"/>
    <col min="23" max="23" width="2.140625" customWidth="1"/>
    <col min="24" max="24" width="10.5703125" customWidth="1"/>
  </cols>
  <sheetData>
    <row r="1" spans="1:27">
      <c r="A1" s="374" t="s">
        <v>33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  <c r="X1" s="374"/>
    </row>
    <row r="2" spans="1:27">
      <c r="A2" s="375" t="s">
        <v>514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375"/>
      <c r="W2" s="375"/>
      <c r="X2" s="375"/>
    </row>
    <row r="3" spans="1:27">
      <c r="A3" s="375" t="s">
        <v>65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V3" s="375"/>
      <c r="W3" s="375"/>
      <c r="X3" s="375"/>
    </row>
    <row r="4" spans="1:27">
      <c r="A4" s="375" t="s">
        <v>373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V4" s="375"/>
      <c r="W4" s="375"/>
      <c r="X4" s="375"/>
    </row>
    <row r="5" spans="1:27">
      <c r="A5" s="374" t="s">
        <v>19</v>
      </c>
      <c r="B5" s="374"/>
      <c r="C5" s="374"/>
      <c r="D5" s="374"/>
      <c r="E5" s="374"/>
      <c r="F5" s="374"/>
      <c r="G5" s="374"/>
      <c r="H5" s="374"/>
      <c r="I5" s="374"/>
      <c r="J5" s="374"/>
      <c r="K5" s="374"/>
      <c r="L5" s="374"/>
      <c r="M5" s="374"/>
      <c r="N5" s="374"/>
      <c r="O5" s="374"/>
      <c r="P5" s="374"/>
      <c r="Q5" s="374"/>
      <c r="R5" s="374"/>
      <c r="S5" s="374"/>
      <c r="T5" s="374"/>
      <c r="U5" s="374"/>
      <c r="V5" s="374"/>
      <c r="W5" s="374"/>
      <c r="X5" s="374"/>
    </row>
    <row r="6" spans="1:27">
      <c r="A6" s="257"/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</row>
    <row r="7" spans="1:27">
      <c r="A7" s="166" t="s">
        <v>473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 t="s">
        <v>481</v>
      </c>
      <c r="O7" s="176"/>
      <c r="P7" s="176" t="s">
        <v>512</v>
      </c>
      <c r="Q7" s="176"/>
      <c r="R7" s="176"/>
      <c r="S7" s="176"/>
      <c r="T7" s="176"/>
      <c r="U7" s="176"/>
      <c r="V7" s="176" t="s">
        <v>300</v>
      </c>
      <c r="W7" s="176"/>
      <c r="X7" s="176" t="s">
        <v>300</v>
      </c>
      <c r="Y7" s="158"/>
      <c r="Z7" s="158"/>
      <c r="AA7" s="158"/>
    </row>
    <row r="8" spans="1:27">
      <c r="A8" s="166"/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55" t="s">
        <v>479</v>
      </c>
      <c r="O8" s="176"/>
      <c r="P8" s="155" t="s">
        <v>302</v>
      </c>
      <c r="Q8" s="176"/>
      <c r="R8" s="176" t="s">
        <v>300</v>
      </c>
      <c r="S8" s="176"/>
      <c r="T8" s="155"/>
      <c r="U8" s="176"/>
      <c r="V8" s="155" t="s">
        <v>479</v>
      </c>
      <c r="W8" s="176"/>
      <c r="X8" s="176" t="s">
        <v>479</v>
      </c>
      <c r="Y8" s="158"/>
      <c r="Z8" s="158"/>
      <c r="AA8" s="158"/>
    </row>
    <row r="9" spans="1:27">
      <c r="A9" s="166"/>
      <c r="B9" s="176"/>
      <c r="C9" s="176"/>
      <c r="D9" s="176"/>
      <c r="E9" s="176"/>
      <c r="F9" s="176" t="s">
        <v>478</v>
      </c>
      <c r="G9" s="176"/>
      <c r="H9" s="176" t="s">
        <v>486</v>
      </c>
      <c r="I9" s="176"/>
      <c r="J9" s="176"/>
      <c r="K9" s="176"/>
      <c r="L9" s="176" t="s">
        <v>477</v>
      </c>
      <c r="M9" s="176"/>
      <c r="N9" s="155" t="s">
        <v>480</v>
      </c>
      <c r="O9" s="176"/>
      <c r="P9" s="155" t="s">
        <v>513</v>
      </c>
      <c r="Q9" s="176"/>
      <c r="R9" s="176" t="s">
        <v>486</v>
      </c>
      <c r="S9" s="176"/>
      <c r="T9" s="176" t="s">
        <v>300</v>
      </c>
      <c r="U9" s="176"/>
      <c r="V9" s="155" t="s">
        <v>480</v>
      </c>
      <c r="W9" s="176"/>
      <c r="X9" s="176" t="s">
        <v>480</v>
      </c>
      <c r="Y9" s="158"/>
      <c r="Z9" s="158"/>
      <c r="AA9" s="158"/>
    </row>
    <row r="10" spans="1:27">
      <c r="A10" s="176"/>
      <c r="B10" s="176"/>
      <c r="C10" s="176"/>
      <c r="D10" s="169" t="s">
        <v>483</v>
      </c>
      <c r="E10" s="176"/>
      <c r="F10" s="169" t="s">
        <v>5</v>
      </c>
      <c r="G10" s="176"/>
      <c r="H10" s="169" t="s">
        <v>480</v>
      </c>
      <c r="I10" s="176"/>
      <c r="J10" s="169" t="s">
        <v>487</v>
      </c>
      <c r="K10" s="176"/>
      <c r="L10" s="169" t="s">
        <v>311</v>
      </c>
      <c r="M10" s="158"/>
      <c r="N10" s="190" t="s">
        <v>475</v>
      </c>
      <c r="O10" s="158"/>
      <c r="P10" s="190" t="s">
        <v>24</v>
      </c>
      <c r="Q10" s="158"/>
      <c r="R10" s="169" t="s">
        <v>480</v>
      </c>
      <c r="S10" s="158"/>
      <c r="T10" s="190" t="s">
        <v>487</v>
      </c>
      <c r="U10" s="158"/>
      <c r="V10" s="190" t="s">
        <v>475</v>
      </c>
      <c r="W10" s="158"/>
      <c r="X10" s="169" t="s">
        <v>301</v>
      </c>
      <c r="Y10" s="158"/>
      <c r="Z10" s="158"/>
      <c r="AA10" s="158"/>
    </row>
    <row r="11" spans="1:27">
      <c r="A11" s="176"/>
      <c r="B11" s="166" t="s">
        <v>470</v>
      </c>
      <c r="C11" s="176"/>
      <c r="D11" s="166" t="s">
        <v>476</v>
      </c>
      <c r="E11" s="176"/>
      <c r="F11" s="276">
        <v>29.161926000000001</v>
      </c>
      <c r="G11" s="176"/>
      <c r="H11" s="276">
        <v>7.7326180000000004</v>
      </c>
      <c r="I11" s="276"/>
      <c r="J11" s="276">
        <f>F11-H11</f>
        <v>21.429307999999999</v>
      </c>
      <c r="K11" s="276"/>
      <c r="L11" s="275">
        <v>14.72</v>
      </c>
      <c r="M11" s="285"/>
      <c r="N11" s="285">
        <f>J11/L11</f>
        <v>1.4557953804347825</v>
      </c>
      <c r="O11" s="285"/>
      <c r="P11" s="286">
        <f>F11/F13</f>
        <v>0.43703884375791713</v>
      </c>
      <c r="Q11" s="285"/>
      <c r="R11" s="285">
        <f>H13*P11</f>
        <v>7.2503271358534995</v>
      </c>
      <c r="S11" s="285"/>
      <c r="T11" s="285">
        <f>F11-R11</f>
        <v>21.911598864146502</v>
      </c>
      <c r="U11" s="285"/>
      <c r="V11" s="285">
        <f>T11/L11</f>
        <v>1.488559705444735</v>
      </c>
      <c r="W11" s="285"/>
      <c r="X11" s="285">
        <f>V11-N11</f>
        <v>3.2764325009952522E-2</v>
      </c>
      <c r="Y11" s="158"/>
      <c r="Z11" s="158"/>
      <c r="AA11" s="158"/>
    </row>
    <row r="12" spans="1:27">
      <c r="A12" s="176"/>
      <c r="B12" s="166" t="s">
        <v>470</v>
      </c>
      <c r="C12" s="176"/>
      <c r="D12" s="166" t="s">
        <v>485</v>
      </c>
      <c r="E12" s="176"/>
      <c r="F12" s="279">
        <v>37.564239000000001</v>
      </c>
      <c r="G12" s="176"/>
      <c r="H12" s="279">
        <v>8.8570449999999994</v>
      </c>
      <c r="I12" s="276"/>
      <c r="J12" s="279">
        <f>F12-H12</f>
        <v>28.707194000000001</v>
      </c>
      <c r="K12" s="276"/>
      <c r="L12" s="280">
        <v>6.67</v>
      </c>
      <c r="M12" s="285"/>
      <c r="N12" s="288">
        <f>J12/L12</f>
        <v>4.3039271364317839</v>
      </c>
      <c r="O12" s="285"/>
      <c r="P12" s="289">
        <f>F12/F13</f>
        <v>0.56296115624208276</v>
      </c>
      <c r="Q12" s="285"/>
      <c r="R12" s="285">
        <f>H13*P12</f>
        <v>9.3393358641465003</v>
      </c>
      <c r="S12" s="285"/>
      <c r="T12" s="288">
        <f>F12-R12</f>
        <v>28.224903135853502</v>
      </c>
      <c r="U12" s="285"/>
      <c r="V12" s="288">
        <f>T12/L12</f>
        <v>4.2316196605477518</v>
      </c>
      <c r="W12" s="285"/>
      <c r="X12" s="288">
        <f>V12-N12</f>
        <v>-7.230747588403208E-2</v>
      </c>
      <c r="Y12" s="158"/>
      <c r="Z12" s="158"/>
      <c r="AA12" s="158"/>
    </row>
    <row r="13" spans="1:27">
      <c r="A13" s="176"/>
      <c r="B13" s="166" t="s">
        <v>482</v>
      </c>
      <c r="C13" s="176"/>
      <c r="D13" s="176" t="s">
        <v>484</v>
      </c>
      <c r="E13" s="176"/>
      <c r="F13" s="276">
        <f>SUM(F11:F12)</f>
        <v>66.726165000000009</v>
      </c>
      <c r="G13" s="176"/>
      <c r="H13" s="276">
        <f>SUM(H11:H12)</f>
        <v>16.589663000000002</v>
      </c>
      <c r="I13" s="276"/>
      <c r="J13" s="276">
        <f>SUM(J11:J12)</f>
        <v>50.136502</v>
      </c>
      <c r="K13" s="276"/>
      <c r="L13" s="275"/>
      <c r="M13" s="285"/>
      <c r="N13" s="276">
        <f>SUM(N11:N12)</f>
        <v>5.7597225168665664</v>
      </c>
      <c r="O13" s="285"/>
      <c r="P13" s="297">
        <f>SUM(P11:P12)</f>
        <v>0.99999999999999989</v>
      </c>
      <c r="Q13" s="285"/>
      <c r="R13" s="290"/>
      <c r="S13" s="285"/>
      <c r="T13" s="276">
        <f>SUM(T11:T12)</f>
        <v>50.136502000000007</v>
      </c>
      <c r="U13" s="285"/>
      <c r="V13" s="298">
        <f>SUM(V11:V12)</f>
        <v>5.7201793659924869</v>
      </c>
      <c r="W13" s="285"/>
      <c r="X13" s="276">
        <f>SUM(X11:X12)</f>
        <v>-3.9543150874079558E-2</v>
      </c>
      <c r="Y13" s="158"/>
      <c r="Z13" s="367"/>
      <c r="AA13" s="158"/>
    </row>
    <row r="14" spans="1:27">
      <c r="A14" s="176"/>
      <c r="B14" s="166"/>
      <c r="C14" s="176"/>
      <c r="D14" s="176"/>
      <c r="E14" s="176"/>
      <c r="F14" s="276"/>
      <c r="G14" s="176"/>
      <c r="H14" s="276"/>
      <c r="I14" s="276"/>
      <c r="J14" s="276"/>
      <c r="K14" s="276"/>
      <c r="L14" s="275"/>
      <c r="M14" s="285"/>
      <c r="N14" s="291"/>
      <c r="O14" s="285"/>
      <c r="P14" s="285"/>
      <c r="Q14" s="285"/>
      <c r="R14" s="285"/>
      <c r="S14" s="285"/>
      <c r="T14" s="285"/>
      <c r="U14" s="285"/>
      <c r="V14" s="285"/>
      <c r="W14" s="285"/>
      <c r="X14" s="285"/>
      <c r="Y14" s="158"/>
      <c r="Z14" s="158"/>
      <c r="AA14" s="158"/>
    </row>
    <row r="15" spans="1:27">
      <c r="A15" s="176"/>
      <c r="B15" s="166" t="s">
        <v>471</v>
      </c>
      <c r="C15" s="176"/>
      <c r="D15" s="166" t="s">
        <v>476</v>
      </c>
      <c r="E15" s="176"/>
      <c r="F15" s="276">
        <v>130.963584</v>
      </c>
      <c r="G15" s="176"/>
      <c r="H15" s="276">
        <v>56.698998000000003</v>
      </c>
      <c r="I15" s="276"/>
      <c r="J15" s="276">
        <f>F15-H15</f>
        <v>74.264585999999994</v>
      </c>
      <c r="K15" s="276"/>
      <c r="L15" s="275">
        <v>14.36</v>
      </c>
      <c r="M15" s="285"/>
      <c r="N15" s="285">
        <f>J15/L15</f>
        <v>5.1716285515320335</v>
      </c>
      <c r="O15" s="285"/>
      <c r="P15" s="286">
        <f>F15/F17</f>
        <v>0.70614602576164365</v>
      </c>
      <c r="Q15" s="285"/>
      <c r="R15" s="285">
        <f>H17*P15</f>
        <v>47.592810778340571</v>
      </c>
      <c r="S15" s="285"/>
      <c r="T15" s="285">
        <f>F15-R15</f>
        <v>83.37077322165942</v>
      </c>
      <c r="U15" s="285"/>
      <c r="V15" s="285">
        <f>T15/L15</f>
        <v>5.8057641519261436</v>
      </c>
      <c r="W15" s="285"/>
      <c r="X15" s="285">
        <f>V15-N15</f>
        <v>0.6341356003941101</v>
      </c>
      <c r="Y15" s="158"/>
      <c r="Z15" s="158"/>
      <c r="AA15" s="158"/>
    </row>
    <row r="16" spans="1:27">
      <c r="A16" s="176"/>
      <c r="B16" s="166" t="s">
        <v>471</v>
      </c>
      <c r="C16" s="176"/>
      <c r="D16" s="166" t="s">
        <v>485</v>
      </c>
      <c r="E16" s="176"/>
      <c r="F16" s="279">
        <v>54.498882999999999</v>
      </c>
      <c r="G16" s="176"/>
      <c r="H16" s="279">
        <v>10.698975000000001</v>
      </c>
      <c r="I16" s="276"/>
      <c r="J16" s="279">
        <f>F16-H16</f>
        <v>43.799908000000002</v>
      </c>
      <c r="K16" s="276"/>
      <c r="L16" s="280">
        <v>6.41</v>
      </c>
      <c r="M16" s="285"/>
      <c r="N16" s="288">
        <f>J16/L16</f>
        <v>6.8330589703588149</v>
      </c>
      <c r="O16" s="285"/>
      <c r="P16" s="289">
        <f>F16/F17</f>
        <v>0.29385397423835624</v>
      </c>
      <c r="Q16" s="285"/>
      <c r="R16" s="285">
        <f>H17*P16</f>
        <v>19.805162221659433</v>
      </c>
      <c r="S16" s="285"/>
      <c r="T16" s="288">
        <f>F16-R16</f>
        <v>34.693720778340563</v>
      </c>
      <c r="U16" s="285"/>
      <c r="V16" s="288">
        <f>T16/L16</f>
        <v>5.4124369388986837</v>
      </c>
      <c r="W16" s="285"/>
      <c r="X16" s="288">
        <f>V16-N16</f>
        <v>-1.4206220314601312</v>
      </c>
      <c r="Y16" s="158"/>
      <c r="Z16" s="158"/>
      <c r="AA16" s="158"/>
    </row>
    <row r="17" spans="1:27">
      <c r="A17" s="176"/>
      <c r="B17" s="166" t="s">
        <v>482</v>
      </c>
      <c r="C17" s="176"/>
      <c r="D17" s="176" t="s">
        <v>484</v>
      </c>
      <c r="E17" s="176"/>
      <c r="F17" s="276">
        <f>SUM(F15:F16)</f>
        <v>185.462467</v>
      </c>
      <c r="G17" s="176"/>
      <c r="H17" s="276">
        <f>SUM(H15:H16)</f>
        <v>67.397973000000007</v>
      </c>
      <c r="I17" s="276"/>
      <c r="J17" s="276">
        <f>SUM(J15:J16)</f>
        <v>118.064494</v>
      </c>
      <c r="K17" s="276"/>
      <c r="L17" s="275"/>
      <c r="M17" s="285"/>
      <c r="N17" s="276">
        <f>SUM(N15:N16)</f>
        <v>12.004687521890848</v>
      </c>
      <c r="O17" s="285"/>
      <c r="P17" s="297">
        <f>SUM(P15:P16)</f>
        <v>0.99999999999999989</v>
      </c>
      <c r="Q17" s="285"/>
      <c r="R17" s="290"/>
      <c r="S17" s="285"/>
      <c r="T17" s="276">
        <f>SUM(T15:T16)</f>
        <v>118.06449399999998</v>
      </c>
      <c r="U17" s="285"/>
      <c r="V17" s="298">
        <f>SUM(V15:V16)</f>
        <v>11.218201090824827</v>
      </c>
      <c r="W17" s="285"/>
      <c r="X17" s="276">
        <f>SUM(X15:X16)</f>
        <v>-0.78648643106602112</v>
      </c>
      <c r="Y17" s="158"/>
      <c r="Z17" s="367"/>
      <c r="AA17" s="158"/>
    </row>
    <row r="18" spans="1:27">
      <c r="A18" s="176"/>
      <c r="B18" s="166"/>
      <c r="C18" s="176"/>
      <c r="D18" s="176"/>
      <c r="E18" s="176"/>
      <c r="F18" s="176"/>
      <c r="G18" s="176"/>
      <c r="H18" s="276"/>
      <c r="I18" s="276"/>
      <c r="J18" s="276"/>
      <c r="K18" s="276"/>
      <c r="L18" s="276"/>
      <c r="M18" s="285"/>
      <c r="N18" s="285"/>
      <c r="O18" s="285"/>
      <c r="P18" s="285"/>
      <c r="Q18" s="285"/>
      <c r="R18" s="285"/>
      <c r="S18" s="285"/>
      <c r="T18" s="285"/>
      <c r="U18" s="285"/>
      <c r="V18" s="285"/>
      <c r="W18" s="285"/>
      <c r="X18" s="285"/>
      <c r="Y18" s="158"/>
      <c r="Z18" s="158"/>
      <c r="AA18" s="158"/>
    </row>
    <row r="19" spans="1:27">
      <c r="A19" s="176"/>
      <c r="B19" s="166" t="s">
        <v>472</v>
      </c>
      <c r="C19" s="176"/>
      <c r="D19" s="166" t="s">
        <v>476</v>
      </c>
      <c r="E19" s="176"/>
      <c r="F19" s="276">
        <v>130.296359</v>
      </c>
      <c r="G19" s="176"/>
      <c r="H19" s="276">
        <v>36.892592</v>
      </c>
      <c r="I19" s="276"/>
      <c r="J19" s="276">
        <f>F19-H19</f>
        <v>93.403766999999988</v>
      </c>
      <c r="K19" s="276"/>
      <c r="L19" s="275">
        <v>14.37</v>
      </c>
      <c r="M19" s="285"/>
      <c r="N19" s="285">
        <f>J19/L19</f>
        <v>6.4999141962421705</v>
      </c>
      <c r="O19" s="285"/>
      <c r="P19" s="286">
        <f>F19/F21</f>
        <v>0.84214929175042852</v>
      </c>
      <c r="Q19" s="285"/>
      <c r="R19" s="285">
        <f>H21*P19</f>
        <v>32.792875714712977</v>
      </c>
      <c r="S19" s="285"/>
      <c r="T19" s="285">
        <f>F19-R19</f>
        <v>97.503483285287018</v>
      </c>
      <c r="U19" s="285"/>
      <c r="V19" s="285">
        <f>T19/L19</f>
        <v>6.785211084571122</v>
      </c>
      <c r="W19" s="285"/>
      <c r="X19" s="285">
        <f>V19-N19</f>
        <v>0.2852968883289515</v>
      </c>
      <c r="Y19" s="158"/>
      <c r="Z19" s="158"/>
      <c r="AA19" s="158"/>
    </row>
    <row r="20" spans="1:27">
      <c r="A20" s="176"/>
      <c r="B20" s="166" t="s">
        <v>472</v>
      </c>
      <c r="C20" s="176"/>
      <c r="D20" s="166" t="s">
        <v>485</v>
      </c>
      <c r="E20" s="176"/>
      <c r="F20" s="279">
        <v>24.422478000000002</v>
      </c>
      <c r="G20" s="176"/>
      <c r="H20" s="279">
        <v>2.0469119999999998</v>
      </c>
      <c r="I20" s="276"/>
      <c r="J20" s="279">
        <f>F20-H20</f>
        <v>22.375566000000003</v>
      </c>
      <c r="K20" s="276"/>
      <c r="L20" s="280">
        <v>6.92</v>
      </c>
      <c r="M20" s="285"/>
      <c r="N20" s="288">
        <f>J20/L20</f>
        <v>3.2334632947976885</v>
      </c>
      <c r="O20" s="285"/>
      <c r="P20" s="289">
        <f>F20/F21</f>
        <v>0.15785070824957145</v>
      </c>
      <c r="Q20" s="285"/>
      <c r="R20" s="285">
        <f>H21*P20</f>
        <v>6.1466282852870204</v>
      </c>
      <c r="S20" s="285"/>
      <c r="T20" s="288">
        <f>F20-R20</f>
        <v>18.275849714712983</v>
      </c>
      <c r="U20" s="285"/>
      <c r="V20" s="288">
        <f>T20/L20</f>
        <v>2.6410187449007201</v>
      </c>
      <c r="W20" s="285"/>
      <c r="X20" s="288">
        <f>V20-N20</f>
        <v>-0.59244454989696838</v>
      </c>
      <c r="Y20" s="158"/>
      <c r="Z20" s="158"/>
      <c r="AA20" s="158"/>
    </row>
    <row r="21" spans="1:27">
      <c r="A21" s="176"/>
      <c r="B21" s="166" t="s">
        <v>482</v>
      </c>
      <c r="C21" s="176"/>
      <c r="D21" s="176" t="s">
        <v>484</v>
      </c>
      <c r="E21" s="176"/>
      <c r="F21" s="276">
        <f>SUM(F19:F20)</f>
        <v>154.71883700000001</v>
      </c>
      <c r="G21" s="176"/>
      <c r="H21" s="276">
        <f>SUM(H19:H20)</f>
        <v>38.939503999999999</v>
      </c>
      <c r="I21" s="276"/>
      <c r="J21" s="276">
        <f>SUM(J19:J20)</f>
        <v>115.77933299999999</v>
      </c>
      <c r="K21" s="276"/>
      <c r="L21" s="275"/>
      <c r="M21" s="285"/>
      <c r="N21" s="276">
        <f>SUM(N19:N20)</f>
        <v>9.7333774910398585</v>
      </c>
      <c r="O21" s="285"/>
      <c r="P21" s="297">
        <f>SUM(P19:P20)</f>
        <v>1</v>
      </c>
      <c r="Q21" s="285"/>
      <c r="R21" s="290"/>
      <c r="S21" s="285"/>
      <c r="T21" s="276">
        <f>SUM(T19:T20)</f>
        <v>115.77933300000001</v>
      </c>
      <c r="U21" s="285"/>
      <c r="V21" s="298">
        <f>SUM(V19:V20)</f>
        <v>9.4262298294718416</v>
      </c>
      <c r="W21" s="285"/>
      <c r="X21" s="276">
        <f>SUM(X19:X20)</f>
        <v>-0.30714766156801687</v>
      </c>
      <c r="Y21" s="158"/>
      <c r="Z21" s="367"/>
      <c r="AA21" s="158"/>
    </row>
    <row r="22" spans="1:27">
      <c r="A22" s="176"/>
      <c r="B22" s="176"/>
      <c r="C22" s="176"/>
      <c r="D22" s="176"/>
      <c r="E22" s="176"/>
      <c r="F22" s="176"/>
      <c r="G22" s="176"/>
      <c r="H22" s="276"/>
      <c r="I22" s="276"/>
      <c r="J22" s="276"/>
      <c r="K22" s="276"/>
      <c r="L22" s="276"/>
      <c r="M22" s="285"/>
      <c r="N22" s="285"/>
      <c r="O22" s="285"/>
      <c r="P22" s="285"/>
      <c r="Q22" s="285"/>
      <c r="R22" s="285"/>
      <c r="S22" s="285"/>
      <c r="T22" s="285"/>
      <c r="U22" s="285"/>
      <c r="V22" s="285"/>
      <c r="W22" s="285"/>
      <c r="X22" s="285"/>
      <c r="Y22" s="158"/>
      <c r="Z22" s="158"/>
      <c r="AA22" s="158"/>
    </row>
    <row r="23" spans="1:27">
      <c r="A23" s="176"/>
      <c r="B23" s="166" t="s">
        <v>488</v>
      </c>
      <c r="C23" s="176"/>
      <c r="D23" s="166" t="s">
        <v>476</v>
      </c>
      <c r="E23" s="176"/>
      <c r="F23" s="276">
        <v>3.9662350000000002</v>
      </c>
      <c r="G23" s="176"/>
      <c r="H23" s="276">
        <v>1.2072020000000001</v>
      </c>
      <c r="I23" s="276"/>
      <c r="J23" s="276">
        <f>F23-H23</f>
        <v>2.7590330000000001</v>
      </c>
      <c r="K23" s="276"/>
      <c r="L23" s="275">
        <v>23.12</v>
      </c>
      <c r="M23" s="285"/>
      <c r="N23" s="285">
        <f>J23/L23</f>
        <v>0.11933533737024221</v>
      </c>
      <c r="O23" s="285"/>
      <c r="P23" s="286">
        <f>F23/F25</f>
        <v>0.89981945690968679</v>
      </c>
      <c r="Q23" s="285"/>
      <c r="R23" s="285">
        <f>H25*P23</f>
        <v>1.2956545351015425</v>
      </c>
      <c r="S23" s="285"/>
      <c r="T23" s="285">
        <f>F23-R23</f>
        <v>2.6705804648984577</v>
      </c>
      <c r="U23" s="285"/>
      <c r="V23" s="285">
        <f>T23/L23</f>
        <v>0.11550953567899903</v>
      </c>
      <c r="W23" s="285"/>
      <c r="X23" s="285">
        <f>V23-N23</f>
        <v>-3.8258016912431775E-3</v>
      </c>
      <c r="Y23" s="158"/>
      <c r="Z23" s="158"/>
      <c r="AA23" s="158"/>
    </row>
    <row r="24" spans="1:27">
      <c r="A24" s="176"/>
      <c r="B24" s="166" t="s">
        <v>488</v>
      </c>
      <c r="C24" s="176"/>
      <c r="D24" s="166" t="s">
        <v>485</v>
      </c>
      <c r="E24" s="176"/>
      <c r="F24" s="279">
        <v>0.441577</v>
      </c>
      <c r="G24" s="176"/>
      <c r="H24" s="279">
        <v>0.23270299999999999</v>
      </c>
      <c r="I24" s="276"/>
      <c r="J24" s="279">
        <f>F24-H24</f>
        <v>0.208874</v>
      </c>
      <c r="K24" s="276"/>
      <c r="L24" s="280">
        <v>5.5</v>
      </c>
      <c r="M24" s="285"/>
      <c r="N24" s="288">
        <f>J24/L24</f>
        <v>3.7977090909090912E-2</v>
      </c>
      <c r="O24" s="285"/>
      <c r="P24" s="289">
        <f>F24/F25</f>
        <v>0.1001805430903133</v>
      </c>
      <c r="Q24" s="285"/>
      <c r="R24" s="285">
        <f>H25*P24</f>
        <v>0.14425046489845755</v>
      </c>
      <c r="S24" s="285"/>
      <c r="T24" s="288">
        <f>F24-R24</f>
        <v>0.29732653510154244</v>
      </c>
      <c r="U24" s="285"/>
      <c r="V24" s="288">
        <f>T24/L24</f>
        <v>5.4059370018462262E-2</v>
      </c>
      <c r="W24" s="285"/>
      <c r="X24" s="288">
        <f>V24-N24</f>
        <v>1.608227910937135E-2</v>
      </c>
      <c r="Y24" s="158"/>
      <c r="Z24" s="158"/>
      <c r="AA24" s="158"/>
    </row>
    <row r="25" spans="1:27">
      <c r="A25" s="176"/>
      <c r="B25" s="166" t="s">
        <v>482</v>
      </c>
      <c r="C25" s="176"/>
      <c r="D25" s="176" t="s">
        <v>484</v>
      </c>
      <c r="E25" s="176"/>
      <c r="F25" s="276">
        <f>SUM(F23:F24)</f>
        <v>4.4078119999999998</v>
      </c>
      <c r="G25" s="176"/>
      <c r="H25" s="276">
        <f>SUM(H23:H24)</f>
        <v>1.439905</v>
      </c>
      <c r="I25" s="276"/>
      <c r="J25" s="276">
        <f>SUM(J23:J24)</f>
        <v>2.9679070000000003</v>
      </c>
      <c r="K25" s="276"/>
      <c r="L25" s="275"/>
      <c r="M25" s="285"/>
      <c r="N25" s="276">
        <f>SUM(N23:N24)</f>
        <v>0.15731242827933312</v>
      </c>
      <c r="O25" s="285"/>
      <c r="P25" s="297">
        <f>SUM(P23:P24)</f>
        <v>1</v>
      </c>
      <c r="Q25" s="285"/>
      <c r="R25" s="290"/>
      <c r="S25" s="285"/>
      <c r="T25" s="276">
        <f>SUM(T23:T24)</f>
        <v>2.9679070000000003</v>
      </c>
      <c r="U25" s="285"/>
      <c r="V25" s="298">
        <f>SUM(V23:V24)</f>
        <v>0.1695689056974613</v>
      </c>
      <c r="W25" s="285"/>
      <c r="X25" s="276">
        <f>SUM(X23:X24)</f>
        <v>1.2256477418128173E-2</v>
      </c>
      <c r="Y25" s="158"/>
      <c r="Z25" s="367"/>
      <c r="AA25" s="158"/>
    </row>
    <row r="26" spans="1:27">
      <c r="A26" s="176"/>
      <c r="B26" s="166"/>
      <c r="C26" s="176"/>
      <c r="D26" s="176"/>
      <c r="E26" s="176"/>
      <c r="F26" s="276"/>
      <c r="G26" s="176"/>
      <c r="H26" s="276"/>
      <c r="I26" s="276"/>
      <c r="J26" s="276"/>
      <c r="K26" s="276"/>
      <c r="L26" s="275"/>
      <c r="M26" s="285"/>
      <c r="N26" s="291"/>
      <c r="O26" s="285"/>
      <c r="P26" s="285"/>
      <c r="Q26" s="285"/>
      <c r="R26" s="285"/>
      <c r="S26" s="285"/>
      <c r="T26" s="285"/>
      <c r="U26" s="285"/>
      <c r="V26" s="285"/>
      <c r="W26" s="285"/>
      <c r="X26" s="285"/>
      <c r="Y26" s="158"/>
      <c r="Z26" s="158"/>
      <c r="AA26" s="158"/>
    </row>
    <row r="27" spans="1:27">
      <c r="A27" s="176"/>
      <c r="B27" s="166" t="s">
        <v>489</v>
      </c>
      <c r="C27" s="176"/>
      <c r="D27" s="166" t="s">
        <v>476</v>
      </c>
      <c r="E27" s="176"/>
      <c r="F27" s="276">
        <v>408.86498599999999</v>
      </c>
      <c r="G27" s="176"/>
      <c r="H27" s="276">
        <v>89.323988</v>
      </c>
      <c r="I27" s="276"/>
      <c r="J27" s="276">
        <f>F27-H27</f>
        <v>319.540998</v>
      </c>
      <c r="K27" s="276"/>
      <c r="L27" s="275">
        <v>22.81</v>
      </c>
      <c r="M27" s="285"/>
      <c r="N27" s="285">
        <f>J27/L27</f>
        <v>14.008811836913635</v>
      </c>
      <c r="O27" s="285"/>
      <c r="P27" s="286">
        <f>F27/F29</f>
        <v>0.57965502394993318</v>
      </c>
      <c r="Q27" s="285"/>
      <c r="R27" s="285">
        <f>H29*P27</f>
        <v>77.795772622526755</v>
      </c>
      <c r="S27" s="285"/>
      <c r="T27" s="285">
        <f>F27-R27</f>
        <v>331.06921337747326</v>
      </c>
      <c r="U27" s="285"/>
      <c r="V27" s="285">
        <f>T27/L27</f>
        <v>14.514213650919478</v>
      </c>
      <c r="W27" s="285"/>
      <c r="X27" s="285">
        <f>V27-N27</f>
        <v>0.50540181400584316</v>
      </c>
      <c r="Y27" s="158"/>
      <c r="Z27" s="158"/>
      <c r="AA27" s="158"/>
    </row>
    <row r="28" spans="1:27">
      <c r="A28" s="176"/>
      <c r="B28" s="166" t="s">
        <v>489</v>
      </c>
      <c r="C28" s="176"/>
      <c r="D28" s="166" t="s">
        <v>485</v>
      </c>
      <c r="E28" s="176"/>
      <c r="F28" s="279">
        <v>296.49418300000002</v>
      </c>
      <c r="G28" s="176"/>
      <c r="H28" s="279">
        <v>44.886481000000003</v>
      </c>
      <c r="I28" s="276"/>
      <c r="J28" s="279">
        <f>F28-H28</f>
        <v>251.60770200000002</v>
      </c>
      <c r="K28" s="276"/>
      <c r="L28" s="280">
        <v>6.72</v>
      </c>
      <c r="M28" s="285"/>
      <c r="N28" s="288">
        <f>J28/L28</f>
        <v>37.441622321428575</v>
      </c>
      <c r="O28" s="285"/>
      <c r="P28" s="289">
        <f>F28/F29</f>
        <v>0.42034497605006677</v>
      </c>
      <c r="Q28" s="285"/>
      <c r="R28" s="285">
        <f>H29*P28</f>
        <v>56.41469637747322</v>
      </c>
      <c r="S28" s="285"/>
      <c r="T28" s="288">
        <f>F28-R28</f>
        <v>240.07948662252682</v>
      </c>
      <c r="U28" s="285"/>
      <c r="V28" s="288">
        <f>T28/L28</f>
        <v>35.726114080733161</v>
      </c>
      <c r="W28" s="285"/>
      <c r="X28" s="288">
        <f>V28-N28</f>
        <v>-1.7155082406954136</v>
      </c>
      <c r="Y28" s="158"/>
      <c r="Z28" s="158"/>
      <c r="AA28" s="158"/>
    </row>
    <row r="29" spans="1:27">
      <c r="A29" s="176"/>
      <c r="B29" s="166" t="s">
        <v>482</v>
      </c>
      <c r="C29" s="176"/>
      <c r="D29" s="176" t="s">
        <v>484</v>
      </c>
      <c r="E29" s="176"/>
      <c r="F29" s="276">
        <f>SUM(F27:F28)</f>
        <v>705.35916900000007</v>
      </c>
      <c r="G29" s="176"/>
      <c r="H29" s="276">
        <f>SUM(H27:H28)</f>
        <v>134.21046899999999</v>
      </c>
      <c r="I29" s="276"/>
      <c r="J29" s="276">
        <f>SUM(J27:J28)</f>
        <v>571.14869999999996</v>
      </c>
      <c r="K29" s="276"/>
      <c r="L29" s="275"/>
      <c r="M29" s="285"/>
      <c r="N29" s="276">
        <f>SUM(N27:N28)</f>
        <v>51.450434158342212</v>
      </c>
      <c r="O29" s="285"/>
      <c r="P29" s="297">
        <f>SUM(P27:P28)</f>
        <v>1</v>
      </c>
      <c r="Q29" s="285"/>
      <c r="R29" s="290"/>
      <c r="S29" s="285"/>
      <c r="T29" s="276">
        <f>SUM(T27:T28)</f>
        <v>571.14870000000008</v>
      </c>
      <c r="U29" s="285"/>
      <c r="V29" s="298">
        <f>SUM(V27:V28)</f>
        <v>50.240327731652641</v>
      </c>
      <c r="W29" s="285"/>
      <c r="X29" s="276">
        <f>SUM(X27:X28)</f>
        <v>-1.2101064266895705</v>
      </c>
      <c r="Y29" s="158"/>
      <c r="Z29" s="367"/>
      <c r="AA29" s="158"/>
    </row>
    <row r="30" spans="1:27">
      <c r="A30" s="176"/>
      <c r="B30" s="166"/>
      <c r="C30" s="176"/>
      <c r="D30" s="176"/>
      <c r="E30" s="176"/>
      <c r="F30" s="176"/>
      <c r="G30" s="176"/>
      <c r="H30" s="276"/>
      <c r="I30" s="276"/>
      <c r="J30" s="276"/>
      <c r="K30" s="276"/>
      <c r="L30" s="276"/>
      <c r="M30" s="285"/>
      <c r="N30" s="285"/>
      <c r="O30" s="285"/>
      <c r="P30" s="285"/>
      <c r="Q30" s="285"/>
      <c r="R30" s="285"/>
      <c r="S30" s="285"/>
      <c r="T30" s="285"/>
      <c r="U30" s="285"/>
      <c r="V30" s="285"/>
      <c r="W30" s="285"/>
      <c r="X30" s="285"/>
      <c r="Y30" s="158"/>
      <c r="Z30" s="158"/>
      <c r="AA30" s="158"/>
    </row>
    <row r="31" spans="1:27">
      <c r="A31" s="176"/>
      <c r="B31" s="166" t="s">
        <v>490</v>
      </c>
      <c r="C31" s="176"/>
      <c r="D31" s="166" t="s">
        <v>476</v>
      </c>
      <c r="E31" s="176"/>
      <c r="F31" s="276">
        <v>168.67457099999999</v>
      </c>
      <c r="G31" s="176"/>
      <c r="H31" s="276">
        <v>-2.356862</v>
      </c>
      <c r="I31" s="276"/>
      <c r="J31" s="276">
        <f>F31-H31</f>
        <v>171.03143299999999</v>
      </c>
      <c r="K31" s="276"/>
      <c r="L31" s="275">
        <v>23.24</v>
      </c>
      <c r="M31" s="285"/>
      <c r="N31" s="285">
        <f>J31/L31</f>
        <v>7.3593559810671261</v>
      </c>
      <c r="O31" s="285"/>
      <c r="P31" s="286">
        <f>F31/F33</f>
        <v>0.89268608404305605</v>
      </c>
      <c r="Q31" s="285"/>
      <c r="R31" s="285">
        <f>H33*P31</f>
        <v>-2.3584882389608466</v>
      </c>
      <c r="S31" s="285"/>
      <c r="T31" s="285">
        <f>F31-R31</f>
        <v>171.03305923896085</v>
      </c>
      <c r="U31" s="285"/>
      <c r="V31" s="285">
        <f>T31/L31</f>
        <v>7.3594259569260263</v>
      </c>
      <c r="W31" s="285"/>
      <c r="X31" s="285">
        <f>V31-N31</f>
        <v>6.9975858900228616E-5</v>
      </c>
      <c r="Y31" s="158"/>
      <c r="Z31" s="158"/>
      <c r="AA31" s="158"/>
    </row>
    <row r="32" spans="1:27">
      <c r="A32" s="176"/>
      <c r="B32" s="166" t="s">
        <v>490</v>
      </c>
      <c r="C32" s="176"/>
      <c r="D32" s="166" t="s">
        <v>485</v>
      </c>
      <c r="E32" s="176"/>
      <c r="F32" s="279">
        <v>20.277149000000001</v>
      </c>
      <c r="G32" s="176"/>
      <c r="H32" s="279">
        <v>-0.28515099999999999</v>
      </c>
      <c r="I32" s="276"/>
      <c r="J32" s="279">
        <f>F32-H32</f>
        <v>20.5623</v>
      </c>
      <c r="K32" s="276"/>
      <c r="L32" s="280">
        <v>19.16</v>
      </c>
      <c r="M32" s="285"/>
      <c r="N32" s="288">
        <f>J32/L32</f>
        <v>1.0731889352818371</v>
      </c>
      <c r="O32" s="285"/>
      <c r="P32" s="289">
        <f>F32/F33</f>
        <v>0.10731391595694394</v>
      </c>
      <c r="Q32" s="285"/>
      <c r="R32" s="285">
        <f>H33*P32</f>
        <v>-0.28352476103915331</v>
      </c>
      <c r="S32" s="285"/>
      <c r="T32" s="288">
        <f>F32-R32</f>
        <v>20.560673761039155</v>
      </c>
      <c r="U32" s="285"/>
      <c r="V32" s="288">
        <f>T32/L32</f>
        <v>1.0731040585093505</v>
      </c>
      <c r="W32" s="285"/>
      <c r="X32" s="288">
        <f>V32-N32</f>
        <v>-8.4876772486586205E-5</v>
      </c>
      <c r="Y32" s="158"/>
      <c r="Z32" s="158"/>
      <c r="AA32" s="158"/>
    </row>
    <row r="33" spans="1:27">
      <c r="A33" s="176"/>
      <c r="B33" s="166" t="s">
        <v>482</v>
      </c>
      <c r="C33" s="176"/>
      <c r="D33" s="176" t="s">
        <v>484</v>
      </c>
      <c r="E33" s="176"/>
      <c r="F33" s="276">
        <f>SUM(F31:F32)</f>
        <v>188.95171999999999</v>
      </c>
      <c r="G33" s="176"/>
      <c r="H33" s="276">
        <f>SUM(H31:H32)</f>
        <v>-2.6420129999999999</v>
      </c>
      <c r="I33" s="276"/>
      <c r="J33" s="276">
        <f>SUM(J31:J32)</f>
        <v>191.59373299999999</v>
      </c>
      <c r="K33" s="276"/>
      <c r="L33" s="275"/>
      <c r="M33" s="285"/>
      <c r="N33" s="276">
        <f>SUM(N31:N32)</f>
        <v>8.432544916348963</v>
      </c>
      <c r="O33" s="285"/>
      <c r="P33" s="297">
        <f>SUM(P31:P32)</f>
        <v>1</v>
      </c>
      <c r="Q33" s="285"/>
      <c r="R33" s="290"/>
      <c r="S33" s="285"/>
      <c r="T33" s="276">
        <f>SUM(T31:T32)</f>
        <v>191.59373299999999</v>
      </c>
      <c r="U33" s="285"/>
      <c r="V33" s="298">
        <f>SUM(V31:V32)</f>
        <v>8.4325300154353773</v>
      </c>
      <c r="W33" s="285"/>
      <c r="X33" s="276">
        <f>SUM(X31:X32)</f>
        <v>-1.4900913586357589E-5</v>
      </c>
      <c r="Y33" s="158"/>
      <c r="Z33" s="367"/>
      <c r="AA33" s="158"/>
    </row>
    <row r="34" spans="1:27">
      <c r="A34" s="176"/>
      <c r="B34" s="176"/>
      <c r="C34" s="176"/>
      <c r="D34" s="176"/>
      <c r="E34" s="176"/>
      <c r="F34" s="176"/>
      <c r="G34" s="176"/>
      <c r="H34" s="276"/>
      <c r="I34" s="276"/>
      <c r="J34" s="276"/>
      <c r="K34" s="276"/>
      <c r="L34" s="276"/>
      <c r="M34" s="285"/>
      <c r="N34" s="285"/>
      <c r="O34" s="285"/>
      <c r="P34" s="285"/>
      <c r="Q34" s="285"/>
      <c r="R34" s="285"/>
      <c r="S34" s="285"/>
      <c r="T34" s="285"/>
      <c r="U34" s="285"/>
      <c r="V34" s="285"/>
      <c r="W34" s="285"/>
      <c r="X34" s="285"/>
      <c r="Y34" s="158"/>
      <c r="Z34" s="158"/>
      <c r="AA34" s="158"/>
    </row>
    <row r="35" spans="1:27">
      <c r="A35" s="176"/>
      <c r="B35" s="166" t="s">
        <v>491</v>
      </c>
      <c r="C35" s="176"/>
      <c r="D35" s="166" t="s">
        <v>476</v>
      </c>
      <c r="E35" s="176"/>
      <c r="F35" s="276">
        <v>285.00985500000002</v>
      </c>
      <c r="G35" s="176"/>
      <c r="H35" s="276">
        <v>45.627279999999999</v>
      </c>
      <c r="I35" s="276"/>
      <c r="J35" s="276">
        <f>F35-H35</f>
        <v>239.38257500000003</v>
      </c>
      <c r="K35" s="276"/>
      <c r="L35" s="275">
        <v>24.32</v>
      </c>
      <c r="M35" s="285"/>
      <c r="N35" s="285">
        <f>J35/L35</f>
        <v>9.8430335115131591</v>
      </c>
      <c r="O35" s="285"/>
      <c r="P35" s="286">
        <f>F35/F37</f>
        <v>0.60085830843135823</v>
      </c>
      <c r="Q35" s="285"/>
      <c r="R35" s="285">
        <f>H37*P35</f>
        <v>38.214181635159576</v>
      </c>
      <c r="S35" s="285"/>
      <c r="T35" s="285">
        <f>F35-R35</f>
        <v>246.79567336484044</v>
      </c>
      <c r="U35" s="285"/>
      <c r="V35" s="285">
        <f>T35/L35</f>
        <v>10.147848411383242</v>
      </c>
      <c r="W35" s="285"/>
      <c r="X35" s="285">
        <f>V35-N35</f>
        <v>0.30481489987008281</v>
      </c>
      <c r="Y35" s="158"/>
      <c r="Z35" s="158"/>
      <c r="AA35" s="158"/>
    </row>
    <row r="36" spans="1:27">
      <c r="A36" s="176"/>
      <c r="B36" s="166" t="s">
        <v>491</v>
      </c>
      <c r="C36" s="176"/>
      <c r="D36" s="166" t="s">
        <v>485</v>
      </c>
      <c r="E36" s="176"/>
      <c r="F36" s="279">
        <v>189.328023</v>
      </c>
      <c r="G36" s="176"/>
      <c r="H36" s="279">
        <v>17.972042999999999</v>
      </c>
      <c r="I36" s="276"/>
      <c r="J36" s="279">
        <f>F36-H36</f>
        <v>171.35597999999999</v>
      </c>
      <c r="K36" s="276"/>
      <c r="L36" s="280">
        <v>7.04</v>
      </c>
      <c r="M36" s="285"/>
      <c r="N36" s="288">
        <f>J36/L36</f>
        <v>24.340338068181815</v>
      </c>
      <c r="O36" s="285"/>
      <c r="P36" s="289">
        <f>F36/F37</f>
        <v>0.39914169156864165</v>
      </c>
      <c r="Q36" s="285"/>
      <c r="R36" s="285">
        <f>H37*P36</f>
        <v>25.385141364840418</v>
      </c>
      <c r="S36" s="285"/>
      <c r="T36" s="288">
        <f>F36-R36</f>
        <v>163.94288163515958</v>
      </c>
      <c r="U36" s="285"/>
      <c r="V36" s="288">
        <f>T36/L36</f>
        <v>23.287341141357896</v>
      </c>
      <c r="W36" s="285"/>
      <c r="X36" s="288">
        <f>V36-N36</f>
        <v>-1.0529969268239192</v>
      </c>
      <c r="Y36" s="158"/>
      <c r="Z36" s="158"/>
      <c r="AA36" s="158"/>
    </row>
    <row r="37" spans="1:27">
      <c r="A37" s="176"/>
      <c r="B37" s="166" t="s">
        <v>482</v>
      </c>
      <c r="C37" s="176"/>
      <c r="D37" s="176" t="s">
        <v>484</v>
      </c>
      <c r="E37" s="176"/>
      <c r="F37" s="276">
        <f>SUM(F35:F36)</f>
        <v>474.33787800000005</v>
      </c>
      <c r="G37" s="176"/>
      <c r="H37" s="276">
        <f>SUM(H35:H36)</f>
        <v>63.599322999999998</v>
      </c>
      <c r="I37" s="276"/>
      <c r="J37" s="276">
        <f>SUM(J35:J36)</f>
        <v>410.73855500000002</v>
      </c>
      <c r="K37" s="276"/>
      <c r="L37" s="275"/>
      <c r="M37" s="285"/>
      <c r="N37" s="276">
        <f>SUM(N35:N36)</f>
        <v>34.183371579694978</v>
      </c>
      <c r="O37" s="285"/>
      <c r="P37" s="297">
        <f>SUM(P35:P36)</f>
        <v>0.99999999999999989</v>
      </c>
      <c r="Q37" s="285"/>
      <c r="R37" s="290"/>
      <c r="S37" s="285"/>
      <c r="T37" s="276">
        <f>SUM(T35:T36)</f>
        <v>410.73855500000002</v>
      </c>
      <c r="U37" s="285"/>
      <c r="V37" s="298">
        <f>SUM(V35:V36)</f>
        <v>33.435189552741136</v>
      </c>
      <c r="W37" s="285"/>
      <c r="X37" s="276">
        <f>SUM(X35:X36)</f>
        <v>-0.7481820269538364</v>
      </c>
      <c r="Y37" s="158"/>
      <c r="Z37" s="367"/>
      <c r="AA37" s="158"/>
    </row>
    <row r="38" spans="1:27">
      <c r="A38" s="176"/>
      <c r="B38" s="166"/>
      <c r="C38" s="176"/>
      <c r="D38" s="176"/>
      <c r="E38" s="176"/>
      <c r="F38" s="276"/>
      <c r="G38" s="176"/>
      <c r="H38" s="276"/>
      <c r="I38" s="276"/>
      <c r="J38" s="276"/>
      <c r="K38" s="276"/>
      <c r="L38" s="275"/>
      <c r="M38" s="285"/>
      <c r="N38" s="291"/>
      <c r="O38" s="285"/>
      <c r="P38" s="285"/>
      <c r="Q38" s="285"/>
      <c r="R38" s="285"/>
      <c r="S38" s="285"/>
      <c r="T38" s="285"/>
      <c r="U38" s="285"/>
      <c r="V38" s="285"/>
      <c r="W38" s="285"/>
      <c r="X38" s="285"/>
      <c r="Y38" s="158"/>
      <c r="Z38" s="158"/>
      <c r="AA38" s="158"/>
    </row>
    <row r="39" spans="1:27">
      <c r="A39" s="176"/>
      <c r="B39" s="166" t="s">
        <v>492</v>
      </c>
      <c r="C39" s="176"/>
      <c r="D39" s="166" t="s">
        <v>476</v>
      </c>
      <c r="E39" s="176"/>
      <c r="F39" s="276">
        <v>23.358058</v>
      </c>
      <c r="G39" s="176"/>
      <c r="H39" s="276">
        <v>14.921187</v>
      </c>
      <c r="I39" s="276"/>
      <c r="J39" s="276">
        <f>F39-H39</f>
        <v>8.436871</v>
      </c>
      <c r="K39" s="276"/>
      <c r="L39" s="275">
        <v>15.31</v>
      </c>
      <c r="M39" s="285"/>
      <c r="N39" s="285">
        <f>J39/L39</f>
        <v>0.55106930111038532</v>
      </c>
      <c r="O39" s="285"/>
      <c r="P39" s="286">
        <f>F39/F41</f>
        <v>0.91283491633735181</v>
      </c>
      <c r="Q39" s="285"/>
      <c r="R39" s="285">
        <f>H41*P39</f>
        <v>14.38773242749839</v>
      </c>
      <c r="S39" s="285"/>
      <c r="T39" s="285">
        <f>F39-R39</f>
        <v>8.9703255725016096</v>
      </c>
      <c r="U39" s="285"/>
      <c r="V39" s="285">
        <f>T39/L39</f>
        <v>0.58591283948410255</v>
      </c>
      <c r="W39" s="285"/>
      <c r="X39" s="285">
        <f>V39-N39</f>
        <v>3.4843538373717231E-2</v>
      </c>
      <c r="Y39" s="158"/>
      <c r="Z39" s="158"/>
      <c r="AA39" s="158"/>
    </row>
    <row r="40" spans="1:27">
      <c r="A40" s="176"/>
      <c r="B40" s="166" t="s">
        <v>492</v>
      </c>
      <c r="C40" s="176"/>
      <c r="D40" s="166" t="s">
        <v>485</v>
      </c>
      <c r="E40" s="176"/>
      <c r="F40" s="279">
        <v>2.2304219999999999</v>
      </c>
      <c r="G40" s="176"/>
      <c r="H40" s="279">
        <v>0.84040599999999999</v>
      </c>
      <c r="I40" s="276"/>
      <c r="J40" s="279">
        <f>F40-H40</f>
        <v>1.3900159999999999</v>
      </c>
      <c r="K40" s="276"/>
      <c r="L40" s="280">
        <v>5.67</v>
      </c>
      <c r="M40" s="285"/>
      <c r="N40" s="288">
        <f>J40/L40</f>
        <v>0.24515273368606702</v>
      </c>
      <c r="O40" s="285"/>
      <c r="P40" s="289">
        <f>F40/F41</f>
        <v>8.7165083662648191E-2</v>
      </c>
      <c r="Q40" s="285"/>
      <c r="R40" s="285">
        <f>H41*P40</f>
        <v>1.37386057250161</v>
      </c>
      <c r="S40" s="285"/>
      <c r="T40" s="288">
        <f>F40-R40</f>
        <v>0.85656142749838993</v>
      </c>
      <c r="U40" s="285"/>
      <c r="V40" s="288">
        <f>T40/L40</f>
        <v>0.15106903483216755</v>
      </c>
      <c r="W40" s="285"/>
      <c r="X40" s="288">
        <f>V40-N40</f>
        <v>-9.4083698853899472E-2</v>
      </c>
      <c r="Y40" s="158"/>
      <c r="Z40" s="158"/>
      <c r="AA40" s="158"/>
    </row>
    <row r="41" spans="1:27">
      <c r="A41" s="176"/>
      <c r="B41" s="166" t="s">
        <v>482</v>
      </c>
      <c r="C41" s="176"/>
      <c r="D41" s="176" t="s">
        <v>484</v>
      </c>
      <c r="E41" s="176"/>
      <c r="F41" s="276">
        <f>SUM(F39:F40)</f>
        <v>25.588480000000001</v>
      </c>
      <c r="G41" s="176"/>
      <c r="H41" s="276">
        <f>SUM(H39:H40)</f>
        <v>15.761593</v>
      </c>
      <c r="I41" s="276"/>
      <c r="J41" s="276">
        <f>SUM(J39:J40)</f>
        <v>9.8268869999999993</v>
      </c>
      <c r="K41" s="276"/>
      <c r="L41" s="275"/>
      <c r="M41" s="285"/>
      <c r="N41" s="276">
        <f>SUM(N39:N40)</f>
        <v>0.79622203479645237</v>
      </c>
      <c r="O41" s="285"/>
      <c r="P41" s="297">
        <f>SUM(P39:P40)</f>
        <v>1</v>
      </c>
      <c r="Q41" s="285"/>
      <c r="R41" s="290"/>
      <c r="S41" s="285"/>
      <c r="T41" s="276">
        <f>SUM(T39:T40)</f>
        <v>9.8268869999999993</v>
      </c>
      <c r="U41" s="285"/>
      <c r="V41" s="298">
        <f>SUM(V39:V40)</f>
        <v>0.73698187431627016</v>
      </c>
      <c r="W41" s="285"/>
      <c r="X41" s="276">
        <f>SUM(X39:X40)</f>
        <v>-5.9240160480182241E-2</v>
      </c>
      <c r="Y41" s="158"/>
      <c r="Z41" s="367"/>
      <c r="AA41" s="158"/>
    </row>
    <row r="42" spans="1:27">
      <c r="A42" s="176"/>
      <c r="B42" s="166"/>
      <c r="C42" s="176"/>
      <c r="D42" s="176"/>
      <c r="E42" s="176"/>
      <c r="F42" s="176"/>
      <c r="G42" s="176"/>
      <c r="H42" s="276"/>
      <c r="I42" s="276"/>
      <c r="J42" s="276"/>
      <c r="K42" s="276"/>
      <c r="L42" s="276"/>
      <c r="M42" s="285"/>
      <c r="N42" s="285"/>
      <c r="O42" s="285"/>
      <c r="P42" s="285"/>
      <c r="Q42" s="285"/>
      <c r="R42" s="285"/>
      <c r="S42" s="285"/>
      <c r="T42" s="285"/>
      <c r="U42" s="285"/>
      <c r="V42" s="285"/>
      <c r="W42" s="285"/>
      <c r="X42" s="285"/>
      <c r="Y42" s="158"/>
      <c r="Z42" s="158"/>
      <c r="AA42" s="158"/>
    </row>
    <row r="43" spans="1:27">
      <c r="A43" s="176"/>
      <c r="B43" s="166" t="s">
        <v>493</v>
      </c>
      <c r="C43" s="176"/>
      <c r="D43" s="166" t="s">
        <v>476</v>
      </c>
      <c r="E43" s="176"/>
      <c r="F43" s="276">
        <v>163.05640600000001</v>
      </c>
      <c r="G43" s="176"/>
      <c r="H43" s="276">
        <v>42.710301999999999</v>
      </c>
      <c r="I43" s="276"/>
      <c r="J43" s="276">
        <f>F43-H43</f>
        <v>120.34610400000001</v>
      </c>
      <c r="K43" s="276"/>
      <c r="L43" s="275">
        <v>15.28</v>
      </c>
      <c r="M43" s="285"/>
      <c r="N43" s="285">
        <f>J43/L43</f>
        <v>7.8760539267015721</v>
      </c>
      <c r="O43" s="285"/>
      <c r="P43" s="286">
        <f>F43/F45</f>
        <v>0.72153181403273581</v>
      </c>
      <c r="Q43" s="285"/>
      <c r="R43" s="285">
        <f>H45*P43</f>
        <v>33.961368238509216</v>
      </c>
      <c r="S43" s="285"/>
      <c r="T43" s="285">
        <f>F43-R43</f>
        <v>129.0950377614908</v>
      </c>
      <c r="U43" s="285"/>
      <c r="V43" s="285">
        <f>T43/L43</f>
        <v>8.4486281257520162</v>
      </c>
      <c r="W43" s="285"/>
      <c r="X43" s="285">
        <f>V43-N43</f>
        <v>0.57257419905044404</v>
      </c>
      <c r="Y43" s="158"/>
      <c r="Z43" s="158"/>
      <c r="AA43" s="158"/>
    </row>
    <row r="44" spans="1:27">
      <c r="A44" s="176"/>
      <c r="B44" s="166" t="s">
        <v>493</v>
      </c>
      <c r="C44" s="176"/>
      <c r="D44" s="166" t="s">
        <v>485</v>
      </c>
      <c r="E44" s="176"/>
      <c r="F44" s="279">
        <v>62.930033999999999</v>
      </c>
      <c r="G44" s="176"/>
      <c r="H44" s="279">
        <v>4.3581260000000004</v>
      </c>
      <c r="I44" s="276"/>
      <c r="J44" s="279">
        <f>F44-H44</f>
        <v>58.571908000000001</v>
      </c>
      <c r="K44" s="276"/>
      <c r="L44" s="280">
        <v>7.31</v>
      </c>
      <c r="M44" s="285"/>
      <c r="N44" s="288">
        <f>J44/L44</f>
        <v>8.0125729138166903</v>
      </c>
      <c r="O44" s="285"/>
      <c r="P44" s="289">
        <f>F44/F45</f>
        <v>0.27846818596726419</v>
      </c>
      <c r="Q44" s="285"/>
      <c r="R44" s="285">
        <f>H45*P44</f>
        <v>13.107059761490785</v>
      </c>
      <c r="S44" s="285"/>
      <c r="T44" s="288">
        <f>F44-R44</f>
        <v>49.822974238509218</v>
      </c>
      <c r="U44" s="285"/>
      <c r="V44" s="288">
        <f>T44/L44</f>
        <v>6.8157283500012618</v>
      </c>
      <c r="W44" s="285"/>
      <c r="X44" s="288">
        <f>V44-N44</f>
        <v>-1.1968445638154286</v>
      </c>
      <c r="Y44" s="158"/>
      <c r="Z44" s="158"/>
      <c r="AA44" s="158"/>
    </row>
    <row r="45" spans="1:27">
      <c r="A45" s="176"/>
      <c r="B45" s="166" t="s">
        <v>482</v>
      </c>
      <c r="C45" s="176"/>
      <c r="D45" s="176" t="s">
        <v>484</v>
      </c>
      <c r="E45" s="176"/>
      <c r="F45" s="276">
        <f>SUM(F43:F44)</f>
        <v>225.98644000000002</v>
      </c>
      <c r="G45" s="176"/>
      <c r="H45" s="276">
        <f>SUM(H43:H44)</f>
        <v>47.068427999999997</v>
      </c>
      <c r="I45" s="276"/>
      <c r="J45" s="276">
        <f>SUM(J43:J44)</f>
        <v>178.918012</v>
      </c>
      <c r="K45" s="276"/>
      <c r="L45" s="275"/>
      <c r="M45" s="285"/>
      <c r="N45" s="276">
        <f>SUM(N43:N44)</f>
        <v>15.888626840518263</v>
      </c>
      <c r="O45" s="285"/>
      <c r="P45" s="297">
        <f>SUM(P43:P44)</f>
        <v>1</v>
      </c>
      <c r="Q45" s="285"/>
      <c r="R45" s="290"/>
      <c r="S45" s="285"/>
      <c r="T45" s="276">
        <f>SUM(T43:T44)</f>
        <v>178.91801200000003</v>
      </c>
      <c r="U45" s="285"/>
      <c r="V45" s="298">
        <f>SUM(V43:V44)</f>
        <v>15.264356475753278</v>
      </c>
      <c r="W45" s="285"/>
      <c r="X45" s="276">
        <f>SUM(X43:X44)</f>
        <v>-0.62427036476498454</v>
      </c>
      <c r="Y45" s="158"/>
      <c r="Z45" s="367"/>
      <c r="AA45" s="158"/>
    </row>
    <row r="46" spans="1:27">
      <c r="A46" s="176"/>
      <c r="B46" s="176"/>
      <c r="C46" s="176"/>
      <c r="D46" s="176"/>
      <c r="E46" s="176"/>
      <c r="F46" s="176"/>
      <c r="G46" s="176"/>
      <c r="H46" s="276"/>
      <c r="I46" s="276"/>
      <c r="J46" s="276"/>
      <c r="K46" s="276"/>
      <c r="L46" s="276"/>
      <c r="M46" s="285"/>
      <c r="N46" s="285"/>
      <c r="O46" s="285"/>
      <c r="P46" s="285"/>
      <c r="Q46" s="285"/>
      <c r="R46" s="285"/>
      <c r="S46" s="285"/>
      <c r="T46" s="285"/>
      <c r="U46" s="285"/>
      <c r="V46" s="285"/>
      <c r="W46" s="285"/>
      <c r="X46" s="285"/>
      <c r="Y46" s="158"/>
      <c r="Z46" s="158"/>
      <c r="AA46" s="158"/>
    </row>
    <row r="47" spans="1:27">
      <c r="A47" s="176"/>
      <c r="B47" s="166" t="s">
        <v>494</v>
      </c>
      <c r="C47" s="176"/>
      <c r="D47" s="166" t="s">
        <v>476</v>
      </c>
      <c r="E47" s="176"/>
      <c r="F47" s="276">
        <v>169.519058</v>
      </c>
      <c r="G47" s="176"/>
      <c r="H47" s="276">
        <v>64.561903999999998</v>
      </c>
      <c r="I47" s="276"/>
      <c r="J47" s="276">
        <f>F47-H47</f>
        <v>104.957154</v>
      </c>
      <c r="K47" s="276"/>
      <c r="L47" s="275">
        <v>15.33</v>
      </c>
      <c r="M47" s="285"/>
      <c r="N47" s="285">
        <f>J47/L47</f>
        <v>6.8465201565557727</v>
      </c>
      <c r="O47" s="285"/>
      <c r="P47" s="286">
        <f>F47/F49</f>
        <v>0.63882464084389112</v>
      </c>
      <c r="Q47" s="285"/>
      <c r="R47" s="285">
        <f>H49*P47</f>
        <v>49.827129939043687</v>
      </c>
      <c r="S47" s="285"/>
      <c r="T47" s="285">
        <f>F47-R47</f>
        <v>119.69192806095631</v>
      </c>
      <c r="U47" s="285"/>
      <c r="V47" s="285">
        <f>T47/L47</f>
        <v>7.8076926328086307</v>
      </c>
      <c r="W47" s="285"/>
      <c r="X47" s="285">
        <f>V47-N47</f>
        <v>0.96117247625285795</v>
      </c>
      <c r="Y47" s="158"/>
      <c r="Z47" s="158"/>
      <c r="AA47" s="158"/>
    </row>
    <row r="48" spans="1:27">
      <c r="A48" s="176"/>
      <c r="B48" s="166" t="s">
        <v>494</v>
      </c>
      <c r="C48" s="176"/>
      <c r="D48" s="166" t="s">
        <v>485</v>
      </c>
      <c r="E48" s="176"/>
      <c r="F48" s="279">
        <v>95.841804999999994</v>
      </c>
      <c r="G48" s="176"/>
      <c r="H48" s="279">
        <v>13.43623</v>
      </c>
      <c r="I48" s="276"/>
      <c r="J48" s="279">
        <f>F48-H48</f>
        <v>82.405574999999999</v>
      </c>
      <c r="K48" s="276"/>
      <c r="L48" s="280">
        <v>6.88</v>
      </c>
      <c r="M48" s="285"/>
      <c r="N48" s="288">
        <f>J48/L48</f>
        <v>11.977554505813954</v>
      </c>
      <c r="O48" s="285"/>
      <c r="P48" s="289">
        <f>F48/F49</f>
        <v>0.36117535915610882</v>
      </c>
      <c r="Q48" s="285"/>
      <c r="R48" s="285">
        <f>H49*P48</f>
        <v>28.171004060956299</v>
      </c>
      <c r="S48" s="285"/>
      <c r="T48" s="288">
        <f>F48-R48</f>
        <v>67.670800939043687</v>
      </c>
      <c r="U48" s="285"/>
      <c r="V48" s="288">
        <f>T48/L48</f>
        <v>9.8358722295121641</v>
      </c>
      <c r="W48" s="285"/>
      <c r="X48" s="288">
        <f>V48-N48</f>
        <v>-2.1416822763017898</v>
      </c>
      <c r="Y48" s="158"/>
      <c r="Z48" s="158"/>
      <c r="AA48" s="158"/>
    </row>
    <row r="49" spans="1:27">
      <c r="A49" s="176"/>
      <c r="B49" s="166" t="s">
        <v>482</v>
      </c>
      <c r="C49" s="176"/>
      <c r="D49" s="176" t="s">
        <v>484</v>
      </c>
      <c r="E49" s="176"/>
      <c r="F49" s="276">
        <f>SUM(F47:F48)</f>
        <v>265.36086299999999</v>
      </c>
      <c r="G49" s="176"/>
      <c r="H49" s="276">
        <f>SUM(H47:H48)</f>
        <v>77.998133999999993</v>
      </c>
      <c r="I49" s="276"/>
      <c r="J49" s="276">
        <f>SUM(J47:J48)</f>
        <v>187.362729</v>
      </c>
      <c r="K49" s="276"/>
      <c r="L49" s="275"/>
      <c r="M49" s="285"/>
      <c r="N49" s="276">
        <f>SUM(N47:N48)</f>
        <v>18.824074662369725</v>
      </c>
      <c r="O49" s="285"/>
      <c r="P49" s="297">
        <f>SUM(P47:P48)</f>
        <v>1</v>
      </c>
      <c r="Q49" s="285"/>
      <c r="R49" s="290"/>
      <c r="S49" s="285"/>
      <c r="T49" s="276">
        <f>SUM(T47:T48)</f>
        <v>187.362729</v>
      </c>
      <c r="U49" s="285"/>
      <c r="V49" s="298">
        <f>SUM(V47:V48)</f>
        <v>17.643564862320794</v>
      </c>
      <c r="W49" s="285"/>
      <c r="X49" s="276">
        <f>SUM(X47:X48)</f>
        <v>-1.1805098000489318</v>
      </c>
      <c r="Y49" s="158"/>
      <c r="Z49" s="367"/>
      <c r="AA49" s="158"/>
    </row>
    <row r="50" spans="1:27">
      <c r="A50" s="176"/>
      <c r="B50" s="166"/>
      <c r="C50" s="176"/>
      <c r="D50" s="176"/>
      <c r="E50" s="176"/>
      <c r="F50" s="276"/>
      <c r="G50" s="176"/>
      <c r="H50" s="276"/>
      <c r="I50" s="276"/>
      <c r="J50" s="276"/>
      <c r="K50" s="276"/>
      <c r="L50" s="275"/>
      <c r="M50" s="285"/>
      <c r="N50" s="291"/>
      <c r="O50" s="285"/>
      <c r="P50" s="285"/>
      <c r="Q50" s="285"/>
      <c r="R50" s="285"/>
      <c r="S50" s="285"/>
      <c r="T50" s="285"/>
      <c r="U50" s="285"/>
      <c r="V50" s="285"/>
      <c r="W50" s="285"/>
      <c r="X50" s="285"/>
      <c r="Y50" s="158"/>
      <c r="Z50" s="158"/>
      <c r="AA50" s="158"/>
    </row>
    <row r="51" spans="1:27">
      <c r="A51" s="176"/>
      <c r="B51" s="166" t="s">
        <v>495</v>
      </c>
      <c r="C51" s="176"/>
      <c r="D51" s="166" t="s">
        <v>476</v>
      </c>
      <c r="E51" s="176"/>
      <c r="F51" s="276">
        <v>308.99424599999998</v>
      </c>
      <c r="G51" s="176"/>
      <c r="H51" s="276">
        <v>45.987971999999999</v>
      </c>
      <c r="I51" s="276"/>
      <c r="J51" s="276">
        <f>F51-H51</f>
        <v>263.00627399999996</v>
      </c>
      <c r="K51" s="276"/>
      <c r="L51" s="275">
        <v>24.36</v>
      </c>
      <c r="M51" s="285"/>
      <c r="N51" s="285">
        <f>J51/L51</f>
        <v>10.796645073891625</v>
      </c>
      <c r="O51" s="285"/>
      <c r="P51" s="286">
        <f>F51/F53</f>
        <v>0.58124835649672169</v>
      </c>
      <c r="Q51" s="285"/>
      <c r="R51" s="285">
        <f>H53*P51</f>
        <v>39.275739040006535</v>
      </c>
      <c r="S51" s="285"/>
      <c r="T51" s="285">
        <f>F51-R51</f>
        <v>269.71850695999342</v>
      </c>
      <c r="U51" s="285"/>
      <c r="V51" s="285">
        <f>T51/L51</f>
        <v>11.072188298850305</v>
      </c>
      <c r="W51" s="285"/>
      <c r="X51" s="285">
        <f>V51-N51</f>
        <v>0.27554322495868</v>
      </c>
      <c r="Y51" s="158"/>
      <c r="Z51" s="158"/>
      <c r="AA51" s="158"/>
    </row>
    <row r="52" spans="1:27">
      <c r="A52" s="176"/>
      <c r="B52" s="166" t="s">
        <v>495</v>
      </c>
      <c r="C52" s="176"/>
      <c r="D52" s="166" t="s">
        <v>485</v>
      </c>
      <c r="E52" s="176"/>
      <c r="F52" s="279">
        <v>222.61026100000001</v>
      </c>
      <c r="G52" s="176"/>
      <c r="H52" s="279">
        <v>21.583383000000001</v>
      </c>
      <c r="I52" s="276"/>
      <c r="J52" s="279">
        <f>F52-H52</f>
        <v>201.02687800000001</v>
      </c>
      <c r="K52" s="276"/>
      <c r="L52" s="280">
        <v>6.93</v>
      </c>
      <c r="M52" s="285"/>
      <c r="N52" s="288">
        <f>J52/L52</f>
        <v>29.008207503607505</v>
      </c>
      <c r="O52" s="285"/>
      <c r="P52" s="289">
        <f>F52/F53</f>
        <v>0.41875164350327826</v>
      </c>
      <c r="Q52" s="285"/>
      <c r="R52" s="285">
        <f>H53*P52</f>
        <v>28.295615959993459</v>
      </c>
      <c r="S52" s="285"/>
      <c r="T52" s="288">
        <f>F52-R52</f>
        <v>194.31464504000655</v>
      </c>
      <c r="U52" s="285"/>
      <c r="V52" s="288">
        <f>T52/L52</f>
        <v>28.039631318904267</v>
      </c>
      <c r="W52" s="285"/>
      <c r="X52" s="288">
        <f>V52-N52</f>
        <v>-0.96857618470323814</v>
      </c>
      <c r="Y52" s="158"/>
      <c r="Z52" s="158"/>
      <c r="AA52" s="158"/>
    </row>
    <row r="53" spans="1:27">
      <c r="A53" s="176"/>
      <c r="B53" s="166" t="s">
        <v>482</v>
      </c>
      <c r="C53" s="176"/>
      <c r="D53" s="176" t="s">
        <v>484</v>
      </c>
      <c r="E53" s="176"/>
      <c r="F53" s="276">
        <f>SUM(F51:F52)</f>
        <v>531.60450700000001</v>
      </c>
      <c r="G53" s="176"/>
      <c r="H53" s="276">
        <f>SUM(H51:H52)</f>
        <v>67.571354999999997</v>
      </c>
      <c r="I53" s="276"/>
      <c r="J53" s="276">
        <f>SUM(J51:J52)</f>
        <v>464.03315199999997</v>
      </c>
      <c r="K53" s="276"/>
      <c r="L53" s="275"/>
      <c r="M53" s="285"/>
      <c r="N53" s="276">
        <f>SUM(N51:N52)</f>
        <v>39.804852577499133</v>
      </c>
      <c r="O53" s="285"/>
      <c r="P53" s="297">
        <f>SUM(P51:P52)</f>
        <v>1</v>
      </c>
      <c r="Q53" s="285"/>
      <c r="R53" s="290"/>
      <c r="S53" s="285"/>
      <c r="T53" s="276">
        <f>SUM(T51:T52)</f>
        <v>464.03315199999997</v>
      </c>
      <c r="U53" s="285"/>
      <c r="V53" s="298">
        <f>SUM(V51:V52)</f>
        <v>39.11181961775457</v>
      </c>
      <c r="W53" s="285"/>
      <c r="X53" s="276">
        <f>SUM(X51:X52)</f>
        <v>-0.69303295974455814</v>
      </c>
      <c r="Y53" s="158"/>
      <c r="Z53" s="367"/>
      <c r="AA53" s="158"/>
    </row>
    <row r="54" spans="1:27">
      <c r="A54" s="176"/>
      <c r="B54" s="166"/>
      <c r="C54" s="176"/>
      <c r="D54" s="176"/>
      <c r="E54" s="176"/>
      <c r="F54" s="276"/>
      <c r="G54" s="176"/>
      <c r="H54" s="276"/>
      <c r="I54" s="276"/>
      <c r="J54" s="276"/>
      <c r="K54" s="276"/>
      <c r="L54" s="275"/>
      <c r="M54" s="285"/>
      <c r="N54" s="291"/>
      <c r="O54" s="285"/>
      <c r="P54" s="285"/>
      <c r="Q54" s="285"/>
      <c r="R54" s="285"/>
      <c r="S54" s="285"/>
      <c r="T54" s="285"/>
      <c r="U54" s="285"/>
      <c r="V54" s="285"/>
      <c r="W54" s="285"/>
      <c r="X54" s="285"/>
      <c r="Y54" s="158"/>
      <c r="Z54" s="158"/>
      <c r="AA54" s="158"/>
    </row>
    <row r="55" spans="1:27">
      <c r="A55" s="176"/>
      <c r="B55" s="166" t="s">
        <v>496</v>
      </c>
      <c r="C55" s="176"/>
      <c r="D55" s="166" t="s">
        <v>476</v>
      </c>
      <c r="E55" s="176"/>
      <c r="F55" s="276">
        <v>215.83548999999999</v>
      </c>
      <c r="G55" s="176"/>
      <c r="H55" s="276">
        <v>32.420005000000003</v>
      </c>
      <c r="I55" s="276"/>
      <c r="J55" s="276">
        <f>F55-H55</f>
        <v>183.41548499999999</v>
      </c>
      <c r="K55" s="276"/>
      <c r="L55" s="275">
        <v>22.65</v>
      </c>
      <c r="M55" s="285"/>
      <c r="N55" s="285">
        <f>J55/L55</f>
        <v>8.0978139072847686</v>
      </c>
      <c r="O55" s="285"/>
      <c r="P55" s="286">
        <f>F55/F57</f>
        <v>0.54076542244776504</v>
      </c>
      <c r="Q55" s="285"/>
      <c r="R55" s="285">
        <f>H57*P55</f>
        <v>24.961566425969565</v>
      </c>
      <c r="S55" s="285"/>
      <c r="T55" s="285">
        <f>F55-R55</f>
        <v>190.87392357403041</v>
      </c>
      <c r="U55" s="285"/>
      <c r="V55" s="285">
        <f>T55/L55</f>
        <v>8.4271047935554275</v>
      </c>
      <c r="W55" s="285"/>
      <c r="X55" s="285">
        <f>V55-N55</f>
        <v>0.32929088627065894</v>
      </c>
      <c r="Y55" s="158"/>
      <c r="Z55" s="158"/>
      <c r="AA55" s="158"/>
    </row>
    <row r="56" spans="1:27">
      <c r="A56" s="176"/>
      <c r="B56" s="166" t="s">
        <v>496</v>
      </c>
      <c r="C56" s="176"/>
      <c r="D56" s="166" t="s">
        <v>485</v>
      </c>
      <c r="E56" s="176"/>
      <c r="F56" s="279">
        <v>183.294116</v>
      </c>
      <c r="G56" s="176"/>
      <c r="H56" s="279">
        <v>13.739689</v>
      </c>
      <c r="I56" s="276"/>
      <c r="J56" s="279">
        <f>F56-H56</f>
        <v>169.554427</v>
      </c>
      <c r="K56" s="276"/>
      <c r="L56" s="280">
        <v>7.08</v>
      </c>
      <c r="M56" s="285"/>
      <c r="N56" s="288">
        <f>J56/L56</f>
        <v>23.948365395480227</v>
      </c>
      <c r="O56" s="285"/>
      <c r="P56" s="289">
        <f>F56/F57</f>
        <v>0.45923457755223507</v>
      </c>
      <c r="Q56" s="285"/>
      <c r="R56" s="285">
        <f>H57*P56</f>
        <v>21.19812757403044</v>
      </c>
      <c r="S56" s="285"/>
      <c r="T56" s="288">
        <f>F56-R56</f>
        <v>162.09598842596955</v>
      </c>
      <c r="U56" s="285"/>
      <c r="V56" s="288">
        <f>T56/L56</f>
        <v>22.894913619487223</v>
      </c>
      <c r="W56" s="285"/>
      <c r="X56" s="288">
        <f>V56-N56</f>
        <v>-1.053451775993004</v>
      </c>
      <c r="Y56" s="158"/>
      <c r="Z56" s="158"/>
      <c r="AA56" s="158"/>
    </row>
    <row r="57" spans="1:27">
      <c r="A57" s="176"/>
      <c r="B57" s="166" t="s">
        <v>482</v>
      </c>
      <c r="C57" s="176"/>
      <c r="D57" s="176" t="s">
        <v>484</v>
      </c>
      <c r="E57" s="176"/>
      <c r="F57" s="276">
        <f>SUM(F55:F56)</f>
        <v>399.12960599999997</v>
      </c>
      <c r="G57" s="176"/>
      <c r="H57" s="276">
        <f>SUM(H55:H56)</f>
        <v>46.159694000000002</v>
      </c>
      <c r="I57" s="276"/>
      <c r="J57" s="276">
        <f>SUM(J55:J56)</f>
        <v>352.96991200000002</v>
      </c>
      <c r="K57" s="276"/>
      <c r="L57" s="275"/>
      <c r="M57" s="285"/>
      <c r="N57" s="276">
        <f>SUM(N55:N56)</f>
        <v>32.046179302764997</v>
      </c>
      <c r="O57" s="285"/>
      <c r="P57" s="297">
        <f>SUM(P55:P56)</f>
        <v>1</v>
      </c>
      <c r="Q57" s="285"/>
      <c r="R57" s="290"/>
      <c r="S57" s="285"/>
      <c r="T57" s="276">
        <f>SUM(T55:T56)</f>
        <v>352.96991199999997</v>
      </c>
      <c r="U57" s="285"/>
      <c r="V57" s="298">
        <f>SUM(V55:V56)</f>
        <v>31.322018413042649</v>
      </c>
      <c r="W57" s="285"/>
      <c r="X57" s="276">
        <f>SUM(X55:X56)</f>
        <v>-0.72416088972234505</v>
      </c>
      <c r="Y57" s="158"/>
      <c r="Z57" s="367"/>
      <c r="AA57" s="158"/>
    </row>
    <row r="58" spans="1:27">
      <c r="A58" s="176"/>
      <c r="B58" s="166"/>
      <c r="C58" s="176"/>
      <c r="D58" s="176"/>
      <c r="E58" s="176"/>
      <c r="F58" s="176"/>
      <c r="G58" s="176"/>
      <c r="H58" s="276"/>
      <c r="I58" s="276"/>
      <c r="J58" s="276"/>
      <c r="K58" s="276"/>
      <c r="L58" s="276"/>
      <c r="M58" s="285"/>
      <c r="N58" s="285"/>
      <c r="O58" s="285"/>
      <c r="P58" s="285"/>
      <c r="Q58" s="285"/>
      <c r="R58" s="285"/>
      <c r="S58" s="285"/>
      <c r="T58" s="285"/>
      <c r="U58" s="285"/>
      <c r="V58" s="285"/>
      <c r="W58" s="285"/>
      <c r="X58" s="285"/>
      <c r="Y58" s="158"/>
      <c r="Z58" s="158"/>
      <c r="AA58" s="158"/>
    </row>
    <row r="59" spans="1:27">
      <c r="A59" s="176"/>
      <c r="B59" s="166" t="s">
        <v>497</v>
      </c>
      <c r="C59" s="176"/>
      <c r="D59" s="166" t="s">
        <v>476</v>
      </c>
      <c r="E59" s="176"/>
      <c r="F59" s="276">
        <v>233.978163</v>
      </c>
      <c r="G59" s="176"/>
      <c r="H59" s="276">
        <v>25.42783</v>
      </c>
      <c r="I59" s="276"/>
      <c r="J59" s="276">
        <f>F59-H59</f>
        <v>208.55033299999999</v>
      </c>
      <c r="K59" s="276"/>
      <c r="L59" s="275">
        <v>21.87</v>
      </c>
      <c r="M59" s="285"/>
      <c r="N59" s="285">
        <f>J59/L59</f>
        <v>9.535909144947416</v>
      </c>
      <c r="O59" s="285"/>
      <c r="P59" s="286">
        <f>F59/F61</f>
        <v>0.57978171356844255</v>
      </c>
      <c r="Q59" s="285"/>
      <c r="R59" s="285">
        <f>H61*P59</f>
        <v>19.707768972012992</v>
      </c>
      <c r="S59" s="285"/>
      <c r="T59" s="285">
        <f>F59-R59</f>
        <v>214.27039402798701</v>
      </c>
      <c r="U59" s="285"/>
      <c r="V59" s="285">
        <f>T59/L59</f>
        <v>9.7974574315494749</v>
      </c>
      <c r="W59" s="285"/>
      <c r="X59" s="285">
        <f>V59-N59</f>
        <v>0.26154828660205887</v>
      </c>
      <c r="Y59" s="158"/>
      <c r="Z59" s="158"/>
      <c r="AA59" s="158"/>
    </row>
    <row r="60" spans="1:27">
      <c r="A60" s="176"/>
      <c r="B60" s="166" t="s">
        <v>497</v>
      </c>
      <c r="C60" s="176"/>
      <c r="D60" s="166" t="s">
        <v>485</v>
      </c>
      <c r="E60" s="176"/>
      <c r="F60" s="279">
        <v>169.58434600000001</v>
      </c>
      <c r="G60" s="176"/>
      <c r="H60" s="279">
        <v>8.5638749999999995</v>
      </c>
      <c r="I60" s="276"/>
      <c r="J60" s="279">
        <f>F60-H60</f>
        <v>161.02047100000001</v>
      </c>
      <c r="K60" s="276"/>
      <c r="L60" s="280">
        <v>7.16</v>
      </c>
      <c r="M60" s="285"/>
      <c r="N60" s="288">
        <f>J60/L60</f>
        <v>22.488892597765364</v>
      </c>
      <c r="O60" s="285"/>
      <c r="P60" s="289">
        <f>F60/F61</f>
        <v>0.42021828643155756</v>
      </c>
      <c r="Q60" s="285"/>
      <c r="R60" s="285">
        <f>H61*P60</f>
        <v>14.283936027987005</v>
      </c>
      <c r="S60" s="285"/>
      <c r="T60" s="288">
        <f>F60-R60</f>
        <v>155.300409972013</v>
      </c>
      <c r="U60" s="285"/>
      <c r="V60" s="288">
        <f>T60/L60</f>
        <v>21.690001392739244</v>
      </c>
      <c r="W60" s="285"/>
      <c r="X60" s="288">
        <f>V60-N60</f>
        <v>-0.79889120502611988</v>
      </c>
      <c r="Y60" s="158"/>
      <c r="Z60" s="158"/>
      <c r="AA60" s="158"/>
    </row>
    <row r="61" spans="1:27">
      <c r="A61" s="176"/>
      <c r="B61" s="166" t="s">
        <v>482</v>
      </c>
      <c r="C61" s="176"/>
      <c r="D61" s="176" t="s">
        <v>484</v>
      </c>
      <c r="E61" s="176"/>
      <c r="F61" s="276">
        <f>SUM(F59:F60)</f>
        <v>403.56250899999998</v>
      </c>
      <c r="G61" s="176"/>
      <c r="H61" s="276">
        <f>SUM(H59:H60)</f>
        <v>33.991704999999996</v>
      </c>
      <c r="I61" s="276"/>
      <c r="J61" s="276">
        <f>SUM(J59:J60)</f>
        <v>369.57080400000001</v>
      </c>
      <c r="K61" s="276"/>
      <c r="L61" s="275"/>
      <c r="M61" s="285"/>
      <c r="N61" s="276">
        <f>SUM(N59:N60)</f>
        <v>32.024801742712782</v>
      </c>
      <c r="O61" s="285"/>
      <c r="P61" s="297">
        <f>SUM(P59:P60)</f>
        <v>1</v>
      </c>
      <c r="Q61" s="285"/>
      <c r="R61" s="290"/>
      <c r="S61" s="285"/>
      <c r="T61" s="276">
        <f>SUM(T59:T60)</f>
        <v>369.57080400000001</v>
      </c>
      <c r="U61" s="285"/>
      <c r="V61" s="298">
        <f>SUM(V59:V60)</f>
        <v>31.487458824288719</v>
      </c>
      <c r="W61" s="285"/>
      <c r="X61" s="276">
        <f>SUM(X59:X60)</f>
        <v>-0.53734291842406101</v>
      </c>
      <c r="Y61" s="158"/>
      <c r="Z61" s="367"/>
      <c r="AA61" s="158"/>
    </row>
    <row r="62" spans="1:27">
      <c r="A62" s="176"/>
      <c r="B62" s="176"/>
      <c r="C62" s="176"/>
      <c r="D62" s="176"/>
      <c r="E62" s="176"/>
      <c r="F62" s="176"/>
      <c r="G62" s="176"/>
      <c r="H62" s="276"/>
      <c r="I62" s="276"/>
      <c r="J62" s="276"/>
      <c r="K62" s="276"/>
      <c r="L62" s="276"/>
      <c r="M62" s="285"/>
      <c r="N62" s="285"/>
      <c r="O62" s="285"/>
      <c r="P62" s="285"/>
      <c r="Q62" s="285"/>
      <c r="R62" s="285"/>
      <c r="S62" s="285"/>
      <c r="T62" s="285"/>
      <c r="U62" s="285"/>
      <c r="V62" s="285"/>
      <c r="W62" s="285"/>
      <c r="X62" s="285"/>
      <c r="Y62" s="158"/>
      <c r="Z62" s="158"/>
      <c r="AA62" s="158"/>
    </row>
    <row r="63" spans="1:27">
      <c r="A63" s="176"/>
      <c r="B63" s="166" t="s">
        <v>498</v>
      </c>
      <c r="C63" s="176"/>
      <c r="D63" s="166" t="s">
        <v>476</v>
      </c>
      <c r="E63" s="176"/>
      <c r="F63" s="276">
        <v>278.605458</v>
      </c>
      <c r="G63" s="176"/>
      <c r="H63" s="276">
        <v>45.475532999999999</v>
      </c>
      <c r="I63" s="276"/>
      <c r="J63" s="276">
        <f>F63-H63</f>
        <v>233.12992500000001</v>
      </c>
      <c r="K63" s="276"/>
      <c r="L63" s="275">
        <v>25.84</v>
      </c>
      <c r="M63" s="285"/>
      <c r="N63" s="285">
        <f>J63/L63</f>
        <v>9.0220559210526314</v>
      </c>
      <c r="O63" s="285"/>
      <c r="P63" s="286">
        <f>F63/F65</f>
        <v>0.59710286521826561</v>
      </c>
      <c r="Q63" s="285"/>
      <c r="R63" s="285">
        <f>H65*P63</f>
        <v>36.818432080589858</v>
      </c>
      <c r="S63" s="285"/>
      <c r="T63" s="285">
        <f>F63-R63</f>
        <v>241.78702591941015</v>
      </c>
      <c r="U63" s="285"/>
      <c r="V63" s="285">
        <f>T63/L63</f>
        <v>9.3570830464168022</v>
      </c>
      <c r="W63" s="285"/>
      <c r="X63" s="285">
        <f>V63-N63</f>
        <v>0.33502712536417079</v>
      </c>
      <c r="Y63" s="158"/>
      <c r="Z63" s="158"/>
      <c r="AA63" s="158"/>
    </row>
    <row r="64" spans="1:27">
      <c r="A64" s="176"/>
      <c r="B64" s="166" t="s">
        <v>498</v>
      </c>
      <c r="C64" s="176"/>
      <c r="D64" s="166" t="s">
        <v>485</v>
      </c>
      <c r="E64" s="176"/>
      <c r="F64" s="279">
        <v>187.98995500000001</v>
      </c>
      <c r="G64" s="176"/>
      <c r="H64" s="279">
        <v>16.186257999999999</v>
      </c>
      <c r="I64" s="276"/>
      <c r="J64" s="279">
        <f>F64-H64</f>
        <v>171.803697</v>
      </c>
      <c r="K64" s="276"/>
      <c r="L64" s="280">
        <v>7.4</v>
      </c>
      <c r="M64" s="285"/>
      <c r="N64" s="288">
        <f>J64/L64</f>
        <v>23.216715810810811</v>
      </c>
      <c r="O64" s="285"/>
      <c r="P64" s="289">
        <f>F64/F65</f>
        <v>0.40289713478173433</v>
      </c>
      <c r="Q64" s="285"/>
      <c r="R64" s="285">
        <f>H65*P64</f>
        <v>24.843358919410132</v>
      </c>
      <c r="S64" s="285"/>
      <c r="T64" s="288">
        <f>F64-R64</f>
        <v>163.14659608058989</v>
      </c>
      <c r="U64" s="285"/>
      <c r="V64" s="288">
        <f>T64/L64</f>
        <v>22.046837308187822</v>
      </c>
      <c r="W64" s="285"/>
      <c r="X64" s="288">
        <f>V64-N64</f>
        <v>-1.1698785026229892</v>
      </c>
      <c r="Y64" s="158"/>
      <c r="Z64" s="158"/>
      <c r="AA64" s="158"/>
    </row>
    <row r="65" spans="1:27">
      <c r="A65" s="176"/>
      <c r="B65" s="166" t="s">
        <v>482</v>
      </c>
      <c r="C65" s="176"/>
      <c r="D65" s="176" t="s">
        <v>484</v>
      </c>
      <c r="E65" s="176"/>
      <c r="F65" s="276">
        <f>SUM(F63:F64)</f>
        <v>466.59541300000001</v>
      </c>
      <c r="G65" s="176"/>
      <c r="H65" s="276">
        <f>SUM(H63:H64)</f>
        <v>61.661790999999994</v>
      </c>
      <c r="I65" s="276"/>
      <c r="J65" s="276">
        <f>SUM(J63:J64)</f>
        <v>404.93362200000001</v>
      </c>
      <c r="K65" s="276"/>
      <c r="L65" s="275"/>
      <c r="M65" s="285"/>
      <c r="N65" s="276">
        <f>SUM(N63:N64)</f>
        <v>32.238771731863444</v>
      </c>
      <c r="O65" s="285"/>
      <c r="P65" s="297">
        <f>SUM(P63:P64)</f>
        <v>1</v>
      </c>
      <c r="Q65" s="285"/>
      <c r="R65" s="290"/>
      <c r="S65" s="285"/>
      <c r="T65" s="276">
        <f>SUM(T63:T64)</f>
        <v>404.93362200000001</v>
      </c>
      <c r="U65" s="285"/>
      <c r="V65" s="298">
        <f>SUM(V63:V64)</f>
        <v>31.403920354604622</v>
      </c>
      <c r="W65" s="285"/>
      <c r="X65" s="276">
        <f>SUM(X63:X64)</f>
        <v>-0.83485137725881842</v>
      </c>
      <c r="Y65" s="158"/>
      <c r="Z65" s="367"/>
      <c r="AA65" s="158"/>
    </row>
    <row r="66" spans="1:27">
      <c r="A66" s="176"/>
      <c r="B66" s="166"/>
      <c r="C66" s="176"/>
      <c r="D66" s="176"/>
      <c r="E66" s="176"/>
      <c r="F66" s="276"/>
      <c r="G66" s="176"/>
      <c r="H66" s="276"/>
      <c r="I66" s="276"/>
      <c r="J66" s="276"/>
      <c r="K66" s="276"/>
      <c r="L66" s="275"/>
      <c r="M66" s="285"/>
      <c r="N66" s="291"/>
      <c r="O66" s="285"/>
      <c r="P66" s="285"/>
      <c r="Q66" s="285"/>
      <c r="R66" s="285"/>
      <c r="S66" s="285"/>
      <c r="T66" s="285"/>
      <c r="U66" s="285"/>
      <c r="V66" s="285"/>
      <c r="W66" s="285"/>
      <c r="X66" s="285"/>
      <c r="Y66" s="158"/>
      <c r="Z66" s="158"/>
      <c r="AA66" s="158"/>
    </row>
    <row r="67" spans="1:27">
      <c r="A67" s="176"/>
      <c r="B67" s="166" t="s">
        <v>499</v>
      </c>
      <c r="C67" s="176"/>
      <c r="D67" s="166" t="s">
        <v>476</v>
      </c>
      <c r="E67" s="176"/>
      <c r="F67" s="276">
        <v>31.305861</v>
      </c>
      <c r="G67" s="176"/>
      <c r="H67" s="276">
        <v>2.1511140000000002</v>
      </c>
      <c r="I67" s="276"/>
      <c r="J67" s="276">
        <f>F67-H67</f>
        <v>29.154747</v>
      </c>
      <c r="K67" s="276"/>
      <c r="L67" s="275">
        <v>29.39</v>
      </c>
      <c r="M67" s="285"/>
      <c r="N67" s="285">
        <f>J67/L67</f>
        <v>0.99199547465124194</v>
      </c>
      <c r="O67" s="285"/>
      <c r="P67" s="286">
        <f>F67/F69</f>
        <v>0.19804079057429952</v>
      </c>
      <c r="Q67" s="285"/>
      <c r="R67" s="285">
        <f>H69*P67</f>
        <v>3.7264299809031236</v>
      </c>
      <c r="S67" s="285"/>
      <c r="T67" s="285">
        <f>F67-R67</f>
        <v>27.579431019096877</v>
      </c>
      <c r="U67" s="285"/>
      <c r="V67" s="285">
        <f>T67/L67</f>
        <v>0.93839506699887298</v>
      </c>
      <c r="W67" s="285"/>
      <c r="X67" s="285">
        <f>V67-N67</f>
        <v>-5.3600407652368953E-2</v>
      </c>
      <c r="Y67" s="158"/>
      <c r="Z67" s="158"/>
      <c r="AA67" s="158"/>
    </row>
    <row r="68" spans="1:27">
      <c r="A68" s="176"/>
      <c r="B68" s="166" t="s">
        <v>499</v>
      </c>
      <c r="C68" s="176"/>
      <c r="D68" s="166" t="s">
        <v>485</v>
      </c>
      <c r="E68" s="176"/>
      <c r="F68" s="279">
        <v>126.77198199999999</v>
      </c>
      <c r="G68" s="176"/>
      <c r="H68" s="279">
        <v>16.665362999999999</v>
      </c>
      <c r="I68" s="276"/>
      <c r="J68" s="279">
        <f>F68-H68</f>
        <v>110.10661899999999</v>
      </c>
      <c r="K68" s="276"/>
      <c r="L68" s="280">
        <v>6.89</v>
      </c>
      <c r="M68" s="285"/>
      <c r="N68" s="288">
        <f>J68/L68</f>
        <v>15.980641364296082</v>
      </c>
      <c r="O68" s="285"/>
      <c r="P68" s="289">
        <f>F68/F69</f>
        <v>0.80195920942570043</v>
      </c>
      <c r="Q68" s="285"/>
      <c r="R68" s="285">
        <f>H69*P68</f>
        <v>15.090047019096874</v>
      </c>
      <c r="S68" s="285"/>
      <c r="T68" s="288">
        <f>F68-R68</f>
        <v>111.68193498090312</v>
      </c>
      <c r="U68" s="285"/>
      <c r="V68" s="288">
        <f>T68/L68</f>
        <v>16.209279387649222</v>
      </c>
      <c r="W68" s="285"/>
      <c r="X68" s="288">
        <f>V68-N68</f>
        <v>0.22863802335313999</v>
      </c>
      <c r="Y68" s="158"/>
      <c r="Z68" s="158"/>
      <c r="AA68" s="158"/>
    </row>
    <row r="69" spans="1:27">
      <c r="A69" s="176"/>
      <c r="B69" s="166" t="s">
        <v>482</v>
      </c>
      <c r="C69" s="176"/>
      <c r="D69" s="176" t="s">
        <v>484</v>
      </c>
      <c r="E69" s="176"/>
      <c r="F69" s="276">
        <f>SUM(F67:F68)</f>
        <v>158.077843</v>
      </c>
      <c r="G69" s="176"/>
      <c r="H69" s="276">
        <f>SUM(H67:H68)</f>
        <v>18.816476999999999</v>
      </c>
      <c r="I69" s="276"/>
      <c r="J69" s="276">
        <f>SUM(J67:J68)</f>
        <v>139.26136600000001</v>
      </c>
      <c r="K69" s="276"/>
      <c r="L69" s="275"/>
      <c r="M69" s="285"/>
      <c r="N69" s="276">
        <f>SUM(N67:N68)</f>
        <v>16.972636838947324</v>
      </c>
      <c r="O69" s="285"/>
      <c r="P69" s="297">
        <f>SUM(P67:P68)</f>
        <v>1</v>
      </c>
      <c r="Q69" s="285"/>
      <c r="R69" s="290"/>
      <c r="S69" s="285"/>
      <c r="T69" s="276">
        <f>SUM(T67:T68)</f>
        <v>139.26136600000001</v>
      </c>
      <c r="U69" s="285"/>
      <c r="V69" s="298">
        <f>SUM(V67:V68)</f>
        <v>17.147674454648094</v>
      </c>
      <c r="W69" s="285"/>
      <c r="X69" s="276">
        <f>SUM(X67:X68)</f>
        <v>0.17503761570077103</v>
      </c>
      <c r="Y69" s="158"/>
      <c r="Z69" s="367"/>
      <c r="AA69" s="158"/>
    </row>
    <row r="70" spans="1:27">
      <c r="A70" s="176"/>
      <c r="B70" s="166"/>
      <c r="C70" s="176"/>
      <c r="D70" s="176"/>
      <c r="E70" s="176"/>
      <c r="F70" s="276"/>
      <c r="G70" s="176"/>
      <c r="H70" s="276"/>
      <c r="I70" s="276"/>
      <c r="J70" s="276"/>
      <c r="K70" s="276"/>
      <c r="L70" s="275"/>
      <c r="M70" s="285"/>
      <c r="N70" s="291"/>
      <c r="O70" s="285"/>
      <c r="P70" s="285"/>
      <c r="Q70" s="285"/>
      <c r="R70" s="285"/>
      <c r="S70" s="285"/>
      <c r="T70" s="285"/>
      <c r="U70" s="285"/>
      <c r="V70" s="285"/>
      <c r="W70" s="285"/>
      <c r="X70" s="285"/>
      <c r="Y70" s="158"/>
      <c r="Z70" s="158"/>
      <c r="AA70" s="158"/>
    </row>
    <row r="71" spans="1:27">
      <c r="A71" s="176"/>
      <c r="B71" s="166" t="s">
        <v>500</v>
      </c>
      <c r="C71" s="176"/>
      <c r="D71" s="166" t="s">
        <v>476</v>
      </c>
      <c r="E71" s="176"/>
      <c r="F71" s="276">
        <v>302.83179899999999</v>
      </c>
      <c r="G71" s="176"/>
      <c r="H71" s="276">
        <v>-12.320142000000001</v>
      </c>
      <c r="I71" s="276"/>
      <c r="J71" s="276">
        <f>F71-H71</f>
        <v>315.15194099999997</v>
      </c>
      <c r="K71" s="276"/>
      <c r="L71" s="275">
        <v>27.4</v>
      </c>
      <c r="M71" s="285"/>
      <c r="N71" s="285">
        <f>J71/L71</f>
        <v>11.501895656934305</v>
      </c>
      <c r="O71" s="285"/>
      <c r="P71" s="286">
        <f>F71/F73</f>
        <v>0.7869635121934182</v>
      </c>
      <c r="Q71" s="285"/>
      <c r="R71" s="285">
        <f>H73*P71</f>
        <v>-12.790039489864213</v>
      </c>
      <c r="S71" s="285"/>
      <c r="T71" s="285">
        <f>F71-R71</f>
        <v>315.62183848986422</v>
      </c>
      <c r="U71" s="285"/>
      <c r="V71" s="285">
        <f>T71/L71</f>
        <v>11.519045200360008</v>
      </c>
      <c r="W71" s="285"/>
      <c r="X71" s="285">
        <f>V71-N71</f>
        <v>1.7149543425702518E-2</v>
      </c>
      <c r="Y71" s="158"/>
      <c r="Z71" s="158"/>
      <c r="AA71" s="158"/>
    </row>
    <row r="72" spans="1:27">
      <c r="A72" s="176"/>
      <c r="B72" s="166" t="s">
        <v>500</v>
      </c>
      <c r="C72" s="176"/>
      <c r="D72" s="166" t="s">
        <v>485</v>
      </c>
      <c r="E72" s="176"/>
      <c r="F72" s="279">
        <v>81.978671000000006</v>
      </c>
      <c r="G72" s="176"/>
      <c r="H72" s="279">
        <v>-3.9322499999999998</v>
      </c>
      <c r="I72" s="276"/>
      <c r="J72" s="279">
        <f>F72-H72</f>
        <v>85.910921000000002</v>
      </c>
      <c r="K72" s="276"/>
      <c r="L72" s="280">
        <v>5.91</v>
      </c>
      <c r="M72" s="285"/>
      <c r="N72" s="288">
        <f>J72/L72</f>
        <v>14.536534856175972</v>
      </c>
      <c r="O72" s="285"/>
      <c r="P72" s="289">
        <f>F72/F73</f>
        <v>0.21303648780658177</v>
      </c>
      <c r="Q72" s="285"/>
      <c r="R72" s="285">
        <f>H73*P72</f>
        <v>-3.462352510135787</v>
      </c>
      <c r="S72" s="285"/>
      <c r="T72" s="288">
        <f>F72-R72</f>
        <v>85.441023510135793</v>
      </c>
      <c r="U72" s="285"/>
      <c r="V72" s="288">
        <f>T72/L72</f>
        <v>14.457025974642265</v>
      </c>
      <c r="W72" s="285"/>
      <c r="X72" s="288">
        <f>V72-N72</f>
        <v>-7.9508881533707054E-2</v>
      </c>
      <c r="Y72" s="158"/>
      <c r="Z72" s="158"/>
      <c r="AA72" s="158"/>
    </row>
    <row r="73" spans="1:27">
      <c r="A73" s="176"/>
      <c r="B73" s="166" t="s">
        <v>482</v>
      </c>
      <c r="C73" s="176"/>
      <c r="D73" s="176" t="s">
        <v>484</v>
      </c>
      <c r="E73" s="176"/>
      <c r="F73" s="276">
        <f>SUM(F71:F72)</f>
        <v>384.81047000000001</v>
      </c>
      <c r="G73" s="176"/>
      <c r="H73" s="276">
        <f>SUM(H71:H72)</f>
        <v>-16.252392</v>
      </c>
      <c r="I73" s="276"/>
      <c r="J73" s="276">
        <f>SUM(J71:J72)</f>
        <v>401.062862</v>
      </c>
      <c r="K73" s="276"/>
      <c r="L73" s="275"/>
      <c r="M73" s="285"/>
      <c r="N73" s="276">
        <f>SUM(N71:N72)</f>
        <v>26.038430513110278</v>
      </c>
      <c r="O73" s="285"/>
      <c r="P73" s="297">
        <f>SUM(P71:P72)</f>
        <v>1</v>
      </c>
      <c r="Q73" s="285"/>
      <c r="R73" s="290"/>
      <c r="S73" s="285"/>
      <c r="T73" s="276">
        <f>SUM(T71:T72)</f>
        <v>401.062862</v>
      </c>
      <c r="U73" s="285"/>
      <c r="V73" s="298">
        <f>SUM(V71:V72)</f>
        <v>25.976071175002275</v>
      </c>
      <c r="W73" s="285"/>
      <c r="X73" s="276">
        <f>SUM(X71:X72)</f>
        <v>-6.2359338108004536E-2</v>
      </c>
      <c r="Y73" s="158"/>
      <c r="Z73" s="367"/>
      <c r="AA73" s="158"/>
    </row>
    <row r="74" spans="1:27">
      <c r="A74" s="176"/>
      <c r="B74" s="166"/>
      <c r="C74" s="176"/>
      <c r="D74" s="176"/>
      <c r="E74" s="176"/>
      <c r="F74" s="176"/>
      <c r="G74" s="176"/>
      <c r="H74" s="276"/>
      <c r="I74" s="276"/>
      <c r="J74" s="276"/>
      <c r="K74" s="276"/>
      <c r="L74" s="276"/>
      <c r="M74" s="285"/>
      <c r="N74" s="285"/>
      <c r="O74" s="285"/>
      <c r="P74" s="285"/>
      <c r="Q74" s="285"/>
      <c r="R74" s="285"/>
      <c r="S74" s="285"/>
      <c r="T74" s="285"/>
      <c r="U74" s="285"/>
      <c r="V74" s="285"/>
      <c r="W74" s="285"/>
      <c r="X74" s="285"/>
      <c r="Y74" s="158"/>
      <c r="Z74" s="158"/>
      <c r="AA74" s="158"/>
    </row>
    <row r="75" spans="1:27">
      <c r="A75" s="176"/>
      <c r="B75" s="166" t="s">
        <v>501</v>
      </c>
      <c r="C75" s="176"/>
      <c r="D75" s="166" t="s">
        <v>476</v>
      </c>
      <c r="E75" s="176"/>
      <c r="F75" s="276">
        <v>257.77257600000002</v>
      </c>
      <c r="G75" s="176"/>
      <c r="H75" s="276">
        <v>25.698198999999999</v>
      </c>
      <c r="I75" s="276"/>
      <c r="J75" s="276">
        <f>F75-H75</f>
        <v>232.07437700000003</v>
      </c>
      <c r="K75" s="276"/>
      <c r="L75" s="275">
        <v>27.39</v>
      </c>
      <c r="M75" s="285"/>
      <c r="N75" s="285">
        <f>J75/L75</f>
        <v>8.4729600949251562</v>
      </c>
      <c r="O75" s="285"/>
      <c r="P75" s="286">
        <f>F75/F77</f>
        <v>0.63229855545740965</v>
      </c>
      <c r="Q75" s="285"/>
      <c r="R75" s="285">
        <f>H77*P75</f>
        <v>27.508559649235657</v>
      </c>
      <c r="S75" s="285"/>
      <c r="T75" s="285">
        <f>F75-R75</f>
        <v>230.26401635076436</v>
      </c>
      <c r="U75" s="285"/>
      <c r="V75" s="285">
        <f>T75/L75</f>
        <v>8.4068644158731054</v>
      </c>
      <c r="W75" s="285"/>
      <c r="X75" s="285">
        <f>V75-N75</f>
        <v>-6.6095679052050826E-2</v>
      </c>
      <c r="Y75" s="158"/>
      <c r="Z75" s="158"/>
      <c r="AA75" s="158"/>
    </row>
    <row r="76" spans="1:27">
      <c r="A76" s="176"/>
      <c r="B76" s="166" t="s">
        <v>501</v>
      </c>
      <c r="C76" s="176"/>
      <c r="D76" s="166" t="s">
        <v>485</v>
      </c>
      <c r="E76" s="176"/>
      <c r="F76" s="279">
        <v>149.902839</v>
      </c>
      <c r="G76" s="176"/>
      <c r="H76" s="279">
        <v>17.807451</v>
      </c>
      <c r="I76" s="276"/>
      <c r="J76" s="279">
        <f>F76-H76</f>
        <v>132.09538800000001</v>
      </c>
      <c r="K76" s="276"/>
      <c r="L76" s="280">
        <v>5.84</v>
      </c>
      <c r="M76" s="285"/>
      <c r="N76" s="288">
        <f>J76/L76</f>
        <v>22.619073287671235</v>
      </c>
      <c r="O76" s="285"/>
      <c r="P76" s="289">
        <f>F76/F77</f>
        <v>0.36770144454259029</v>
      </c>
      <c r="Q76" s="285"/>
      <c r="R76" s="285">
        <f>H77*P76</f>
        <v>15.997090350764344</v>
      </c>
      <c r="S76" s="285"/>
      <c r="T76" s="288">
        <f>F76-R76</f>
        <v>133.90574864923565</v>
      </c>
      <c r="U76" s="285"/>
      <c r="V76" s="288">
        <f>T76/L76</f>
        <v>22.929066549526652</v>
      </c>
      <c r="W76" s="285"/>
      <c r="X76" s="288">
        <f>V76-N76</f>
        <v>0.30999326185541776</v>
      </c>
      <c r="Y76" s="158"/>
      <c r="Z76" s="158"/>
      <c r="AA76" s="158"/>
    </row>
    <row r="77" spans="1:27">
      <c r="A77" s="176"/>
      <c r="B77" s="166" t="s">
        <v>482</v>
      </c>
      <c r="C77" s="176"/>
      <c r="D77" s="176" t="s">
        <v>484</v>
      </c>
      <c r="E77" s="176"/>
      <c r="F77" s="276">
        <f>SUM(F75:F76)</f>
        <v>407.67541500000004</v>
      </c>
      <c r="G77" s="176"/>
      <c r="H77" s="276">
        <f>SUM(H75:H76)</f>
        <v>43.505650000000003</v>
      </c>
      <c r="I77" s="276"/>
      <c r="J77" s="276">
        <f>SUM(J75:J76)</f>
        <v>364.16976500000004</v>
      </c>
      <c r="K77" s="276"/>
      <c r="L77" s="275"/>
      <c r="M77" s="285"/>
      <c r="N77" s="276">
        <f>SUM(N75:N76)</f>
        <v>31.092033382596391</v>
      </c>
      <c r="O77" s="285"/>
      <c r="P77" s="297">
        <f>SUM(P75:P76)</f>
        <v>1</v>
      </c>
      <c r="Q77" s="285"/>
      <c r="R77" s="290"/>
      <c r="S77" s="285"/>
      <c r="T77" s="276">
        <f>SUM(T75:T76)</f>
        <v>364.16976499999998</v>
      </c>
      <c r="U77" s="285"/>
      <c r="V77" s="298">
        <f>SUM(V75:V76)</f>
        <v>31.335930965399758</v>
      </c>
      <c r="W77" s="285"/>
      <c r="X77" s="276">
        <f>SUM(X75:X76)</f>
        <v>0.24389758280336693</v>
      </c>
      <c r="Y77" s="158"/>
      <c r="Z77" s="367"/>
      <c r="AA77" s="158"/>
    </row>
    <row r="78" spans="1:27">
      <c r="A78" s="176"/>
      <c r="B78" s="176"/>
      <c r="C78" s="176"/>
      <c r="D78" s="176"/>
      <c r="E78" s="176"/>
      <c r="F78" s="176"/>
      <c r="G78" s="176"/>
      <c r="H78" s="276"/>
      <c r="I78" s="276"/>
      <c r="J78" s="276"/>
      <c r="K78" s="276"/>
      <c r="L78" s="276"/>
      <c r="M78" s="285"/>
      <c r="N78" s="285"/>
      <c r="O78" s="285"/>
      <c r="P78" s="285"/>
      <c r="Q78" s="285"/>
      <c r="R78" s="285"/>
      <c r="S78" s="285"/>
      <c r="T78" s="285"/>
      <c r="U78" s="285"/>
      <c r="V78" s="285"/>
      <c r="W78" s="285"/>
      <c r="X78" s="285"/>
      <c r="Y78" s="158"/>
      <c r="Z78" s="158"/>
      <c r="AA78" s="158"/>
    </row>
    <row r="79" spans="1:27">
      <c r="A79" s="176"/>
      <c r="B79" s="166" t="s">
        <v>502</v>
      </c>
      <c r="C79" s="176"/>
      <c r="D79" s="166" t="s">
        <v>476</v>
      </c>
      <c r="E79" s="176"/>
      <c r="F79" s="276">
        <v>506.388398</v>
      </c>
      <c r="G79" s="176"/>
      <c r="H79" s="276">
        <v>29.212173</v>
      </c>
      <c r="I79" s="276"/>
      <c r="J79" s="276">
        <f>F79-H79</f>
        <v>477.17622499999999</v>
      </c>
      <c r="K79" s="276"/>
      <c r="L79" s="275">
        <v>28.99</v>
      </c>
      <c r="M79" s="285"/>
      <c r="N79" s="285">
        <f>J79/L79</f>
        <v>16.460028458088996</v>
      </c>
      <c r="O79" s="285"/>
      <c r="P79" s="286">
        <f>F79/F81</f>
        <v>0.85766661242444653</v>
      </c>
      <c r="Q79" s="285"/>
      <c r="R79" s="285">
        <f>H81*P79</f>
        <v>29.314143405057926</v>
      </c>
      <c r="S79" s="285"/>
      <c r="T79" s="285">
        <f>F79-R79</f>
        <v>477.07425459494209</v>
      </c>
      <c r="U79" s="285"/>
      <c r="V79" s="285">
        <f>T79/L79</f>
        <v>16.456511024316733</v>
      </c>
      <c r="W79" s="285"/>
      <c r="X79" s="285">
        <f>V79-N79</f>
        <v>-3.51743377226299E-3</v>
      </c>
      <c r="Y79" s="158"/>
      <c r="Z79" s="158"/>
      <c r="AA79" s="158"/>
    </row>
    <row r="80" spans="1:27">
      <c r="A80" s="176"/>
      <c r="B80" s="166" t="s">
        <v>502</v>
      </c>
      <c r="C80" s="176"/>
      <c r="D80" s="166" t="s">
        <v>485</v>
      </c>
      <c r="E80" s="176"/>
      <c r="F80" s="279">
        <v>84.037288000000004</v>
      </c>
      <c r="G80" s="176"/>
      <c r="H80" s="279">
        <v>4.9667760000000003</v>
      </c>
      <c r="I80" s="276"/>
      <c r="J80" s="279">
        <f>F80-H80</f>
        <v>79.070512000000008</v>
      </c>
      <c r="K80" s="276"/>
      <c r="L80" s="280">
        <v>6.9</v>
      </c>
      <c r="M80" s="285"/>
      <c r="N80" s="288">
        <f>J80/L80</f>
        <v>11.459494492753624</v>
      </c>
      <c r="O80" s="285"/>
      <c r="P80" s="289">
        <f>F80/F81</f>
        <v>0.14233338757555342</v>
      </c>
      <c r="Q80" s="285"/>
      <c r="R80" s="285">
        <f>H81*P80</f>
        <v>4.8648055949420739</v>
      </c>
      <c r="S80" s="285"/>
      <c r="T80" s="288">
        <f>F80-R80</f>
        <v>79.172482405057934</v>
      </c>
      <c r="U80" s="285"/>
      <c r="V80" s="288">
        <f>T80/L80</f>
        <v>11.474272812327236</v>
      </c>
      <c r="W80" s="285"/>
      <c r="X80" s="288">
        <f>V80-N80</f>
        <v>1.4778319573611753E-2</v>
      </c>
      <c r="Y80" s="158"/>
      <c r="Z80" s="158"/>
      <c r="AA80" s="158"/>
    </row>
    <row r="81" spans="1:27">
      <c r="A81" s="176"/>
      <c r="B81" s="166" t="s">
        <v>482</v>
      </c>
      <c r="C81" s="176"/>
      <c r="D81" s="176" t="s">
        <v>484</v>
      </c>
      <c r="E81" s="176"/>
      <c r="F81" s="276">
        <f>SUM(F79:F80)</f>
        <v>590.42568600000004</v>
      </c>
      <c r="G81" s="176"/>
      <c r="H81" s="276">
        <f>SUM(H79:H80)</f>
        <v>34.178949000000003</v>
      </c>
      <c r="I81" s="276"/>
      <c r="J81" s="276">
        <f>SUM(J79:J80)</f>
        <v>556.24673699999994</v>
      </c>
      <c r="K81" s="276"/>
      <c r="L81" s="275"/>
      <c r="M81" s="285"/>
      <c r="N81" s="276">
        <f>SUM(N79:N80)</f>
        <v>27.919522950842619</v>
      </c>
      <c r="O81" s="285"/>
      <c r="P81" s="297">
        <f>SUM(P79:P80)</f>
        <v>1</v>
      </c>
      <c r="Q81" s="285"/>
      <c r="R81" s="290"/>
      <c r="S81" s="285"/>
      <c r="T81" s="276">
        <f>SUM(T79:T80)</f>
        <v>556.24673700000005</v>
      </c>
      <c r="U81" s="285"/>
      <c r="V81" s="298">
        <f>SUM(V79:V80)</f>
        <v>27.930783836643968</v>
      </c>
      <c r="W81" s="285"/>
      <c r="X81" s="276">
        <f>SUM(X79:X80)</f>
        <v>1.1260885801348763E-2</v>
      </c>
      <c r="Y81" s="158"/>
      <c r="Z81" s="367"/>
      <c r="AA81" s="158"/>
    </row>
    <row r="82" spans="1:27">
      <c r="A82" s="176"/>
      <c r="B82" s="166"/>
      <c r="C82" s="176"/>
      <c r="D82" s="176"/>
      <c r="E82" s="176"/>
      <c r="F82" s="276"/>
      <c r="G82" s="176"/>
      <c r="H82" s="276"/>
      <c r="I82" s="276"/>
      <c r="J82" s="276"/>
      <c r="K82" s="276"/>
      <c r="L82" s="275"/>
      <c r="M82" s="285"/>
      <c r="N82" s="291"/>
      <c r="O82" s="285"/>
      <c r="P82" s="285"/>
      <c r="Q82" s="285"/>
      <c r="R82" s="285"/>
      <c r="S82" s="285"/>
      <c r="T82" s="285"/>
      <c r="U82" s="285"/>
      <c r="V82" s="285"/>
      <c r="W82" s="285"/>
      <c r="X82" s="285"/>
      <c r="Y82" s="158"/>
      <c r="Z82" s="158"/>
      <c r="AA82" s="158"/>
    </row>
    <row r="83" spans="1:27">
      <c r="A83" s="176"/>
      <c r="B83" s="166" t="s">
        <v>503</v>
      </c>
      <c r="C83" s="176"/>
      <c r="D83" s="166" t="s">
        <v>476</v>
      </c>
      <c r="E83" s="176"/>
      <c r="F83" s="276">
        <v>400.91390799999999</v>
      </c>
      <c r="G83" s="176"/>
      <c r="H83" s="276">
        <v>38.175123999999997</v>
      </c>
      <c r="I83" s="276"/>
      <c r="J83" s="276">
        <f>F83-H83</f>
        <v>362.73878400000001</v>
      </c>
      <c r="K83" s="276"/>
      <c r="L83" s="275">
        <v>30.59</v>
      </c>
      <c r="M83" s="285"/>
      <c r="N83" s="285">
        <f>J83/L83</f>
        <v>11.858083818241255</v>
      </c>
      <c r="O83" s="285"/>
      <c r="P83" s="286">
        <f>F83/F85</f>
        <v>0.63608241833008083</v>
      </c>
      <c r="Q83" s="285"/>
      <c r="R83" s="285">
        <f>H85*P83</f>
        <v>40.596926715987621</v>
      </c>
      <c r="S83" s="285"/>
      <c r="T83" s="285">
        <f>F83-R83</f>
        <v>360.3169812840124</v>
      </c>
      <c r="U83" s="285"/>
      <c r="V83" s="285">
        <f>T83/L83</f>
        <v>11.77891406616582</v>
      </c>
      <c r="W83" s="285"/>
      <c r="X83" s="285">
        <f>V83-N83</f>
        <v>-7.9169752075435085E-2</v>
      </c>
      <c r="Y83" s="158"/>
      <c r="Z83" s="158"/>
      <c r="AA83" s="158"/>
    </row>
    <row r="84" spans="1:27">
      <c r="A84" s="176"/>
      <c r="B84" s="166" t="s">
        <v>503</v>
      </c>
      <c r="C84" s="176"/>
      <c r="D84" s="166" t="s">
        <v>485</v>
      </c>
      <c r="E84" s="176"/>
      <c r="F84" s="279">
        <v>229.37219400000001</v>
      </c>
      <c r="G84" s="176"/>
      <c r="H84" s="279">
        <v>25.648250999999998</v>
      </c>
      <c r="I84" s="276"/>
      <c r="J84" s="279">
        <f>F84-H84</f>
        <v>203.72394300000002</v>
      </c>
      <c r="K84" s="276"/>
      <c r="L84" s="280">
        <v>7.28</v>
      </c>
      <c r="M84" s="285"/>
      <c r="N84" s="288">
        <f>J84/L84</f>
        <v>27.984058104395608</v>
      </c>
      <c r="O84" s="285"/>
      <c r="P84" s="289">
        <f>F84/F85</f>
        <v>0.36391758166991917</v>
      </c>
      <c r="Q84" s="285"/>
      <c r="R84" s="285">
        <f>H85*P84</f>
        <v>23.226448284012378</v>
      </c>
      <c r="S84" s="285"/>
      <c r="T84" s="288">
        <f>F84-R84</f>
        <v>206.14574571598763</v>
      </c>
      <c r="U84" s="285"/>
      <c r="V84" s="288">
        <f>T84/L84</f>
        <v>28.316723312635663</v>
      </c>
      <c r="W84" s="285"/>
      <c r="X84" s="288">
        <f>V84-N84</f>
        <v>0.33266520824005497</v>
      </c>
      <c r="Y84" s="158"/>
      <c r="Z84" s="158"/>
      <c r="AA84" s="158"/>
    </row>
    <row r="85" spans="1:27">
      <c r="A85" s="176"/>
      <c r="B85" s="166" t="s">
        <v>482</v>
      </c>
      <c r="C85" s="176"/>
      <c r="D85" s="176" t="s">
        <v>484</v>
      </c>
      <c r="E85" s="176"/>
      <c r="F85" s="276">
        <f>SUM(F83:F84)</f>
        <v>630.28610200000003</v>
      </c>
      <c r="G85" s="176"/>
      <c r="H85" s="276">
        <f>SUM(H83:H84)</f>
        <v>63.823374999999999</v>
      </c>
      <c r="I85" s="276"/>
      <c r="J85" s="276">
        <f>SUM(J83:J84)</f>
        <v>566.46272700000009</v>
      </c>
      <c r="K85" s="276"/>
      <c r="L85" s="275"/>
      <c r="M85" s="285"/>
      <c r="N85" s="276">
        <f>SUM(N83:N84)</f>
        <v>39.842141922636863</v>
      </c>
      <c r="O85" s="285"/>
      <c r="P85" s="297">
        <f>SUM(P83:P84)</f>
        <v>1</v>
      </c>
      <c r="Q85" s="285"/>
      <c r="R85" s="290"/>
      <c r="S85" s="285"/>
      <c r="T85" s="276">
        <f>SUM(T83:T84)</f>
        <v>566.46272700000009</v>
      </c>
      <c r="U85" s="285"/>
      <c r="V85" s="298">
        <f>SUM(V83:V84)</f>
        <v>40.095637378801484</v>
      </c>
      <c r="W85" s="285"/>
      <c r="X85" s="276">
        <f>SUM(X83:X84)</f>
        <v>0.25349545616461988</v>
      </c>
      <c r="Y85" s="158"/>
      <c r="Z85" s="367"/>
      <c r="AA85" s="158"/>
    </row>
    <row r="86" spans="1:27">
      <c r="A86" s="176"/>
      <c r="B86" s="166"/>
      <c r="C86" s="176"/>
      <c r="D86" s="176"/>
      <c r="E86" s="176"/>
      <c r="F86" s="176"/>
      <c r="G86" s="176"/>
      <c r="H86" s="276"/>
      <c r="I86" s="276"/>
      <c r="J86" s="276"/>
      <c r="K86" s="276"/>
      <c r="L86" s="276"/>
      <c r="M86" s="285"/>
      <c r="N86" s="285"/>
      <c r="O86" s="285"/>
      <c r="P86" s="285"/>
      <c r="Q86" s="285"/>
      <c r="R86" s="285"/>
      <c r="S86" s="285"/>
      <c r="T86" s="285"/>
      <c r="U86" s="285"/>
      <c r="V86" s="285"/>
      <c r="W86" s="285"/>
      <c r="X86" s="285"/>
      <c r="Y86" s="158"/>
      <c r="Z86" s="158"/>
      <c r="AA86" s="158"/>
    </row>
    <row r="87" spans="1:27">
      <c r="A87" s="176"/>
      <c r="B87" s="166" t="s">
        <v>504</v>
      </c>
      <c r="C87" s="176"/>
      <c r="D87" s="166" t="s">
        <v>476</v>
      </c>
      <c r="E87" s="176"/>
      <c r="F87" s="276">
        <v>533.78014399999995</v>
      </c>
      <c r="G87" s="176"/>
      <c r="H87" s="276">
        <v>51.780970000000003</v>
      </c>
      <c r="I87" s="276"/>
      <c r="J87" s="276">
        <f>F87-H87</f>
        <v>481.99917399999993</v>
      </c>
      <c r="K87" s="276"/>
      <c r="L87" s="275">
        <v>31.39</v>
      </c>
      <c r="M87" s="285"/>
      <c r="N87" s="285">
        <f>J87/L87</f>
        <v>15.355182351067215</v>
      </c>
      <c r="O87" s="285"/>
      <c r="P87" s="286">
        <f>F87/F89</f>
        <v>0.79277602387999124</v>
      </c>
      <c r="Q87" s="285"/>
      <c r="R87" s="285">
        <f>H89*P87</f>
        <v>58.46741806351497</v>
      </c>
      <c r="S87" s="285"/>
      <c r="T87" s="285">
        <f>F87-R87</f>
        <v>475.31272593648498</v>
      </c>
      <c r="U87" s="285"/>
      <c r="V87" s="285">
        <f>T87/L87</f>
        <v>15.142170306992194</v>
      </c>
      <c r="W87" s="285"/>
      <c r="X87" s="285">
        <f>V87-N87</f>
        <v>-0.21301204407502183</v>
      </c>
      <c r="Y87" s="158"/>
      <c r="Z87" s="158"/>
      <c r="AA87" s="158"/>
    </row>
    <row r="88" spans="1:27">
      <c r="A88" s="176"/>
      <c r="B88" s="166" t="s">
        <v>504</v>
      </c>
      <c r="C88" s="176"/>
      <c r="D88" s="166" t="s">
        <v>485</v>
      </c>
      <c r="E88" s="176"/>
      <c r="F88" s="279">
        <v>139.52496099999999</v>
      </c>
      <c r="G88" s="176"/>
      <c r="H88" s="279">
        <v>21.969265</v>
      </c>
      <c r="I88" s="276"/>
      <c r="J88" s="279">
        <f>F88-H88</f>
        <v>117.55569599999998</v>
      </c>
      <c r="K88" s="276"/>
      <c r="L88" s="280">
        <v>7.12</v>
      </c>
      <c r="M88" s="285"/>
      <c r="N88" s="288">
        <f>J88/L88</f>
        <v>16.510631460674155</v>
      </c>
      <c r="O88" s="285"/>
      <c r="P88" s="289">
        <f>F88/F89</f>
        <v>0.20722397612000878</v>
      </c>
      <c r="Q88" s="285"/>
      <c r="R88" s="285">
        <f>H89*P88</f>
        <v>15.282816936485037</v>
      </c>
      <c r="S88" s="285"/>
      <c r="T88" s="288">
        <f>F88-R88</f>
        <v>124.24214406351496</v>
      </c>
      <c r="U88" s="285"/>
      <c r="V88" s="288">
        <f>T88/L88</f>
        <v>17.449739334763336</v>
      </c>
      <c r="W88" s="285"/>
      <c r="X88" s="288">
        <f>V88-N88</f>
        <v>0.93910787408918139</v>
      </c>
      <c r="Y88" s="158"/>
      <c r="Z88" s="158"/>
      <c r="AA88" s="158"/>
    </row>
    <row r="89" spans="1:27">
      <c r="A89" s="176"/>
      <c r="B89" s="166" t="s">
        <v>482</v>
      </c>
      <c r="C89" s="176"/>
      <c r="D89" s="176" t="s">
        <v>484</v>
      </c>
      <c r="E89" s="176"/>
      <c r="F89" s="276">
        <f>SUM(F87:F88)</f>
        <v>673.30510499999991</v>
      </c>
      <c r="G89" s="176"/>
      <c r="H89" s="276">
        <f>SUM(H87:H88)</f>
        <v>73.750235000000004</v>
      </c>
      <c r="I89" s="276"/>
      <c r="J89" s="276">
        <f>SUM(J87:J88)</f>
        <v>599.55486999999994</v>
      </c>
      <c r="K89" s="276"/>
      <c r="L89" s="275"/>
      <c r="M89" s="285"/>
      <c r="N89" s="276">
        <f>SUM(N87:N88)</f>
        <v>31.865813811741369</v>
      </c>
      <c r="O89" s="285"/>
      <c r="P89" s="297">
        <f>SUM(P87:P88)</f>
        <v>1</v>
      </c>
      <c r="Q89" s="285"/>
      <c r="R89" s="290"/>
      <c r="S89" s="285"/>
      <c r="T89" s="276">
        <f>SUM(T87:T88)</f>
        <v>599.55486999999994</v>
      </c>
      <c r="U89" s="285"/>
      <c r="V89" s="298">
        <f>SUM(V87:V88)</f>
        <v>32.591909641755528</v>
      </c>
      <c r="W89" s="285"/>
      <c r="X89" s="276">
        <f>SUM(X87:X88)</f>
        <v>0.72609583001415956</v>
      </c>
      <c r="Y89" s="158"/>
      <c r="Z89" s="367"/>
      <c r="AA89" s="158"/>
    </row>
    <row r="90" spans="1:27">
      <c r="A90" s="176"/>
      <c r="B90" s="176"/>
      <c r="C90" s="176"/>
      <c r="D90" s="176"/>
      <c r="E90" s="176"/>
      <c r="F90" s="176"/>
      <c r="G90" s="176"/>
      <c r="H90" s="276"/>
      <c r="I90" s="276"/>
      <c r="J90" s="276"/>
      <c r="K90" s="276"/>
      <c r="L90" s="276"/>
      <c r="M90" s="285"/>
      <c r="N90" s="285"/>
      <c r="O90" s="285"/>
      <c r="P90" s="285"/>
      <c r="Q90" s="285"/>
      <c r="R90" s="285"/>
      <c r="S90" s="285"/>
      <c r="T90" s="285"/>
      <c r="U90" s="285"/>
      <c r="V90" s="285"/>
      <c r="W90" s="285"/>
      <c r="X90" s="285"/>
      <c r="Y90" s="158"/>
      <c r="Z90" s="158"/>
      <c r="AA90" s="158"/>
    </row>
    <row r="91" spans="1:27">
      <c r="A91" s="176"/>
      <c r="B91" s="166" t="s">
        <v>505</v>
      </c>
      <c r="C91" s="176"/>
      <c r="D91" s="166" t="s">
        <v>476</v>
      </c>
      <c r="E91" s="176"/>
      <c r="F91" s="276">
        <v>518.62221699999998</v>
      </c>
      <c r="G91" s="176"/>
      <c r="H91" s="276">
        <v>21.854510999999999</v>
      </c>
      <c r="I91" s="276"/>
      <c r="J91" s="276">
        <f>F91-H91</f>
        <v>496.76770599999998</v>
      </c>
      <c r="K91" s="276"/>
      <c r="L91" s="275">
        <v>33.03</v>
      </c>
      <c r="M91" s="285"/>
      <c r="N91" s="285">
        <f>J91/L91</f>
        <v>15.039894217378141</v>
      </c>
      <c r="O91" s="285"/>
      <c r="P91" s="286">
        <f>F91/F93</f>
        <v>0.73046883429420539</v>
      </c>
      <c r="Q91" s="285"/>
      <c r="R91" s="285">
        <f>H93*P91</f>
        <v>27.59966554821094</v>
      </c>
      <c r="S91" s="285"/>
      <c r="T91" s="285">
        <f>F91-R91</f>
        <v>491.02255145178901</v>
      </c>
      <c r="U91" s="285"/>
      <c r="V91" s="285">
        <f>T91/L91</f>
        <v>14.865956749978475</v>
      </c>
      <c r="W91" s="285"/>
      <c r="X91" s="285">
        <f>V91-N91</f>
        <v>-0.17393746739966609</v>
      </c>
      <c r="Y91" s="158"/>
      <c r="Z91" s="158"/>
      <c r="AA91" s="158"/>
    </row>
    <row r="92" spans="1:27">
      <c r="A92" s="176"/>
      <c r="B92" s="166" t="s">
        <v>505</v>
      </c>
      <c r="C92" s="176"/>
      <c r="D92" s="166" t="s">
        <v>485</v>
      </c>
      <c r="E92" s="176"/>
      <c r="F92" s="279">
        <v>191.36319599999999</v>
      </c>
      <c r="G92" s="176"/>
      <c r="H92" s="279">
        <v>15.928984</v>
      </c>
      <c r="I92" s="276"/>
      <c r="J92" s="279">
        <f>F92-H92</f>
        <v>175.434212</v>
      </c>
      <c r="K92" s="276"/>
      <c r="L92" s="280">
        <v>8.01</v>
      </c>
      <c r="M92" s="285"/>
      <c r="N92" s="288">
        <f>J92/L92</f>
        <v>21.901899126092385</v>
      </c>
      <c r="O92" s="285"/>
      <c r="P92" s="289">
        <f>F92/F93</f>
        <v>0.26953116570579455</v>
      </c>
      <c r="Q92" s="285"/>
      <c r="R92" s="285">
        <f>H93*P92</f>
        <v>10.183829451789061</v>
      </c>
      <c r="S92" s="285"/>
      <c r="T92" s="288">
        <f>F92-R92</f>
        <v>181.17936654821094</v>
      </c>
      <c r="U92" s="285"/>
      <c r="V92" s="288">
        <f>T92/L92</f>
        <v>22.619146884920216</v>
      </c>
      <c r="W92" s="285"/>
      <c r="X92" s="288">
        <f>V92-N92</f>
        <v>0.71724775882783121</v>
      </c>
      <c r="Y92" s="158"/>
      <c r="Z92" s="158"/>
      <c r="AA92" s="158"/>
    </row>
    <row r="93" spans="1:27">
      <c r="A93" s="176"/>
      <c r="B93" s="166" t="s">
        <v>482</v>
      </c>
      <c r="C93" s="176"/>
      <c r="D93" s="176" t="s">
        <v>484</v>
      </c>
      <c r="E93" s="176"/>
      <c r="F93" s="276">
        <f>SUM(F91:F92)</f>
        <v>709.98541299999999</v>
      </c>
      <c r="G93" s="176"/>
      <c r="H93" s="276">
        <f>SUM(H91:H92)</f>
        <v>37.783495000000002</v>
      </c>
      <c r="I93" s="276"/>
      <c r="J93" s="276">
        <f>SUM(J91:J92)</f>
        <v>672.20191799999998</v>
      </c>
      <c r="K93" s="276"/>
      <c r="L93" s="275"/>
      <c r="M93" s="285"/>
      <c r="N93" s="276">
        <f>SUM(N91:N92)</f>
        <v>36.941793343470522</v>
      </c>
      <c r="O93" s="285"/>
      <c r="P93" s="297">
        <f>SUM(P91:P92)</f>
        <v>1</v>
      </c>
      <c r="Q93" s="285"/>
      <c r="R93" s="290"/>
      <c r="S93" s="285"/>
      <c r="T93" s="276">
        <f>SUM(T91:T92)</f>
        <v>672.20191799999998</v>
      </c>
      <c r="U93" s="285"/>
      <c r="V93" s="298">
        <f>SUM(V91:V92)</f>
        <v>37.485103634898692</v>
      </c>
      <c r="W93" s="285"/>
      <c r="X93" s="276">
        <f>SUM(X91:X92)</f>
        <v>0.54331029142816512</v>
      </c>
      <c r="Y93" s="158"/>
      <c r="Z93" s="367"/>
      <c r="AA93" s="158"/>
    </row>
    <row r="94" spans="1:27">
      <c r="A94" s="166" t="s">
        <v>507</v>
      </c>
      <c r="B94" s="166"/>
      <c r="C94" s="176"/>
      <c r="D94" s="176"/>
      <c r="E94" s="176"/>
      <c r="F94" s="276"/>
      <c r="G94" s="176"/>
      <c r="H94" s="276"/>
      <c r="I94" s="276"/>
      <c r="J94" s="276"/>
      <c r="K94" s="276"/>
      <c r="L94" s="275"/>
      <c r="M94" s="285"/>
      <c r="N94" s="291"/>
      <c r="O94" s="285"/>
      <c r="P94" s="285"/>
      <c r="Q94" s="285"/>
      <c r="R94" s="285"/>
      <c r="S94" s="285"/>
      <c r="T94" s="285"/>
      <c r="U94" s="285"/>
      <c r="V94" s="285"/>
      <c r="W94" s="285"/>
      <c r="X94" s="285"/>
      <c r="Y94" s="158"/>
      <c r="Z94" s="158"/>
      <c r="AA94" s="158"/>
    </row>
    <row r="95" spans="1:27">
      <c r="A95" s="176"/>
      <c r="B95" s="166" t="s">
        <v>506</v>
      </c>
      <c r="C95" s="176"/>
      <c r="D95" s="166" t="s">
        <v>476</v>
      </c>
      <c r="E95" s="176"/>
      <c r="F95" s="276">
        <v>14.841925</v>
      </c>
      <c r="G95" s="176"/>
      <c r="H95" s="276">
        <v>2.1881840000000001</v>
      </c>
      <c r="I95" s="276"/>
      <c r="J95" s="276">
        <f>F95-H95</f>
        <v>12.653741</v>
      </c>
      <c r="K95" s="276"/>
      <c r="L95" s="275">
        <v>10.14</v>
      </c>
      <c r="M95" s="285"/>
      <c r="N95" s="285">
        <f>J95/L95</f>
        <v>1.2479034516765286</v>
      </c>
      <c r="O95" s="285"/>
      <c r="P95" s="286">
        <f>F95/F97</f>
        <v>0.88870056016800258</v>
      </c>
      <c r="Q95" s="285"/>
      <c r="R95" s="285">
        <f>H97*P95</f>
        <v>2.4524669528452221</v>
      </c>
      <c r="S95" s="285"/>
      <c r="T95" s="285">
        <f>F95-R95</f>
        <v>12.389458047154777</v>
      </c>
      <c r="U95" s="285"/>
      <c r="V95" s="285">
        <f>T95/L95</f>
        <v>1.2218400440981041</v>
      </c>
      <c r="W95" s="285"/>
      <c r="X95" s="285">
        <f>V95-N95</f>
        <v>-2.6063407578424513E-2</v>
      </c>
      <c r="Y95" s="158"/>
      <c r="Z95" s="158"/>
      <c r="AA95" s="158"/>
    </row>
    <row r="96" spans="1:27">
      <c r="A96" s="176"/>
      <c r="B96" s="166" t="s">
        <v>506</v>
      </c>
      <c r="C96" s="176"/>
      <c r="D96" s="166" t="s">
        <v>485</v>
      </c>
      <c r="E96" s="176"/>
      <c r="F96" s="279">
        <v>1.858779</v>
      </c>
      <c r="G96" s="176"/>
      <c r="H96" s="279">
        <v>0.57142599999999999</v>
      </c>
      <c r="I96" s="276"/>
      <c r="J96" s="279">
        <f>F96-H96</f>
        <v>1.287353</v>
      </c>
      <c r="K96" s="276"/>
      <c r="L96" s="280">
        <v>7.6</v>
      </c>
      <c r="M96" s="285"/>
      <c r="N96" s="288">
        <f>J96/L96</f>
        <v>0.16938855263157895</v>
      </c>
      <c r="O96" s="285"/>
      <c r="P96" s="289">
        <f>F96/F97</f>
        <v>0.11129943983199751</v>
      </c>
      <c r="Q96" s="285"/>
      <c r="R96" s="285">
        <f>H97*P96</f>
        <v>0.30714304715477869</v>
      </c>
      <c r="S96" s="285"/>
      <c r="T96" s="288">
        <f>F96-R96</f>
        <v>1.5516359528452213</v>
      </c>
      <c r="U96" s="285"/>
      <c r="V96" s="288">
        <f>T96/L96</f>
        <v>0.20416262537437124</v>
      </c>
      <c r="W96" s="285"/>
      <c r="X96" s="288">
        <f>V96-N96</f>
        <v>3.4774072742792289E-2</v>
      </c>
      <c r="Y96" s="158"/>
      <c r="Z96" s="158"/>
      <c r="AA96" s="158"/>
    </row>
    <row r="97" spans="1:27">
      <c r="A97" s="176"/>
      <c r="B97" s="166" t="s">
        <v>482</v>
      </c>
      <c r="C97" s="176"/>
      <c r="D97" s="176" t="s">
        <v>484</v>
      </c>
      <c r="E97" s="176"/>
      <c r="F97" s="276">
        <f>SUM(F95:F96)</f>
        <v>16.700703999999998</v>
      </c>
      <c r="G97" s="176"/>
      <c r="H97" s="276">
        <f>SUM(H95:H96)</f>
        <v>2.7596100000000003</v>
      </c>
      <c r="I97" s="276"/>
      <c r="J97" s="276">
        <f>SUM(J95:J96)</f>
        <v>13.941094</v>
      </c>
      <c r="K97" s="276"/>
      <c r="L97" s="275"/>
      <c r="M97" s="285"/>
      <c r="N97" s="276">
        <f>SUM(N95:N96)</f>
        <v>1.4172920043081076</v>
      </c>
      <c r="O97" s="285"/>
      <c r="P97" s="297">
        <f>SUM(P95:P96)</f>
        <v>1</v>
      </c>
      <c r="Q97" s="285"/>
      <c r="R97" s="290"/>
      <c r="S97" s="285"/>
      <c r="T97" s="276">
        <f>SUM(T95:T96)</f>
        <v>13.941093999999998</v>
      </c>
      <c r="U97" s="285"/>
      <c r="V97" s="298">
        <f>SUM(V95:V96)</f>
        <v>1.4260026694724752</v>
      </c>
      <c r="W97" s="285"/>
      <c r="X97" s="276">
        <f>SUM(X95:X96)</f>
        <v>8.7106651643677757E-3</v>
      </c>
      <c r="Y97" s="158"/>
      <c r="Z97" s="367"/>
      <c r="AA97" s="158"/>
    </row>
    <row r="98" spans="1:27">
      <c r="A98" s="176"/>
      <c r="B98" s="166"/>
      <c r="C98" s="176"/>
      <c r="D98" s="176"/>
      <c r="E98" s="176"/>
      <c r="F98" s="176"/>
      <c r="G98" s="176"/>
      <c r="H98" s="276"/>
      <c r="I98" s="276"/>
      <c r="J98" s="276"/>
      <c r="K98" s="276"/>
      <c r="L98" s="276"/>
      <c r="M98" s="285"/>
      <c r="N98" s="285"/>
      <c r="O98" s="285"/>
      <c r="P98" s="285"/>
      <c r="Q98" s="285"/>
      <c r="R98" s="285"/>
      <c r="S98" s="285"/>
      <c r="T98" s="285"/>
      <c r="U98" s="285"/>
      <c r="V98" s="285"/>
      <c r="W98" s="285"/>
      <c r="X98" s="285"/>
      <c r="Y98" s="158"/>
      <c r="Z98" s="158"/>
      <c r="AA98" s="158"/>
    </row>
    <row r="99" spans="1:27">
      <c r="A99" s="176"/>
      <c r="B99" s="166" t="s">
        <v>508</v>
      </c>
      <c r="C99" s="176"/>
      <c r="D99" s="166" t="s">
        <v>476</v>
      </c>
      <c r="E99" s="176"/>
      <c r="F99" s="276">
        <v>10.218902999999999</v>
      </c>
      <c r="G99" s="176"/>
      <c r="H99" s="276">
        <v>1.769584</v>
      </c>
      <c r="I99" s="276"/>
      <c r="J99" s="276">
        <f>F99-H99</f>
        <v>8.4493189999999991</v>
      </c>
      <c r="K99" s="276"/>
      <c r="L99" s="275">
        <v>10.14</v>
      </c>
      <c r="M99" s="285"/>
      <c r="N99" s="285">
        <f>J99/L99</f>
        <v>0.83326617357001964</v>
      </c>
      <c r="O99" s="285"/>
      <c r="P99" s="286">
        <f>F99/F101</f>
        <v>0.78450058106872111</v>
      </c>
      <c r="Q99" s="285"/>
      <c r="R99" s="285">
        <f>H101*P99</f>
        <v>2.3373692732570661</v>
      </c>
      <c r="S99" s="285"/>
      <c r="T99" s="285">
        <f>F99-R99</f>
        <v>7.8815337267429335</v>
      </c>
      <c r="U99" s="285"/>
      <c r="V99" s="285">
        <f>T99/L99</f>
        <v>0.77727157068470742</v>
      </c>
      <c r="W99" s="285"/>
      <c r="X99" s="285">
        <f>V99-N99</f>
        <v>-5.5994602885312217E-2</v>
      </c>
      <c r="Y99" s="158"/>
      <c r="Z99" s="158"/>
      <c r="AA99" s="158"/>
    </row>
    <row r="100" spans="1:27">
      <c r="A100" s="176"/>
      <c r="B100" s="166" t="s">
        <v>508</v>
      </c>
      <c r="C100" s="176"/>
      <c r="D100" s="166" t="s">
        <v>485</v>
      </c>
      <c r="E100" s="176"/>
      <c r="F100" s="279">
        <v>2.8070949999999999</v>
      </c>
      <c r="G100" s="176"/>
      <c r="H100" s="279">
        <v>1.2098519999999999</v>
      </c>
      <c r="I100" s="276"/>
      <c r="J100" s="279">
        <f>F100-H100</f>
        <v>1.597243</v>
      </c>
      <c r="K100" s="276"/>
      <c r="L100" s="280">
        <v>5.72</v>
      </c>
      <c r="M100" s="285"/>
      <c r="N100" s="288">
        <f>J100/L100</f>
        <v>0.27923828671328671</v>
      </c>
      <c r="O100" s="285"/>
      <c r="P100" s="289">
        <f>F100/F101</f>
        <v>0.21549941893127883</v>
      </c>
      <c r="Q100" s="285"/>
      <c r="R100" s="285">
        <f>H101*P100</f>
        <v>0.64206672674293364</v>
      </c>
      <c r="S100" s="285"/>
      <c r="T100" s="288">
        <f>F100-R100</f>
        <v>2.1650282732570663</v>
      </c>
      <c r="U100" s="285"/>
      <c r="V100" s="288">
        <f>T100/L100</f>
        <v>0.37850144637361299</v>
      </c>
      <c r="W100" s="285"/>
      <c r="X100" s="288">
        <f>V100-N100</f>
        <v>9.9263159660326283E-2</v>
      </c>
      <c r="Y100" s="158"/>
      <c r="Z100" s="158"/>
      <c r="AA100" s="158"/>
    </row>
    <row r="101" spans="1:27">
      <c r="A101" s="176"/>
      <c r="B101" s="166" t="s">
        <v>482</v>
      </c>
      <c r="C101" s="176"/>
      <c r="D101" s="176" t="s">
        <v>484</v>
      </c>
      <c r="E101" s="176"/>
      <c r="F101" s="276">
        <f>SUM(F99:F100)</f>
        <v>13.025998</v>
      </c>
      <c r="G101" s="176"/>
      <c r="H101" s="276">
        <f>SUM(H99:H100)</f>
        <v>2.9794359999999998</v>
      </c>
      <c r="I101" s="276"/>
      <c r="J101" s="276">
        <f>SUM(J99:J100)</f>
        <v>10.046562</v>
      </c>
      <c r="K101" s="276"/>
      <c r="L101" s="275"/>
      <c r="M101" s="285"/>
      <c r="N101" s="276">
        <f>SUM(N99:N100)</f>
        <v>1.1125044602833063</v>
      </c>
      <c r="O101" s="285"/>
      <c r="P101" s="297">
        <f>SUM(P99:P100)</f>
        <v>1</v>
      </c>
      <c r="Q101" s="285"/>
      <c r="R101" s="290"/>
      <c r="S101" s="285"/>
      <c r="T101" s="276">
        <f>SUM(T99:T100)</f>
        <v>10.046562</v>
      </c>
      <c r="U101" s="285"/>
      <c r="V101" s="298">
        <f>SUM(V99:V100)</f>
        <v>1.1557730170583205</v>
      </c>
      <c r="W101" s="285"/>
      <c r="X101" s="276">
        <f>SUM(X99:X100)</f>
        <v>4.3268556775014066E-2</v>
      </c>
      <c r="Y101" s="158"/>
      <c r="Z101" s="367"/>
      <c r="AA101" s="158"/>
    </row>
    <row r="102" spans="1:27">
      <c r="A102" s="176"/>
      <c r="B102" s="176"/>
      <c r="C102" s="176"/>
      <c r="D102" s="176"/>
      <c r="E102" s="176"/>
      <c r="F102" s="176"/>
      <c r="G102" s="176"/>
      <c r="H102" s="276"/>
      <c r="I102" s="276"/>
      <c r="J102" s="276"/>
      <c r="K102" s="276"/>
      <c r="L102" s="276"/>
      <c r="M102" s="285"/>
      <c r="N102" s="285"/>
      <c r="O102" s="285"/>
      <c r="P102" s="285"/>
      <c r="Q102" s="285"/>
      <c r="R102" s="285"/>
      <c r="S102" s="285"/>
      <c r="T102" s="285"/>
      <c r="U102" s="285"/>
      <c r="V102" s="285"/>
      <c r="W102" s="285"/>
      <c r="X102" s="285"/>
      <c r="Y102" s="158"/>
      <c r="Z102" s="158"/>
      <c r="AA102" s="158"/>
    </row>
    <row r="103" spans="1:27">
      <c r="A103" s="176"/>
      <c r="B103" s="166" t="s">
        <v>509</v>
      </c>
      <c r="C103" s="176"/>
      <c r="D103" s="166" t="s">
        <v>476</v>
      </c>
      <c r="E103" s="176"/>
      <c r="F103" s="276">
        <v>226.79734199999999</v>
      </c>
      <c r="G103" s="176"/>
      <c r="H103" s="276">
        <v>8.0261960000000006</v>
      </c>
      <c r="I103" s="276"/>
      <c r="J103" s="276">
        <f>F103-H103</f>
        <v>218.77114599999999</v>
      </c>
      <c r="K103" s="276"/>
      <c r="L103" s="275">
        <v>33.03</v>
      </c>
      <c r="M103" s="285"/>
      <c r="N103" s="285">
        <f>J103/L103</f>
        <v>6.6234073872237351</v>
      </c>
      <c r="O103" s="285"/>
      <c r="P103" s="286">
        <f>F103/F105</f>
        <v>0.73003083235089983</v>
      </c>
      <c r="Q103" s="285"/>
      <c r="R103" s="285">
        <f>H105*P103</f>
        <v>7.8047764193726152</v>
      </c>
      <c r="S103" s="285"/>
      <c r="T103" s="285">
        <f>F103-R103</f>
        <v>218.99256558062737</v>
      </c>
      <c r="U103" s="285"/>
      <c r="V103" s="285">
        <f>T103/L103</f>
        <v>6.6301109773123637</v>
      </c>
      <c r="W103" s="285"/>
      <c r="X103" s="285">
        <f>V103-N103</f>
        <v>6.7035900886285305E-3</v>
      </c>
      <c r="Y103" s="158"/>
      <c r="Z103" s="158"/>
      <c r="AA103" s="158"/>
    </row>
    <row r="104" spans="1:27">
      <c r="A104" s="176"/>
      <c r="B104" s="166" t="s">
        <v>509</v>
      </c>
      <c r="C104" s="176"/>
      <c r="D104" s="166" t="s">
        <v>485</v>
      </c>
      <c r="E104" s="176"/>
      <c r="F104" s="279">
        <v>83.870827000000006</v>
      </c>
      <c r="G104" s="176"/>
      <c r="H104" s="279">
        <v>2.6648269999999998</v>
      </c>
      <c r="I104" s="276"/>
      <c r="J104" s="279">
        <f>F104-H104</f>
        <v>81.206000000000003</v>
      </c>
      <c r="K104" s="276"/>
      <c r="L104" s="280">
        <v>23.58</v>
      </c>
      <c r="M104" s="285"/>
      <c r="N104" s="288">
        <f>J104/L104</f>
        <v>3.4438507209499578</v>
      </c>
      <c r="O104" s="285"/>
      <c r="P104" s="289">
        <f>F104/F105</f>
        <v>0.26996916764910028</v>
      </c>
      <c r="Q104" s="285"/>
      <c r="R104" s="285">
        <f>H105*P104</f>
        <v>2.8862465806273874</v>
      </c>
      <c r="S104" s="285"/>
      <c r="T104" s="288">
        <f>F104-R104</f>
        <v>80.98458041937262</v>
      </c>
      <c r="U104" s="285"/>
      <c r="V104" s="288">
        <f>T104/L104</f>
        <v>3.4344605775815364</v>
      </c>
      <c r="W104" s="285"/>
      <c r="X104" s="288">
        <f>V104-N104</f>
        <v>-9.3901433684213664E-3</v>
      </c>
      <c r="Y104" s="158"/>
      <c r="Z104" s="158"/>
      <c r="AA104" s="158"/>
    </row>
    <row r="105" spans="1:27">
      <c r="A105" s="176"/>
      <c r="B105" s="166" t="s">
        <v>482</v>
      </c>
      <c r="C105" s="176"/>
      <c r="D105" s="176" t="s">
        <v>484</v>
      </c>
      <c r="E105" s="176"/>
      <c r="F105" s="276">
        <f>SUM(F103:F104)</f>
        <v>310.66816899999998</v>
      </c>
      <c r="G105" s="176"/>
      <c r="H105" s="276">
        <f>SUM(H103:H104)</f>
        <v>10.691023000000001</v>
      </c>
      <c r="I105" s="276"/>
      <c r="J105" s="276">
        <f>SUM(J103:J104)</f>
        <v>299.977146</v>
      </c>
      <c r="K105" s="276"/>
      <c r="L105" s="275"/>
      <c r="M105" s="285"/>
      <c r="N105" s="276">
        <f>SUM(N103:N104)</f>
        <v>10.067258108173693</v>
      </c>
      <c r="O105" s="285"/>
      <c r="P105" s="297">
        <f>SUM(P103:P104)</f>
        <v>1</v>
      </c>
      <c r="Q105" s="285"/>
      <c r="R105" s="290"/>
      <c r="S105" s="285"/>
      <c r="T105" s="276">
        <f>SUM(T103:T104)</f>
        <v>299.977146</v>
      </c>
      <c r="U105" s="285"/>
      <c r="V105" s="298">
        <f>SUM(V103:V104)</f>
        <v>10.064571554893901</v>
      </c>
      <c r="W105" s="285"/>
      <c r="X105" s="276">
        <f>SUM(X103:X104)</f>
        <v>-2.686553279792836E-3</v>
      </c>
      <c r="Y105" s="158"/>
      <c r="Z105" s="367"/>
      <c r="AA105" s="158"/>
    </row>
    <row r="106" spans="1:27">
      <c r="A106" s="176"/>
      <c r="B106" s="166"/>
      <c r="C106" s="176"/>
      <c r="D106" s="176"/>
      <c r="E106" s="176"/>
      <c r="F106" s="276"/>
      <c r="G106" s="176"/>
      <c r="H106" s="276"/>
      <c r="I106" s="276"/>
      <c r="J106" s="276"/>
      <c r="K106" s="276"/>
      <c r="L106" s="275"/>
      <c r="M106" s="278"/>
      <c r="N106" s="276"/>
      <c r="O106" s="278"/>
      <c r="P106" s="276"/>
      <c r="Q106" s="278"/>
      <c r="R106" s="282"/>
      <c r="S106" s="278"/>
      <c r="T106" s="276"/>
      <c r="U106" s="278"/>
      <c r="V106" s="283"/>
      <c r="W106" s="278"/>
      <c r="X106" s="276"/>
      <c r="Y106" s="158"/>
      <c r="Z106" s="158"/>
      <c r="AA106" s="158"/>
    </row>
    <row r="107" spans="1:27">
      <c r="A107" s="176"/>
      <c r="B107" s="166"/>
      <c r="C107" s="176"/>
      <c r="D107" s="176"/>
      <c r="E107" s="176"/>
      <c r="F107" s="276"/>
      <c r="G107" s="176"/>
      <c r="H107" s="276"/>
      <c r="I107" s="276"/>
      <c r="J107" s="276"/>
      <c r="K107" s="276"/>
      <c r="L107" s="275"/>
      <c r="M107" s="278"/>
      <c r="N107" s="276"/>
      <c r="O107" s="278"/>
      <c r="P107" s="276"/>
      <c r="Q107" s="278"/>
      <c r="R107" s="282"/>
      <c r="S107" s="278"/>
      <c r="T107" s="276"/>
      <c r="U107" s="278"/>
      <c r="V107" s="283"/>
      <c r="W107" s="278"/>
      <c r="X107" s="276"/>
      <c r="Y107" s="158"/>
      <c r="Z107" s="158"/>
      <c r="AA107" s="158"/>
    </row>
    <row r="108" spans="1:27">
      <c r="A108" s="176"/>
      <c r="B108" s="176"/>
      <c r="C108" s="176"/>
      <c r="D108" s="176"/>
      <c r="E108" s="176"/>
      <c r="F108" s="176"/>
      <c r="G108" s="176"/>
      <c r="H108" s="276"/>
      <c r="I108" s="276"/>
      <c r="J108" s="276"/>
      <c r="K108" s="276"/>
      <c r="L108" s="276"/>
      <c r="M108" s="278"/>
      <c r="N108" s="278"/>
      <c r="O108" s="278"/>
      <c r="P108" s="278"/>
      <c r="Q108" s="278"/>
      <c r="R108" s="278"/>
      <c r="S108" s="278"/>
      <c r="T108" s="278"/>
      <c r="U108" s="278"/>
      <c r="V108" s="278"/>
      <c r="W108" s="278"/>
      <c r="X108" s="278"/>
      <c r="Y108" s="158"/>
      <c r="Z108" s="158"/>
      <c r="AA108" s="158"/>
    </row>
    <row r="109" spans="1:27">
      <c r="A109" s="176"/>
      <c r="B109" s="176"/>
      <c r="C109" s="176"/>
      <c r="D109" s="176"/>
      <c r="E109" s="176"/>
      <c r="F109" s="176"/>
      <c r="G109" s="176"/>
      <c r="H109" s="276"/>
      <c r="I109" s="276"/>
      <c r="J109" s="276"/>
      <c r="K109" s="276"/>
      <c r="L109" s="276"/>
      <c r="M109" s="278"/>
      <c r="N109" s="278"/>
      <c r="O109" s="278"/>
      <c r="P109" s="278"/>
      <c r="Q109" s="278"/>
      <c r="R109" s="278" t="s">
        <v>510</v>
      </c>
      <c r="S109" s="278"/>
      <c r="T109" s="278"/>
      <c r="U109" s="278"/>
      <c r="V109" s="278"/>
      <c r="W109" s="278"/>
      <c r="X109" s="278">
        <f>X105+X101+X97+X93+X89+X85+X81+X77+X73+X69+X65+X61+X57+X53+X49+X45+X41+X37+X33+X29+X25+X21+X17+X13</f>
        <v>-5.7926015986268489</v>
      </c>
      <c r="Y109" s="158"/>
      <c r="Z109" s="158"/>
      <c r="AA109" s="158"/>
    </row>
    <row r="110" spans="1:27">
      <c r="A110" s="176"/>
      <c r="B110" s="176"/>
      <c r="C110" s="176"/>
      <c r="D110" s="176"/>
      <c r="E110" s="176"/>
      <c r="F110" s="176"/>
      <c r="G110" s="176"/>
      <c r="H110" s="276"/>
      <c r="I110" s="276"/>
      <c r="J110" s="276"/>
      <c r="K110" s="276"/>
      <c r="L110" s="276"/>
      <c r="M110" s="278"/>
      <c r="N110" s="278"/>
      <c r="O110" s="278"/>
      <c r="P110" s="278"/>
      <c r="Q110" s="278"/>
      <c r="R110" s="278"/>
      <c r="S110" s="278"/>
      <c r="T110" s="278"/>
      <c r="U110" s="278"/>
      <c r="V110" s="278"/>
      <c r="W110" s="278"/>
      <c r="X110" s="278"/>
      <c r="Y110" s="158"/>
      <c r="Z110" s="158"/>
      <c r="AA110" s="158"/>
    </row>
    <row r="111" spans="1:27">
      <c r="A111" s="176"/>
      <c r="B111" s="176"/>
      <c r="C111" s="176"/>
      <c r="D111" s="176"/>
      <c r="E111" s="176"/>
      <c r="F111" s="176"/>
      <c r="G111" s="176"/>
      <c r="H111" s="276"/>
      <c r="I111" s="276"/>
      <c r="J111" s="276"/>
      <c r="K111" s="276"/>
      <c r="L111" s="276"/>
      <c r="M111" s="278"/>
      <c r="N111" s="278"/>
      <c r="O111" s="278"/>
      <c r="P111" s="278"/>
      <c r="Q111" s="278"/>
      <c r="R111" s="278" t="s">
        <v>511</v>
      </c>
      <c r="S111" s="278"/>
      <c r="T111" s="278"/>
      <c r="U111" s="278"/>
      <c r="V111" s="278"/>
      <c r="W111" s="278"/>
      <c r="X111" s="293">
        <f>'Exh. LK-11 (Pages 1-3)'!R19</f>
        <v>0.95042000000000004</v>
      </c>
      <c r="Y111" s="158"/>
      <c r="Z111" s="158"/>
      <c r="AA111" s="158"/>
    </row>
    <row r="112" spans="1:27">
      <c r="A112" s="176"/>
      <c r="B112" s="176"/>
      <c r="C112" s="176"/>
      <c r="D112" s="176"/>
      <c r="E112" s="176"/>
      <c r="F112" s="176"/>
      <c r="G112" s="176"/>
      <c r="H112" s="276"/>
      <c r="I112" s="276"/>
      <c r="J112" s="276"/>
      <c r="K112" s="276"/>
      <c r="L112" s="276"/>
      <c r="M112" s="278"/>
      <c r="N112" s="278"/>
      <c r="O112" s="278"/>
      <c r="P112" s="278"/>
      <c r="Q112" s="278"/>
      <c r="R112" s="278"/>
      <c r="S112" s="278"/>
      <c r="T112" s="278"/>
      <c r="U112" s="278"/>
      <c r="V112" s="278"/>
      <c r="W112" s="278"/>
      <c r="X112" s="278"/>
      <c r="Y112" s="158"/>
      <c r="Z112" s="158"/>
      <c r="AA112" s="158"/>
    </row>
    <row r="113" spans="1:27" ht="13.5" thickBot="1">
      <c r="A113" s="176"/>
      <c r="B113" s="176"/>
      <c r="C113" s="176"/>
      <c r="D113" s="176"/>
      <c r="E113" s="176"/>
      <c r="F113" s="176"/>
      <c r="G113" s="176"/>
      <c r="H113" s="276"/>
      <c r="I113" s="276"/>
      <c r="J113" s="276"/>
      <c r="K113" s="276"/>
      <c r="L113" s="276"/>
      <c r="M113" s="278"/>
      <c r="N113" s="278"/>
      <c r="O113" s="278"/>
      <c r="P113" s="278"/>
      <c r="Q113" s="278"/>
      <c r="R113" s="278" t="s">
        <v>416</v>
      </c>
      <c r="S113" s="278"/>
      <c r="T113" s="278"/>
      <c r="U113" s="278"/>
      <c r="V113" s="278"/>
      <c r="W113" s="278"/>
      <c r="X113" s="294">
        <f>X109*X111</f>
        <v>-5.5054044113669303</v>
      </c>
      <c r="Y113" s="158"/>
      <c r="Z113" s="158"/>
      <c r="AA113" s="158"/>
    </row>
    <row r="114" spans="1:27" ht="13.5" thickTop="1">
      <c r="A114" s="176"/>
      <c r="B114" s="176"/>
      <c r="C114" s="176"/>
      <c r="D114" s="176"/>
      <c r="E114" s="176"/>
      <c r="F114" s="176"/>
      <c r="G114" s="176"/>
      <c r="H114" s="276"/>
      <c r="I114" s="276"/>
      <c r="J114" s="276"/>
      <c r="K114" s="276"/>
      <c r="L114" s="276"/>
      <c r="M114" s="278"/>
      <c r="N114" s="278"/>
      <c r="O114" s="278"/>
      <c r="P114" s="278"/>
      <c r="Q114" s="278"/>
      <c r="R114" s="278"/>
      <c r="S114" s="278"/>
      <c r="T114" s="278"/>
      <c r="U114" s="278"/>
      <c r="V114" s="278"/>
      <c r="W114" s="278"/>
      <c r="X114" s="278"/>
      <c r="Y114" s="158"/>
      <c r="Z114" s="158"/>
      <c r="AA114" s="158"/>
    </row>
    <row r="115" spans="1:27">
      <c r="A115" s="29"/>
      <c r="B115" s="42"/>
      <c r="C115" s="42"/>
      <c r="D115" s="45"/>
      <c r="E115" s="45"/>
      <c r="F115" s="45"/>
      <c r="G115" s="45"/>
      <c r="H115" s="45"/>
      <c r="I115" s="42"/>
      <c r="J115" s="42"/>
      <c r="K115" s="42"/>
      <c r="L115" s="177"/>
      <c r="N115" s="29"/>
      <c r="R115" s="10"/>
    </row>
    <row r="116" spans="1:27">
      <c r="A116" s="29"/>
      <c r="B116" s="42"/>
      <c r="C116" s="42"/>
      <c r="D116" s="45"/>
      <c r="E116" s="45"/>
      <c r="F116" s="45"/>
      <c r="G116" s="45"/>
      <c r="H116" s="45"/>
      <c r="I116" s="42"/>
      <c r="J116" s="42"/>
      <c r="K116" s="42"/>
      <c r="L116" s="177"/>
      <c r="N116" s="29"/>
      <c r="P116" s="11">
        <v>2017</v>
      </c>
      <c r="R116" s="10"/>
      <c r="T116" s="193">
        <v>2018</v>
      </c>
    </row>
    <row r="117" spans="1:27">
      <c r="A117" s="29"/>
      <c r="B117" s="167" t="s">
        <v>424</v>
      </c>
      <c r="C117" s="42"/>
      <c r="D117" s="45"/>
      <c r="E117" s="45"/>
      <c r="F117" s="45"/>
      <c r="G117" s="45"/>
      <c r="H117" s="45"/>
      <c r="I117" s="42"/>
      <c r="J117" s="42"/>
      <c r="K117" s="42"/>
      <c r="L117" s="177"/>
      <c r="N117" s="29"/>
      <c r="P117" s="88">
        <f>-X113</f>
        <v>5.5054044113669303</v>
      </c>
      <c r="R117" s="10"/>
      <c r="T117" s="45">
        <f>-X113</f>
        <v>5.5054044113669303</v>
      </c>
    </row>
    <row r="118" spans="1:27">
      <c r="A118" s="29"/>
      <c r="B118" s="167" t="s">
        <v>468</v>
      </c>
      <c r="C118" s="42"/>
      <c r="D118" s="45"/>
      <c r="E118" s="45"/>
      <c r="F118" s="45"/>
      <c r="G118" s="45"/>
      <c r="H118" s="45"/>
      <c r="I118" s="42"/>
      <c r="J118" s="42"/>
      <c r="K118" s="42"/>
      <c r="L118" s="177"/>
      <c r="N118" s="29"/>
      <c r="P118" s="196">
        <f>-P117*0.38575</f>
        <v>-2.1237097516847934</v>
      </c>
      <c r="R118" s="10"/>
      <c r="T118" s="198">
        <f>-T117*0.38575</f>
        <v>-2.1237097516847934</v>
      </c>
    </row>
    <row r="119" spans="1:27">
      <c r="A119" s="29"/>
      <c r="B119" s="167" t="s">
        <v>426</v>
      </c>
      <c r="C119" s="42"/>
      <c r="D119" s="45"/>
      <c r="E119" s="45"/>
      <c r="F119" s="45"/>
      <c r="G119" s="45"/>
      <c r="H119" s="45"/>
      <c r="I119" s="42"/>
      <c r="J119" s="42"/>
      <c r="K119" s="42"/>
      <c r="L119" s="177"/>
      <c r="N119" s="29"/>
      <c r="P119" s="88">
        <f>SUM(P117:P118)</f>
        <v>3.3816946596821369</v>
      </c>
      <c r="R119" s="10"/>
      <c r="T119" s="45">
        <f>SUM(T117:T118)</f>
        <v>3.3816946596821369</v>
      </c>
    </row>
    <row r="120" spans="1:27">
      <c r="A120" s="29"/>
      <c r="B120" s="167"/>
      <c r="C120" s="42"/>
      <c r="D120" s="45"/>
      <c r="E120" s="45"/>
      <c r="F120" s="45"/>
      <c r="G120" s="45"/>
      <c r="H120" s="45"/>
      <c r="I120" s="42"/>
      <c r="J120" s="42"/>
      <c r="K120" s="42"/>
      <c r="L120" s="177"/>
      <c r="N120" s="29"/>
      <c r="P120" s="88"/>
      <c r="R120" s="10"/>
      <c r="T120" s="45"/>
    </row>
    <row r="121" spans="1:27">
      <c r="A121" s="29"/>
      <c r="B121" s="167" t="s">
        <v>425</v>
      </c>
      <c r="C121" s="42"/>
      <c r="D121" s="45"/>
      <c r="E121" s="45"/>
      <c r="F121" s="45"/>
      <c r="G121" s="45"/>
      <c r="H121" s="45"/>
      <c r="I121" s="42"/>
      <c r="J121" s="42"/>
      <c r="K121" s="42"/>
      <c r="L121" s="177"/>
      <c r="N121" s="29"/>
      <c r="P121" s="88">
        <f>P119/2</f>
        <v>1.6908473298410684</v>
      </c>
      <c r="R121" s="10"/>
      <c r="T121" s="45">
        <f>P119+(T119/2)</f>
        <v>5.0725419895232058</v>
      </c>
    </row>
    <row r="122" spans="1:27">
      <c r="A122" s="29"/>
      <c r="B122" s="167" t="s">
        <v>422</v>
      </c>
      <c r="C122" s="42"/>
      <c r="D122" s="45"/>
      <c r="E122" s="45"/>
      <c r="F122" s="45"/>
      <c r="G122" s="45"/>
      <c r="H122" s="259"/>
      <c r="I122" s="42"/>
      <c r="J122" s="42"/>
      <c r="K122" s="42"/>
      <c r="L122" s="177"/>
      <c r="N122" s="29"/>
      <c r="P122" s="295">
        <f>'Exh. LK-28'!J19</f>
        <v>9.8804316192411479E-2</v>
      </c>
      <c r="R122" s="10"/>
      <c r="T122" s="260">
        <f>'Exh. LK-29'!J19</f>
        <v>9.9784915778226832E-2</v>
      </c>
    </row>
    <row r="123" spans="1:27" ht="13.5" thickBot="1">
      <c r="A123" s="29"/>
      <c r="B123" s="167" t="s">
        <v>423</v>
      </c>
      <c r="C123" s="42"/>
      <c r="D123" s="45"/>
      <c r="E123" s="45"/>
      <c r="F123" s="45"/>
      <c r="G123" s="45"/>
      <c r="H123" s="45"/>
      <c r="I123" s="42"/>
      <c r="J123" s="42"/>
      <c r="K123" s="42"/>
      <c r="L123" s="177"/>
      <c r="N123" s="29"/>
      <c r="P123" s="296">
        <f>P121*P122</f>
        <v>0.1670630142107116</v>
      </c>
      <c r="R123" s="10"/>
      <c r="T123" s="261">
        <f>T121*T122</f>
        <v>0.50616317520609222</v>
      </c>
    </row>
    <row r="124" spans="1:27" ht="13.5" thickTop="1">
      <c r="A124" s="29"/>
      <c r="B124" s="42"/>
      <c r="C124" s="42"/>
      <c r="D124" s="45"/>
      <c r="E124" s="45"/>
      <c r="F124" s="45"/>
      <c r="G124" s="45"/>
      <c r="H124" s="45"/>
      <c r="I124" s="42"/>
      <c r="J124" s="42"/>
      <c r="K124" s="42"/>
      <c r="L124" s="177"/>
      <c r="N124" s="29"/>
      <c r="P124" s="88"/>
      <c r="R124" s="10"/>
    </row>
    <row r="125" spans="1:27" ht="13.5" thickBot="1">
      <c r="A125" s="29"/>
      <c r="B125" s="170" t="s">
        <v>427</v>
      </c>
      <c r="C125" s="42"/>
      <c r="D125" s="45"/>
      <c r="E125" s="45"/>
      <c r="F125" s="45"/>
      <c r="G125" s="45"/>
      <c r="H125" s="45"/>
      <c r="I125" s="42"/>
      <c r="J125" s="42"/>
      <c r="K125" s="42"/>
      <c r="L125" s="177"/>
      <c r="N125" s="29"/>
      <c r="P125" s="197">
        <f>X113+P123</f>
        <v>-5.3383413971562188</v>
      </c>
      <c r="R125" s="10"/>
      <c r="T125" s="209">
        <f>X113+T123</f>
        <v>-4.999241236160838</v>
      </c>
    </row>
    <row r="126" spans="1:27" ht="13.5" thickTop="1">
      <c r="A126" s="29"/>
      <c r="B126" s="42"/>
      <c r="C126" s="42"/>
      <c r="D126" s="45"/>
      <c r="E126" s="45"/>
      <c r="F126" s="45"/>
      <c r="G126" s="45"/>
      <c r="H126" s="45"/>
      <c r="I126" s="42"/>
      <c r="J126" s="42"/>
      <c r="K126" s="42"/>
      <c r="L126" s="42"/>
      <c r="N126" s="29"/>
      <c r="P126" s="88"/>
    </row>
    <row r="127" spans="1:27"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P127" s="88"/>
    </row>
    <row r="128" spans="1:27"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</row>
  </sheetData>
  <mergeCells count="5">
    <mergeCell ref="A1:X1"/>
    <mergeCell ref="A2:X2"/>
    <mergeCell ref="A3:X3"/>
    <mergeCell ref="A4:X4"/>
    <mergeCell ref="A5:X5"/>
  </mergeCells>
  <pageMargins left="0.39" right="0.25" top="1" bottom="1" header="0.5" footer="0.5"/>
  <pageSetup orientation="landscape" r:id="rId1"/>
  <headerFooter alignWithMargins="0">
    <oddHeader>&amp;R&amp;8Docket No. 160021-EI, &amp;"Arial,Italic"et al&amp;"Arial,Regular".
FPL POD No. 5
Attachment A
Page &amp;P of &amp;N</oddHeader>
  </headerFooter>
  <rowBreaks count="2" manualBreakCount="2">
    <brk id="54" max="23" man="1"/>
    <brk id="98" max="2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5"/>
  <sheetViews>
    <sheetView tabSelected="1" view="pageLayout" zoomScaleNormal="100" workbookViewId="0">
      <selection activeCell="G9" sqref="G9"/>
    </sheetView>
  </sheetViews>
  <sheetFormatPr defaultRowHeight="15"/>
  <cols>
    <col min="1" max="1" width="19.140625" style="238" customWidth="1"/>
    <col min="2" max="2" width="7" style="238" customWidth="1"/>
    <col min="3" max="3" width="9.140625" style="238"/>
    <col min="4" max="4" width="11.7109375" style="238" customWidth="1"/>
    <col min="5" max="5" width="13.140625" style="238" customWidth="1"/>
    <col min="6" max="6" width="12.42578125" style="238" customWidth="1"/>
    <col min="7" max="7" width="9.140625" style="238"/>
    <col min="8" max="8" width="11.28515625" style="238" bestFit="1" customWidth="1"/>
    <col min="9" max="9" width="3.28515625" style="238" customWidth="1"/>
    <col min="10" max="10" width="10.140625" style="238" customWidth="1"/>
    <col min="11" max="11" width="3.28515625" style="238" customWidth="1"/>
    <col min="12" max="13" width="11.28515625" style="238" bestFit="1" customWidth="1"/>
    <col min="14" max="16384" width="9.140625" style="238"/>
  </cols>
  <sheetData>
    <row r="1" spans="1:16">
      <c r="A1" s="374" t="s">
        <v>33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</row>
    <row r="2" spans="1:16">
      <c r="A2" s="375" t="s">
        <v>404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</row>
    <row r="3" spans="1:16">
      <c r="A3" s="376" t="s">
        <v>65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</row>
    <row r="4" spans="1:16">
      <c r="A4" s="375" t="s">
        <v>373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</row>
    <row r="5" spans="1:16">
      <c r="A5" s="375" t="s">
        <v>407</v>
      </c>
      <c r="B5" s="374"/>
      <c r="C5" s="374"/>
      <c r="D5" s="374"/>
      <c r="E5" s="374"/>
      <c r="F5" s="374"/>
      <c r="G5" s="374"/>
      <c r="H5" s="374"/>
      <c r="I5" s="374"/>
      <c r="J5" s="374"/>
      <c r="K5" s="374"/>
      <c r="L5" s="374"/>
      <c r="M5" s="374"/>
    </row>
    <row r="8" spans="1:16">
      <c r="A8" s="239"/>
      <c r="B8" s="239"/>
      <c r="C8" s="244">
        <v>2017</v>
      </c>
      <c r="D8" s="244">
        <v>2018</v>
      </c>
      <c r="E8" s="239"/>
      <c r="F8" s="244">
        <v>2020</v>
      </c>
      <c r="G8" s="239"/>
      <c r="H8" s="239"/>
      <c r="I8" s="239"/>
      <c r="J8" s="239"/>
      <c r="K8" s="239"/>
      <c r="L8" s="239"/>
      <c r="M8" s="239"/>
      <c r="N8" s="239"/>
      <c r="O8" s="239"/>
      <c r="P8" s="239"/>
    </row>
    <row r="9" spans="1:16">
      <c r="A9" s="239" t="s">
        <v>388</v>
      </c>
      <c r="B9" s="239"/>
      <c r="C9" s="239">
        <v>27597</v>
      </c>
      <c r="D9" s="239">
        <v>27597</v>
      </c>
      <c r="E9" s="239"/>
      <c r="F9" s="239">
        <v>27597</v>
      </c>
      <c r="G9" s="239"/>
      <c r="H9" s="239"/>
      <c r="I9" s="239"/>
      <c r="J9" s="239"/>
      <c r="K9" s="239"/>
      <c r="L9" s="239"/>
      <c r="M9" s="239"/>
      <c r="N9" s="239"/>
      <c r="O9" s="239"/>
      <c r="P9" s="239"/>
    </row>
    <row r="10" spans="1:16">
      <c r="A10" s="239" t="s">
        <v>389</v>
      </c>
      <c r="B10" s="239"/>
      <c r="C10" s="240">
        <v>6.6100000000000006E-2</v>
      </c>
      <c r="D10" s="240">
        <v>6.7100000000000007E-2</v>
      </c>
      <c r="E10" s="240"/>
      <c r="F10" s="240">
        <v>6.7100000000000007E-2</v>
      </c>
      <c r="G10" s="239"/>
      <c r="H10" s="239"/>
      <c r="I10" s="239"/>
      <c r="J10" s="239"/>
      <c r="K10" s="239"/>
      <c r="L10" s="239"/>
      <c r="M10" s="239"/>
      <c r="N10" s="239"/>
      <c r="O10" s="239"/>
      <c r="P10" s="239"/>
    </row>
    <row r="11" spans="1:16">
      <c r="A11" s="239" t="s">
        <v>390</v>
      </c>
      <c r="B11" s="239"/>
      <c r="C11" s="240">
        <v>9.8799999999999999E-2</v>
      </c>
      <c r="D11" s="240">
        <v>9.98E-2</v>
      </c>
      <c r="E11" s="240"/>
      <c r="F11" s="240">
        <v>9.98E-2</v>
      </c>
      <c r="G11" s="239"/>
      <c r="H11" s="239"/>
      <c r="I11" s="239"/>
      <c r="J11" s="239"/>
      <c r="K11" s="239"/>
      <c r="L11" s="239"/>
      <c r="M11" s="239"/>
      <c r="N11" s="239"/>
      <c r="O11" s="239"/>
      <c r="P11" s="239"/>
    </row>
    <row r="12" spans="1:16">
      <c r="A12" s="239"/>
      <c r="B12" s="239"/>
      <c r="C12" s="239"/>
      <c r="D12" s="239"/>
      <c r="E12" s="239"/>
      <c r="F12" s="239"/>
      <c r="G12" s="239"/>
      <c r="H12" s="239"/>
      <c r="I12" s="239"/>
      <c r="J12" s="239" t="s">
        <v>594</v>
      </c>
      <c r="K12" s="239"/>
      <c r="M12" s="239"/>
      <c r="N12" s="239"/>
      <c r="O12" s="239"/>
      <c r="P12" s="239"/>
    </row>
    <row r="13" spans="1:16">
      <c r="A13" s="239"/>
      <c r="B13" s="239"/>
      <c r="C13" s="241"/>
      <c r="D13" s="241"/>
      <c r="E13" s="241" t="s">
        <v>391</v>
      </c>
      <c r="F13" s="241" t="s">
        <v>392</v>
      </c>
      <c r="G13" s="241"/>
      <c r="H13" s="241"/>
      <c r="I13" s="241"/>
      <c r="J13" s="241" t="s">
        <v>595</v>
      </c>
      <c r="K13" s="241"/>
      <c r="L13" s="241" t="s">
        <v>391</v>
      </c>
      <c r="M13" s="239"/>
      <c r="N13" s="239"/>
      <c r="O13" s="239"/>
      <c r="P13" s="239"/>
    </row>
    <row r="14" spans="1:16">
      <c r="A14" s="239"/>
      <c r="B14" s="239"/>
      <c r="C14" s="241" t="s">
        <v>394</v>
      </c>
      <c r="D14" s="241" t="s">
        <v>395</v>
      </c>
      <c r="E14" s="241" t="s">
        <v>393</v>
      </c>
      <c r="F14" s="241" t="s">
        <v>396</v>
      </c>
      <c r="G14" s="241" t="s">
        <v>593</v>
      </c>
      <c r="H14" s="241" t="s">
        <v>405</v>
      </c>
      <c r="I14" s="241"/>
      <c r="J14" s="241" t="s">
        <v>596</v>
      </c>
      <c r="K14" s="241"/>
      <c r="L14" s="241" t="s">
        <v>393</v>
      </c>
      <c r="M14" s="241" t="s">
        <v>398</v>
      </c>
      <c r="N14" s="239"/>
      <c r="O14" s="241"/>
      <c r="P14" s="241" t="s">
        <v>405</v>
      </c>
    </row>
    <row r="15" spans="1:16">
      <c r="A15" s="246" t="s">
        <v>406</v>
      </c>
      <c r="B15" s="244" t="s">
        <v>58</v>
      </c>
      <c r="C15" s="246" t="s">
        <v>399</v>
      </c>
      <c r="D15" s="246" t="s">
        <v>400</v>
      </c>
      <c r="E15" s="246" t="s">
        <v>397</v>
      </c>
      <c r="F15" s="246" t="s">
        <v>401</v>
      </c>
      <c r="G15" s="246" t="s">
        <v>398</v>
      </c>
      <c r="H15" s="246" t="s">
        <v>398</v>
      </c>
      <c r="I15" s="246"/>
      <c r="J15" s="246" t="s">
        <v>597</v>
      </c>
      <c r="K15" s="246"/>
      <c r="L15" s="246" t="s">
        <v>402</v>
      </c>
      <c r="M15" s="246" t="s">
        <v>403</v>
      </c>
      <c r="N15" s="369"/>
      <c r="O15" s="246" t="s">
        <v>398</v>
      </c>
      <c r="P15" s="246" t="s">
        <v>398</v>
      </c>
    </row>
    <row r="16" spans="1:16">
      <c r="A16" s="241"/>
      <c r="B16" s="239"/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</row>
    <row r="17" spans="1:16">
      <c r="A17" s="241">
        <v>2017</v>
      </c>
      <c r="B17" s="239">
        <v>1</v>
      </c>
      <c r="C17" s="242">
        <f>+$C$9/12</f>
        <v>2299.75</v>
      </c>
      <c r="D17" s="242">
        <f>+SUM($C$17:C17)</f>
        <v>2299.75</v>
      </c>
      <c r="E17" s="242">
        <f>+D17-(D17*0.3858)</f>
        <v>1412.5064500000001</v>
      </c>
      <c r="F17" s="242">
        <f>+E17+SUM($G$16:G16)</f>
        <v>1412.5064500000001</v>
      </c>
      <c r="G17" s="242">
        <f t="shared" ref="G17:G28" si="0">+D17*$C$11/12</f>
        <v>18.934608333333333</v>
      </c>
      <c r="H17" s="245">
        <f>((1/((1+C$10)^(1/12))*+G17))</f>
        <v>18.833881379231403</v>
      </c>
      <c r="I17" s="239"/>
      <c r="J17" s="373">
        <f>-B17*$H$67-SUM($G$17:G17)</f>
        <v>430.35233685256594</v>
      </c>
      <c r="K17" s="239"/>
      <c r="L17" s="248"/>
      <c r="M17" s="248"/>
      <c r="N17" s="248"/>
      <c r="O17" s="242">
        <f>-$H$67</f>
        <v>449.2869451858993</v>
      </c>
      <c r="P17" s="245">
        <f>((1/((1+$C$10)^(1/12))*+O17))</f>
        <v>446.89686112872522</v>
      </c>
    </row>
    <row r="18" spans="1:16">
      <c r="A18" s="241"/>
      <c r="B18" s="239">
        <f>+B17+1</f>
        <v>2</v>
      </c>
      <c r="C18" s="242">
        <f t="shared" ref="C18:C64" si="1">+$C$9/12</f>
        <v>2299.75</v>
      </c>
      <c r="D18" s="242">
        <f>+SUM($C$17:C18)</f>
        <v>4599.5</v>
      </c>
      <c r="E18" s="242">
        <f t="shared" ref="E18:E64" si="2">+D18-(D18*0.3858)</f>
        <v>2825.0129000000002</v>
      </c>
      <c r="F18" s="242">
        <f>+E18+SUM($G$16:G17)</f>
        <v>2843.9475083333336</v>
      </c>
      <c r="G18" s="242">
        <f t="shared" si="0"/>
        <v>37.869216666666667</v>
      </c>
      <c r="H18" s="245">
        <f>((1/((1+C$10)^(B18/12))*+G18))</f>
        <v>37.467380530127279</v>
      </c>
      <c r="I18" s="239"/>
      <c r="J18" s="373">
        <f>-B18*$H$67-SUM($G$17:G18)</f>
        <v>841.77006537179864</v>
      </c>
      <c r="K18" s="239"/>
      <c r="L18" s="248"/>
      <c r="M18" s="248"/>
      <c r="N18" s="248"/>
      <c r="O18" s="242">
        <f t="shared" ref="O18:O64" si="3">-$H$67</f>
        <v>449.2869451858993</v>
      </c>
      <c r="P18" s="245">
        <f>((1/((1+$C$10)^(B18/12))*+O18))</f>
        <v>444.51949166711552</v>
      </c>
    </row>
    <row r="19" spans="1:16">
      <c r="A19" s="241"/>
      <c r="B19" s="239">
        <f t="shared" ref="B19:B64" si="4">+B18+1</f>
        <v>3</v>
      </c>
      <c r="C19" s="242">
        <f t="shared" si="1"/>
        <v>2299.75</v>
      </c>
      <c r="D19" s="242">
        <f>+SUM($C$17:C19)</f>
        <v>6899.25</v>
      </c>
      <c r="E19" s="242">
        <f t="shared" si="2"/>
        <v>4237.5193500000005</v>
      </c>
      <c r="F19" s="242">
        <f>+E19+SUM($G$16:G18)</f>
        <v>4294.3231750000004</v>
      </c>
      <c r="G19" s="242">
        <f t="shared" si="0"/>
        <v>56.803824999999996</v>
      </c>
      <c r="H19" s="245">
        <f t="shared" ref="H19:H28" si="5">((1/((1+C$10)^(B19/12))*+G19))</f>
        <v>55.902096420923002</v>
      </c>
      <c r="I19" s="239"/>
      <c r="J19" s="373">
        <f>-B19*$H$67-SUM($G$17:G19)</f>
        <v>1234.2531855576981</v>
      </c>
      <c r="K19" s="239"/>
      <c r="L19" s="248"/>
      <c r="M19" s="248"/>
      <c r="N19" s="248"/>
      <c r="O19" s="242">
        <f t="shared" si="3"/>
        <v>449.2869451858993</v>
      </c>
      <c r="P19" s="245">
        <f t="shared" ref="P19:P64" si="6">((1/((1+$C$10)^(B19/12))*+O19))</f>
        <v>442.1547691628881</v>
      </c>
    </row>
    <row r="20" spans="1:16">
      <c r="A20" s="241"/>
      <c r="B20" s="239">
        <f t="shared" si="4"/>
        <v>4</v>
      </c>
      <c r="C20" s="242">
        <f t="shared" si="1"/>
        <v>2299.75</v>
      </c>
      <c r="D20" s="242">
        <f>+SUM($C$17:C20)</f>
        <v>9199</v>
      </c>
      <c r="E20" s="242">
        <f t="shared" si="2"/>
        <v>5650.0258000000003</v>
      </c>
      <c r="F20" s="242">
        <f>+E20+SUM($G$16:G19)</f>
        <v>5763.6334500000003</v>
      </c>
      <c r="G20" s="242">
        <f t="shared" si="0"/>
        <v>75.738433333333333</v>
      </c>
      <c r="H20" s="245">
        <f t="shared" si="5"/>
        <v>74.139616678420523</v>
      </c>
      <c r="I20" s="239"/>
      <c r="J20" s="373">
        <f>-B20*$H$67-SUM($G$17:G20)</f>
        <v>1607.8016974102638</v>
      </c>
      <c r="K20" s="239"/>
      <c r="L20" s="248"/>
      <c r="M20" s="248"/>
      <c r="N20" s="248"/>
      <c r="O20" s="242">
        <f t="shared" si="3"/>
        <v>449.2869451858993</v>
      </c>
      <c r="P20" s="245">
        <f t="shared" si="6"/>
        <v>439.80262633767768</v>
      </c>
    </row>
    <row r="21" spans="1:16">
      <c r="A21" s="241"/>
      <c r="B21" s="239">
        <f t="shared" si="4"/>
        <v>5</v>
      </c>
      <c r="C21" s="242">
        <f t="shared" si="1"/>
        <v>2299.75</v>
      </c>
      <c r="D21" s="242">
        <f>+SUM($C$17:C21)</f>
        <v>11498.75</v>
      </c>
      <c r="E21" s="242">
        <f t="shared" si="2"/>
        <v>7062.5322500000002</v>
      </c>
      <c r="F21" s="242">
        <f>+E21+SUM($G$16:G20)</f>
        <v>7251.878333333334</v>
      </c>
      <c r="G21" s="242">
        <f t="shared" si="0"/>
        <v>94.673041666666663</v>
      </c>
      <c r="H21" s="245">
        <f t="shared" si="5"/>
        <v>92.181517663405089</v>
      </c>
      <c r="I21" s="239"/>
      <c r="J21" s="373">
        <f>-B21*$H$67-SUM($G$17:G21)</f>
        <v>1962.4156009294963</v>
      </c>
      <c r="K21" s="239"/>
      <c r="L21" s="248"/>
      <c r="M21" s="248"/>
      <c r="N21" s="248"/>
      <c r="O21" s="242">
        <f t="shared" si="3"/>
        <v>449.2869451858993</v>
      </c>
      <c r="P21" s="245">
        <f t="shared" si="6"/>
        <v>437.46299627102178</v>
      </c>
    </row>
    <row r="22" spans="1:16">
      <c r="A22" s="241"/>
      <c r="B22" s="239">
        <f t="shared" si="4"/>
        <v>6</v>
      </c>
      <c r="C22" s="242">
        <f t="shared" si="1"/>
        <v>2299.75</v>
      </c>
      <c r="D22" s="242">
        <f>+SUM($C$17:C22)</f>
        <v>13798.5</v>
      </c>
      <c r="E22" s="242">
        <f t="shared" si="2"/>
        <v>8475.038700000001</v>
      </c>
      <c r="F22" s="242">
        <f>+E22+SUM($G$16:G21)</f>
        <v>8759.0578250000017</v>
      </c>
      <c r="G22" s="242">
        <f t="shared" si="0"/>
        <v>113.60764999999999</v>
      </c>
      <c r="H22" s="245">
        <f t="shared" si="5"/>
        <v>110.02936454558024</v>
      </c>
      <c r="I22" s="239"/>
      <c r="J22" s="373">
        <f>-B22*$H$67-SUM($G$17:G22)</f>
        <v>2298.0948961153958</v>
      </c>
      <c r="K22" s="239"/>
      <c r="L22" s="248"/>
      <c r="M22" s="248"/>
      <c r="N22" s="248"/>
      <c r="O22" s="242">
        <f t="shared" si="3"/>
        <v>449.2869451858993</v>
      </c>
      <c r="P22" s="245">
        <f t="shared" si="6"/>
        <v>435.13581239845593</v>
      </c>
    </row>
    <row r="23" spans="1:16">
      <c r="A23" s="241"/>
      <c r="B23" s="239">
        <f t="shared" si="4"/>
        <v>7</v>
      </c>
      <c r="C23" s="242">
        <f t="shared" si="1"/>
        <v>2299.75</v>
      </c>
      <c r="D23" s="242">
        <f>+SUM($C$17:C23)</f>
        <v>16098.25</v>
      </c>
      <c r="E23" s="242">
        <f t="shared" si="2"/>
        <v>9887.5451500000017</v>
      </c>
      <c r="F23" s="242">
        <f>+E23+SUM($G$16:G22)</f>
        <v>10285.171925000002</v>
      </c>
      <c r="G23" s="242">
        <f t="shared" si="0"/>
        <v>132.54225833333334</v>
      </c>
      <c r="H23" s="245">
        <f t="shared" si="5"/>
        <v>127.68471137802499</v>
      </c>
      <c r="I23" s="239"/>
      <c r="J23" s="373">
        <f>-B23*$H$67-SUM($G$17:G23)</f>
        <v>2614.8395829679621</v>
      </c>
      <c r="K23" s="239"/>
      <c r="L23" s="248"/>
      <c r="M23" s="248"/>
      <c r="N23" s="248"/>
      <c r="O23" s="242">
        <f t="shared" si="3"/>
        <v>449.2869451858993</v>
      </c>
      <c r="P23" s="245">
        <f t="shared" si="6"/>
        <v>432.82100850962121</v>
      </c>
    </row>
    <row r="24" spans="1:16">
      <c r="A24" s="241"/>
      <c r="B24" s="239">
        <f t="shared" si="4"/>
        <v>8</v>
      </c>
      <c r="C24" s="242">
        <f t="shared" si="1"/>
        <v>2299.75</v>
      </c>
      <c r="D24" s="242">
        <f>+SUM($C$17:C24)</f>
        <v>18398</v>
      </c>
      <c r="E24" s="242">
        <f t="shared" si="2"/>
        <v>11300.051600000001</v>
      </c>
      <c r="F24" s="242">
        <f>+E24+SUM($G$16:G23)</f>
        <v>11830.220633333334</v>
      </c>
      <c r="G24" s="242">
        <f t="shared" si="0"/>
        <v>151.47686666666667</v>
      </c>
      <c r="H24" s="245">
        <f t="shared" si="5"/>
        <v>145.14910117117466</v>
      </c>
      <c r="I24" s="239"/>
      <c r="J24" s="373">
        <f>-B24*$H$67-SUM($G$17:G24)</f>
        <v>2912.6496614871944</v>
      </c>
      <c r="K24" s="239"/>
      <c r="L24" s="248"/>
      <c r="M24" s="248"/>
      <c r="N24" s="248"/>
      <c r="O24" s="242">
        <f t="shared" si="3"/>
        <v>449.2869451858993</v>
      </c>
      <c r="P24" s="245">
        <f t="shared" si="6"/>
        <v>430.51851874637913</v>
      </c>
    </row>
    <row r="25" spans="1:16">
      <c r="A25" s="241"/>
      <c r="B25" s="239">
        <f t="shared" si="4"/>
        <v>9</v>
      </c>
      <c r="C25" s="242">
        <f t="shared" si="1"/>
        <v>2299.75</v>
      </c>
      <c r="D25" s="242">
        <f>+SUM($C$17:C25)</f>
        <v>20697.75</v>
      </c>
      <c r="E25" s="242">
        <f t="shared" si="2"/>
        <v>12712.55805</v>
      </c>
      <c r="F25" s="242">
        <f>+E25+SUM($G$16:G24)</f>
        <v>13394.203949999999</v>
      </c>
      <c r="G25" s="242">
        <f t="shared" si="0"/>
        <v>170.411475</v>
      </c>
      <c r="H25" s="245">
        <f t="shared" si="5"/>
        <v>162.42406596633009</v>
      </c>
      <c r="I25" s="239"/>
      <c r="J25" s="373">
        <f>-B25*$H$67-SUM($G$17:G25)</f>
        <v>3191.5251316730937</v>
      </c>
      <c r="K25" s="239"/>
      <c r="L25" s="248"/>
      <c r="M25" s="248"/>
      <c r="N25" s="248"/>
      <c r="O25" s="242">
        <f t="shared" si="3"/>
        <v>449.2869451858993</v>
      </c>
      <c r="P25" s="245">
        <f t="shared" si="6"/>
        <v>428.22827760093884</v>
      </c>
    </row>
    <row r="26" spans="1:16">
      <c r="A26" s="241"/>
      <c r="B26" s="239">
        <f t="shared" si="4"/>
        <v>10</v>
      </c>
      <c r="C26" s="242">
        <f t="shared" si="1"/>
        <v>2299.75</v>
      </c>
      <c r="D26" s="242">
        <f>+SUM($C$17:C26)</f>
        <v>22997.5</v>
      </c>
      <c r="E26" s="242">
        <f t="shared" si="2"/>
        <v>14125.0645</v>
      </c>
      <c r="F26" s="242">
        <f>+E26+SUM($G$16:G25)</f>
        <v>14977.121875000001</v>
      </c>
      <c r="G26" s="242">
        <f t="shared" si="0"/>
        <v>189.34608333333333</v>
      </c>
      <c r="H26" s="245">
        <f t="shared" si="5"/>
        <v>179.51112690869664</v>
      </c>
      <c r="I26" s="239"/>
      <c r="J26" s="373">
        <f>-B26*$H$67-SUM($G$17:G26)</f>
        <v>3451.4659935256595</v>
      </c>
      <c r="K26" s="239"/>
      <c r="L26" s="248"/>
      <c r="M26" s="248"/>
      <c r="N26" s="248"/>
      <c r="O26" s="242">
        <f t="shared" si="3"/>
        <v>449.2869451858993</v>
      </c>
      <c r="P26" s="245">
        <f t="shared" si="6"/>
        <v>425.95021991399312</v>
      </c>
    </row>
    <row r="27" spans="1:16">
      <c r="A27" s="241"/>
      <c r="B27" s="239">
        <f t="shared" si="4"/>
        <v>11</v>
      </c>
      <c r="C27" s="242">
        <f t="shared" si="1"/>
        <v>2299.75</v>
      </c>
      <c r="D27" s="242">
        <f>+SUM($C$17:C27)</f>
        <v>25297.25</v>
      </c>
      <c r="E27" s="242">
        <f t="shared" si="2"/>
        <v>15537.570950000001</v>
      </c>
      <c r="F27" s="242">
        <f>+E27+SUM($G$16:G26)</f>
        <v>16578.974408333335</v>
      </c>
      <c r="G27" s="242">
        <f t="shared" si="0"/>
        <v>208.28069166666668</v>
      </c>
      <c r="H27" s="245">
        <f t="shared" si="5"/>
        <v>196.41179431995656</v>
      </c>
      <c r="I27" s="239"/>
      <c r="J27" s="373">
        <f>-B27*$H$67-SUM($G$17:G27)</f>
        <v>3692.4722470448924</v>
      </c>
      <c r="K27" s="239"/>
      <c r="L27" s="248"/>
      <c r="M27" s="248"/>
      <c r="N27" s="248"/>
      <c r="O27" s="242">
        <f t="shared" si="3"/>
        <v>449.2869451858993</v>
      </c>
      <c r="P27" s="245">
        <f t="shared" si="6"/>
        <v>423.68428087286429</v>
      </c>
    </row>
    <row r="28" spans="1:16">
      <c r="A28" s="241"/>
      <c r="B28" s="239">
        <f t="shared" si="4"/>
        <v>12</v>
      </c>
      <c r="C28" s="242">
        <f t="shared" si="1"/>
        <v>2299.75</v>
      </c>
      <c r="D28" s="242">
        <f>+SUM($C$17:C28)</f>
        <v>27597</v>
      </c>
      <c r="E28" s="242">
        <f t="shared" si="2"/>
        <v>16950.077400000002</v>
      </c>
      <c r="F28" s="242">
        <f>+E28+SUM($G$16:G27)</f>
        <v>18199.761550000003</v>
      </c>
      <c r="G28" s="242">
        <f t="shared" si="0"/>
        <v>227.21529999999998</v>
      </c>
      <c r="H28" s="245">
        <f t="shared" si="5"/>
        <v>213.12756777037799</v>
      </c>
      <c r="I28" s="239"/>
      <c r="J28" s="373">
        <f>-B28*$H$67-SUM($G$17:G28)</f>
        <v>3914.5438922307922</v>
      </c>
      <c r="K28" s="239"/>
      <c r="L28" s="248">
        <f>+SUM(J16:J28)/13</f>
        <v>2165.5526377820624</v>
      </c>
      <c r="M28" s="248">
        <f>+L28*C11</f>
        <v>213.95660061286776</v>
      </c>
      <c r="N28" s="248"/>
      <c r="O28" s="242">
        <f t="shared" si="3"/>
        <v>449.2869451858993</v>
      </c>
      <c r="P28" s="245">
        <f t="shared" si="6"/>
        <v>421.43039600966068</v>
      </c>
    </row>
    <row r="29" spans="1:16">
      <c r="A29" s="241">
        <v>2018</v>
      </c>
      <c r="B29" s="239">
        <f t="shared" si="4"/>
        <v>13</v>
      </c>
      <c r="C29" s="242">
        <f t="shared" si="1"/>
        <v>2299.75</v>
      </c>
      <c r="D29" s="242">
        <f>+SUM($C$17:C29)</f>
        <v>29896.75</v>
      </c>
      <c r="E29" s="242">
        <f t="shared" si="2"/>
        <v>18362.583850000003</v>
      </c>
      <c r="F29" s="242">
        <f>+E29+SUM($G$16:G28)</f>
        <v>19839.483300000004</v>
      </c>
      <c r="G29" s="242">
        <f>+D29*$D$11/12</f>
        <v>248.64130416666669</v>
      </c>
      <c r="H29" s="245">
        <f>((1/((1+D$10)^(B29/12))*+G29))</f>
        <v>231.74892512120456</v>
      </c>
      <c r="I29" s="239"/>
      <c r="J29" s="373">
        <f>-B29*$H$67-SUM($G$17:G29)</f>
        <v>4115.1895332500244</v>
      </c>
      <c r="K29" s="239"/>
      <c r="L29" s="248"/>
      <c r="M29" s="248"/>
      <c r="N29" s="248"/>
      <c r="O29" s="242">
        <f t="shared" si="3"/>
        <v>449.2869451858993</v>
      </c>
      <c r="P29" s="245">
        <f t="shared" si="6"/>
        <v>419.1885011994421</v>
      </c>
    </row>
    <row r="30" spans="1:16">
      <c r="A30" s="241"/>
      <c r="B30" s="239">
        <f t="shared" si="4"/>
        <v>14</v>
      </c>
      <c r="C30" s="242">
        <f t="shared" si="1"/>
        <v>2299.75</v>
      </c>
      <c r="D30" s="242">
        <f>+SUM($C$17:C30)</f>
        <v>32196.5</v>
      </c>
      <c r="E30" s="242">
        <f t="shared" si="2"/>
        <v>19775.090300000003</v>
      </c>
      <c r="F30" s="242">
        <f>+E30+SUM($G$16:G29)</f>
        <v>21500.631054166672</v>
      </c>
      <c r="G30" s="242">
        <f t="shared" ref="G30:G64" si="7">+D30*$D$11/12</f>
        <v>267.76755833333334</v>
      </c>
      <c r="H30" s="245">
        <f t="shared" ref="H30:H64" si="8">((1/((1+D$10)^(B30/12))*+G30))</f>
        <v>248.22869564757218</v>
      </c>
      <c r="I30" s="239"/>
      <c r="J30" s="373">
        <f>-B30*$H$67-SUM($G$17:G30)</f>
        <v>4296.7089201025901</v>
      </c>
      <c r="K30" s="239"/>
      <c r="L30" s="248"/>
      <c r="M30" s="248"/>
      <c r="N30" s="248"/>
      <c r="O30" s="242">
        <f t="shared" si="3"/>
        <v>449.2869451858993</v>
      </c>
      <c r="P30" s="245">
        <f t="shared" si="6"/>
        <v>416.95853265839554</v>
      </c>
    </row>
    <row r="31" spans="1:16">
      <c r="A31" s="241"/>
      <c r="B31" s="239">
        <f t="shared" si="4"/>
        <v>15</v>
      </c>
      <c r="C31" s="242">
        <f t="shared" si="1"/>
        <v>2299.75</v>
      </c>
      <c r="D31" s="242">
        <f>+SUM($C$17:C31)</f>
        <v>34496.25</v>
      </c>
      <c r="E31" s="242">
        <f t="shared" si="2"/>
        <v>21187.596750000001</v>
      </c>
      <c r="F31" s="242">
        <f>+E31+SUM($G$16:G30)</f>
        <v>23180.905062500002</v>
      </c>
      <c r="G31" s="242">
        <f t="shared" si="7"/>
        <v>286.89381250000002</v>
      </c>
      <c r="H31" s="245">
        <f t="shared" si="8"/>
        <v>264.5238176859491</v>
      </c>
      <c r="I31" s="239"/>
      <c r="J31" s="373">
        <f>-B31*$H$67-SUM($G$17:G31)</f>
        <v>4459.1020527884893</v>
      </c>
      <c r="K31" s="239"/>
      <c r="L31" s="248"/>
      <c r="M31" s="248"/>
      <c r="N31" s="248"/>
      <c r="O31" s="242">
        <f t="shared" si="3"/>
        <v>449.2869451858993</v>
      </c>
      <c r="P31" s="245">
        <f t="shared" si="6"/>
        <v>414.74042694202058</v>
      </c>
    </row>
    <row r="32" spans="1:16">
      <c r="A32" s="241"/>
      <c r="B32" s="239">
        <f t="shared" si="4"/>
        <v>16</v>
      </c>
      <c r="C32" s="242">
        <f t="shared" si="1"/>
        <v>2299.75</v>
      </c>
      <c r="D32" s="242">
        <f>+SUM($C$17:C32)</f>
        <v>36796</v>
      </c>
      <c r="E32" s="242">
        <f t="shared" si="2"/>
        <v>22600.103200000001</v>
      </c>
      <c r="F32" s="242">
        <f>+E32+SUM($G$16:G31)</f>
        <v>24880.305325000001</v>
      </c>
      <c r="G32" s="242">
        <f t="shared" si="7"/>
        <v>306.02006666666665</v>
      </c>
      <c r="H32" s="245">
        <f t="shared" si="8"/>
        <v>280.63580439975124</v>
      </c>
      <c r="I32" s="239"/>
      <c r="J32" s="373">
        <f>-B32*$H$67-SUM($G$17:G32)</f>
        <v>4602.368931307723</v>
      </c>
      <c r="K32" s="239"/>
      <c r="L32" s="248"/>
      <c r="M32" s="248"/>
      <c r="N32" s="248"/>
      <c r="O32" s="242">
        <f t="shared" si="3"/>
        <v>449.2869451858993</v>
      </c>
      <c r="P32" s="245">
        <f t="shared" si="6"/>
        <v>412.53412094332401</v>
      </c>
    </row>
    <row r="33" spans="1:16">
      <c r="A33" s="241"/>
      <c r="B33" s="239">
        <f t="shared" si="4"/>
        <v>17</v>
      </c>
      <c r="C33" s="242">
        <f t="shared" si="1"/>
        <v>2299.75</v>
      </c>
      <c r="D33" s="242">
        <f>+SUM($C$17:C33)</f>
        <v>39095.75</v>
      </c>
      <c r="E33" s="242">
        <f t="shared" si="2"/>
        <v>24012.609649999999</v>
      </c>
      <c r="F33" s="242">
        <f>+E33+SUM($G$16:G32)</f>
        <v>26598.831841666666</v>
      </c>
      <c r="G33" s="242">
        <f t="shared" si="7"/>
        <v>325.14632083333333</v>
      </c>
      <c r="H33" s="245">
        <f t="shared" si="8"/>
        <v>296.56615799722471</v>
      </c>
      <c r="I33" s="239"/>
      <c r="J33" s="373">
        <f>-B33*$H$67-SUM($G$17:G33)</f>
        <v>4726.5095556602882</v>
      </c>
      <c r="K33" s="239"/>
      <c r="L33" s="248"/>
      <c r="M33" s="248"/>
      <c r="N33" s="248"/>
      <c r="O33" s="242">
        <f t="shared" si="3"/>
        <v>449.2869451858993</v>
      </c>
      <c r="P33" s="245">
        <f t="shared" si="6"/>
        <v>410.33955189102494</v>
      </c>
    </row>
    <row r="34" spans="1:16">
      <c r="A34" s="241"/>
      <c r="B34" s="239">
        <f t="shared" si="4"/>
        <v>18</v>
      </c>
      <c r="C34" s="242">
        <f t="shared" si="1"/>
        <v>2299.75</v>
      </c>
      <c r="D34" s="242">
        <f>+SUM($C$17:C34)</f>
        <v>41395.5</v>
      </c>
      <c r="E34" s="242">
        <f t="shared" si="2"/>
        <v>25425.116099999999</v>
      </c>
      <c r="F34" s="242">
        <f>+E34+SUM($G$16:G33)</f>
        <v>28336.4846125</v>
      </c>
      <c r="G34" s="242">
        <f t="shared" si="7"/>
        <v>344.27257500000002</v>
      </c>
      <c r="H34" s="245">
        <f t="shared" si="8"/>
        <v>312.31636980562291</v>
      </c>
      <c r="I34" s="239"/>
      <c r="J34" s="373">
        <f>-B34*$H$67-SUM($G$17:G34)</f>
        <v>4831.5239258461879</v>
      </c>
      <c r="K34" s="239"/>
      <c r="L34" s="248"/>
      <c r="M34" s="248"/>
      <c r="N34" s="248"/>
      <c r="O34" s="242">
        <f t="shared" si="3"/>
        <v>449.2869451858993</v>
      </c>
      <c r="P34" s="245">
        <f t="shared" si="6"/>
        <v>408.15665734776843</v>
      </c>
    </row>
    <row r="35" spans="1:16">
      <c r="A35" s="241"/>
      <c r="B35" s="239">
        <f t="shared" si="4"/>
        <v>19</v>
      </c>
      <c r="C35" s="242">
        <f t="shared" si="1"/>
        <v>2299.75</v>
      </c>
      <c r="D35" s="242">
        <f>+SUM($C$17:C35)</f>
        <v>43695.25</v>
      </c>
      <c r="E35" s="242">
        <f t="shared" si="2"/>
        <v>26837.62255</v>
      </c>
      <c r="F35" s="242">
        <f>+E35+SUM($G$16:G34)</f>
        <v>30093.2636375</v>
      </c>
      <c r="G35" s="242">
        <f t="shared" si="7"/>
        <v>363.3988291666667</v>
      </c>
      <c r="H35" s="245">
        <f t="shared" si="8"/>
        <v>327.88792034490342</v>
      </c>
      <c r="I35" s="239"/>
      <c r="J35" s="373">
        <f>-B35*$H$67-SUM($G$17:G35)</f>
        <v>4917.4120418654202</v>
      </c>
      <c r="K35" s="239"/>
      <c r="L35" s="248"/>
      <c r="M35" s="248"/>
      <c r="N35" s="248"/>
      <c r="O35" s="242">
        <f t="shared" si="3"/>
        <v>449.2869451858993</v>
      </c>
      <c r="P35" s="245">
        <f t="shared" si="6"/>
        <v>405.9853752083493</v>
      </c>
    </row>
    <row r="36" spans="1:16">
      <c r="A36" s="241"/>
      <c r="B36" s="239">
        <f t="shared" si="4"/>
        <v>20</v>
      </c>
      <c r="C36" s="242">
        <f t="shared" si="1"/>
        <v>2299.75</v>
      </c>
      <c r="D36" s="242">
        <f>+SUM($C$17:C36)</f>
        <v>45995</v>
      </c>
      <c r="E36" s="242">
        <f t="shared" si="2"/>
        <v>28250.129000000001</v>
      </c>
      <c r="F36" s="242">
        <f>+E36+SUM($G$16:G35)</f>
        <v>31869.168916666669</v>
      </c>
      <c r="G36" s="242">
        <f t="shared" si="7"/>
        <v>382.52508333333338</v>
      </c>
      <c r="H36" s="245">
        <f t="shared" si="8"/>
        <v>343.28227940094484</v>
      </c>
      <c r="I36" s="239"/>
      <c r="J36" s="373">
        <f>-B36*$H$67-SUM($G$17:G36)</f>
        <v>4984.173903717985</v>
      </c>
      <c r="K36" s="239"/>
      <c r="L36" s="248"/>
      <c r="M36" s="248"/>
      <c r="N36" s="248"/>
      <c r="O36" s="242">
        <f t="shared" si="3"/>
        <v>449.2869451858993</v>
      </c>
      <c r="P36" s="245">
        <f t="shared" si="6"/>
        <v>403.82564369794494</v>
      </c>
    </row>
    <row r="37" spans="1:16">
      <c r="A37" s="241"/>
      <c r="B37" s="239">
        <f t="shared" si="4"/>
        <v>21</v>
      </c>
      <c r="C37" s="242">
        <f t="shared" si="1"/>
        <v>2299.75</v>
      </c>
      <c r="D37" s="242">
        <f>+SUM($C$17:C37)</f>
        <v>48294.75</v>
      </c>
      <c r="E37" s="242">
        <f t="shared" si="2"/>
        <v>29662.635450000002</v>
      </c>
      <c r="F37" s="242">
        <f>+E37+SUM($G$16:G36)</f>
        <v>33664.200450000004</v>
      </c>
      <c r="G37" s="242">
        <f t="shared" si="7"/>
        <v>401.65133750000001</v>
      </c>
      <c r="H37" s="245">
        <f t="shared" si="8"/>
        <v>358.50090609828931</v>
      </c>
      <c r="I37" s="239"/>
      <c r="J37" s="373">
        <f>-B37*$H$67-SUM($G$17:G37)</f>
        <v>5031.8095114038861</v>
      </c>
      <c r="K37" s="239"/>
      <c r="L37" s="248"/>
      <c r="M37" s="248"/>
      <c r="N37" s="248"/>
      <c r="O37" s="242">
        <f t="shared" si="3"/>
        <v>449.2869451858993</v>
      </c>
      <c r="P37" s="245">
        <f t="shared" si="6"/>
        <v>401.6774013703581</v>
      </c>
    </row>
    <row r="38" spans="1:16">
      <c r="A38" s="241"/>
      <c r="B38" s="239">
        <f t="shared" si="4"/>
        <v>22</v>
      </c>
      <c r="C38" s="242">
        <f t="shared" si="1"/>
        <v>2299.75</v>
      </c>
      <c r="D38" s="242">
        <f>+SUM($C$17:C38)</f>
        <v>50594.5</v>
      </c>
      <c r="E38" s="242">
        <f t="shared" si="2"/>
        <v>31075.141900000002</v>
      </c>
      <c r="F38" s="242">
        <f>+E38+SUM($G$16:G37)</f>
        <v>35478.358237500004</v>
      </c>
      <c r="G38" s="242">
        <f t="shared" si="7"/>
        <v>420.77759166666669</v>
      </c>
      <c r="H38" s="245">
        <f t="shared" si="8"/>
        <v>373.54524897241191</v>
      </c>
      <c r="I38" s="239"/>
      <c r="J38" s="373">
        <f>-B38*$H$67-SUM($G$17:G38)</f>
        <v>5060.3188649231179</v>
      </c>
      <c r="K38" s="239"/>
      <c r="L38" s="248"/>
      <c r="M38" s="248"/>
      <c r="N38" s="248"/>
      <c r="O38" s="242">
        <f t="shared" si="3"/>
        <v>449.2869451858993</v>
      </c>
      <c r="P38" s="245">
        <f t="shared" si="6"/>
        <v>399.54058710626873</v>
      </c>
    </row>
    <row r="39" spans="1:16">
      <c r="A39" s="241"/>
      <c r="B39" s="239">
        <f t="shared" si="4"/>
        <v>23</v>
      </c>
      <c r="C39" s="242">
        <f t="shared" si="1"/>
        <v>2299.75</v>
      </c>
      <c r="D39" s="242">
        <f>+SUM($C$17:C39)</f>
        <v>52894.25</v>
      </c>
      <c r="E39" s="242">
        <f t="shared" si="2"/>
        <v>32487.648349999999</v>
      </c>
      <c r="F39" s="242">
        <f>+E39+SUM($G$16:G38)</f>
        <v>37311.64227916667</v>
      </c>
      <c r="G39" s="242">
        <f t="shared" si="7"/>
        <v>439.90384583333338</v>
      </c>
      <c r="H39" s="245">
        <f t="shared" si="8"/>
        <v>388.41674604152035</v>
      </c>
      <c r="I39" s="239"/>
      <c r="J39" s="373">
        <f>-B39*$H$67-SUM($G$17:G39)</f>
        <v>5069.7019642756832</v>
      </c>
      <c r="K39" s="239"/>
      <c r="L39" s="248"/>
      <c r="M39" s="248"/>
      <c r="N39" s="248"/>
      <c r="O39" s="242">
        <f t="shared" si="3"/>
        <v>449.2869451858993</v>
      </c>
      <c r="P39" s="245">
        <f t="shared" si="6"/>
        <v>397.41514011149451</v>
      </c>
    </row>
    <row r="40" spans="1:16">
      <c r="A40" s="241"/>
      <c r="B40" s="239">
        <f t="shared" si="4"/>
        <v>24</v>
      </c>
      <c r="C40" s="242">
        <f t="shared" si="1"/>
        <v>2299.75</v>
      </c>
      <c r="D40" s="242">
        <f>+SUM($C$17:C40)</f>
        <v>55194</v>
      </c>
      <c r="E40" s="242">
        <f t="shared" si="2"/>
        <v>33900.154800000004</v>
      </c>
      <c r="F40" s="242">
        <f>+E40+SUM($G$16:G39)</f>
        <v>39164.052575000002</v>
      </c>
      <c r="G40" s="242">
        <f t="shared" si="7"/>
        <v>459.0301</v>
      </c>
      <c r="H40" s="245">
        <f t="shared" si="8"/>
        <v>403.11682487788892</v>
      </c>
      <c r="I40" s="239"/>
      <c r="J40" s="373">
        <f>-B40*$H$67-SUM($G$17:G40)</f>
        <v>5059.9588094615838</v>
      </c>
      <c r="K40" s="239"/>
      <c r="L40" s="248">
        <f>+SUM(J28:J40)/13</f>
        <v>4697.6401466795214</v>
      </c>
      <c r="M40" s="248">
        <f>+L40*$D$11</f>
        <v>468.82448663861624</v>
      </c>
      <c r="N40" s="248"/>
      <c r="O40" s="242">
        <f t="shared" si="3"/>
        <v>449.2869451858993</v>
      </c>
      <c r="P40" s="245">
        <f t="shared" si="6"/>
        <v>395.30099991526191</v>
      </c>
    </row>
    <row r="41" spans="1:16">
      <c r="A41" s="241">
        <v>2019</v>
      </c>
      <c r="B41" s="239">
        <f t="shared" si="4"/>
        <v>25</v>
      </c>
      <c r="C41" s="242">
        <f t="shared" si="1"/>
        <v>2299.75</v>
      </c>
      <c r="D41" s="242">
        <f>+SUM($C$17:C41)</f>
        <v>57493.75</v>
      </c>
      <c r="E41" s="242">
        <f t="shared" si="2"/>
        <v>35312.661250000005</v>
      </c>
      <c r="F41" s="242">
        <f>+E41+SUM($G$16:G40)</f>
        <v>41035.589125000006</v>
      </c>
      <c r="G41" s="242">
        <f t="shared" si="7"/>
        <v>478.15635416666669</v>
      </c>
      <c r="H41" s="245">
        <f t="shared" si="8"/>
        <v>417.64690267872771</v>
      </c>
      <c r="I41" s="239"/>
      <c r="J41" s="373">
        <f>-B41*$H$67-SUM($G$17:G41)</f>
        <v>5031.089400480816</v>
      </c>
      <c r="K41" s="239"/>
      <c r="L41" s="248"/>
      <c r="M41" s="248"/>
      <c r="N41" s="248"/>
      <c r="O41" s="242">
        <f t="shared" si="3"/>
        <v>449.2869451858993</v>
      </c>
      <c r="P41" s="245">
        <f t="shared" si="6"/>
        <v>393.19810636848518</v>
      </c>
    </row>
    <row r="42" spans="1:16">
      <c r="A42" s="241"/>
      <c r="B42" s="239">
        <f t="shared" si="4"/>
        <v>26</v>
      </c>
      <c r="C42" s="242">
        <f t="shared" si="1"/>
        <v>2299.75</v>
      </c>
      <c r="D42" s="242">
        <f>+SUM($C$17:C42)</f>
        <v>59793.5</v>
      </c>
      <c r="E42" s="242">
        <f t="shared" si="2"/>
        <v>36725.167700000005</v>
      </c>
      <c r="F42" s="242">
        <f>+E42+SUM($G$16:G41)</f>
        <v>42926.251929166669</v>
      </c>
      <c r="G42" s="242">
        <f t="shared" si="7"/>
        <v>497.28260833333337</v>
      </c>
      <c r="H42" s="245">
        <f t="shared" si="8"/>
        <v>432.00838633659168</v>
      </c>
      <c r="I42" s="239"/>
      <c r="J42" s="373">
        <f>-B42*$H$67-SUM($G$17:G42)</f>
        <v>4983.0937373333818</v>
      </c>
      <c r="K42" s="239"/>
      <c r="L42" s="248"/>
      <c r="M42" s="248"/>
      <c r="N42" s="248"/>
      <c r="O42" s="242">
        <f t="shared" si="3"/>
        <v>449.2869451858993</v>
      </c>
      <c r="P42" s="245">
        <f t="shared" si="6"/>
        <v>391.10639964205564</v>
      </c>
    </row>
    <row r="43" spans="1:16">
      <c r="A43" s="241"/>
      <c r="B43" s="239">
        <f t="shared" si="4"/>
        <v>27</v>
      </c>
      <c r="C43" s="242">
        <f t="shared" si="1"/>
        <v>2299.75</v>
      </c>
      <c r="D43" s="242">
        <f>+SUM($C$17:C43)</f>
        <v>62093.25</v>
      </c>
      <c r="E43" s="242">
        <f t="shared" si="2"/>
        <v>38137.674150000006</v>
      </c>
      <c r="F43" s="242">
        <f>+E43+SUM($G$16:G42)</f>
        <v>44836.040987500004</v>
      </c>
      <c r="G43" s="242">
        <f t="shared" si="7"/>
        <v>516.40886250000005</v>
      </c>
      <c r="H43" s="245">
        <f t="shared" si="8"/>
        <v>446.20267250933227</v>
      </c>
      <c r="I43" s="239"/>
      <c r="J43" s="373">
        <f>-B43*$H$67-SUM($G$17:G43)</f>
        <v>4915.9718200192801</v>
      </c>
      <c r="K43" s="239"/>
      <c r="L43" s="248"/>
      <c r="M43" s="248"/>
      <c r="N43" s="248"/>
      <c r="O43" s="242">
        <f t="shared" si="3"/>
        <v>449.2869451858993</v>
      </c>
      <c r="P43" s="245">
        <f t="shared" si="6"/>
        <v>389.02582022513883</v>
      </c>
    </row>
    <row r="44" spans="1:16">
      <c r="A44" s="241"/>
      <c r="B44" s="239">
        <f t="shared" si="4"/>
        <v>28</v>
      </c>
      <c r="C44" s="242">
        <f t="shared" si="1"/>
        <v>2299.75</v>
      </c>
      <c r="D44" s="242">
        <f>+SUM($C$17:C44)</f>
        <v>64393</v>
      </c>
      <c r="E44" s="242">
        <f t="shared" si="2"/>
        <v>39550.180600000007</v>
      </c>
      <c r="F44" s="242">
        <f>+E44+SUM($G$16:G43)</f>
        <v>46764.956300000005</v>
      </c>
      <c r="G44" s="242">
        <f t="shared" si="7"/>
        <v>535.53511666666668</v>
      </c>
      <c r="H44" s="245">
        <f t="shared" si="8"/>
        <v>460.231147689593</v>
      </c>
      <c r="I44" s="239"/>
      <c r="J44" s="373">
        <f>-B44*$H$67-SUM($G$17:G44)</f>
        <v>4829.7236485385138</v>
      </c>
      <c r="K44" s="239"/>
      <c r="L44" s="248"/>
      <c r="M44" s="248"/>
      <c r="N44" s="248"/>
      <c r="O44" s="242">
        <f t="shared" si="3"/>
        <v>449.2869451858993</v>
      </c>
      <c r="P44" s="245">
        <f t="shared" si="6"/>
        <v>386.9563089234818</v>
      </c>
    </row>
    <row r="45" spans="1:16">
      <c r="A45" s="241"/>
      <c r="B45" s="239">
        <f t="shared" si="4"/>
        <v>29</v>
      </c>
      <c r="C45" s="242">
        <f t="shared" si="1"/>
        <v>2299.75</v>
      </c>
      <c r="D45" s="242">
        <f>+SUM($C$17:C45)</f>
        <v>66692.75</v>
      </c>
      <c r="E45" s="242">
        <f t="shared" si="2"/>
        <v>40962.68705</v>
      </c>
      <c r="F45" s="242">
        <f>+E45+SUM($G$16:G44)</f>
        <v>48712.997866666665</v>
      </c>
      <c r="G45" s="242">
        <f t="shared" si="7"/>
        <v>554.66137083333331</v>
      </c>
      <c r="H45" s="245">
        <f t="shared" si="8"/>
        <v>474.09518827385466</v>
      </c>
      <c r="I45" s="239"/>
      <c r="J45" s="373">
        <f>-B45*$H$67-SUM($G$17:G45)</f>
        <v>4724.34922289108</v>
      </c>
      <c r="K45" s="239"/>
      <c r="L45" s="248"/>
      <c r="M45" s="248"/>
      <c r="N45" s="248"/>
      <c r="O45" s="242">
        <f t="shared" si="3"/>
        <v>449.2869451858993</v>
      </c>
      <c r="P45" s="245">
        <f t="shared" si="6"/>
        <v>384.89780685772905</v>
      </c>
    </row>
    <row r="46" spans="1:16">
      <c r="A46" s="241"/>
      <c r="B46" s="239">
        <f t="shared" si="4"/>
        <v>30</v>
      </c>
      <c r="C46" s="242">
        <f t="shared" si="1"/>
        <v>2299.75</v>
      </c>
      <c r="D46" s="242">
        <f>+SUM($C$17:C46)</f>
        <v>68992.5</v>
      </c>
      <c r="E46" s="242">
        <f t="shared" si="2"/>
        <v>42375.193500000001</v>
      </c>
      <c r="F46" s="242">
        <f>+E46+SUM($G$16:G45)</f>
        <v>50680.165687500004</v>
      </c>
      <c r="G46" s="242">
        <f t="shared" si="7"/>
        <v>573.78762500000005</v>
      </c>
      <c r="H46" s="245">
        <f t="shared" si="8"/>
        <v>487.79616063102958</v>
      </c>
      <c r="I46" s="239"/>
      <c r="J46" s="373">
        <f>-B46*$H$67-SUM($G$17:G46)</f>
        <v>4599.8485430769779</v>
      </c>
      <c r="K46" s="239"/>
      <c r="L46" s="248"/>
      <c r="M46" s="248"/>
      <c r="N46" s="248"/>
      <c r="O46" s="242">
        <f t="shared" si="3"/>
        <v>449.2869451858993</v>
      </c>
      <c r="P46" s="245">
        <f t="shared" si="6"/>
        <v>382.850255461747</v>
      </c>
    </row>
    <row r="47" spans="1:16">
      <c r="A47" s="241"/>
      <c r="B47" s="239">
        <f t="shared" si="4"/>
        <v>31</v>
      </c>
      <c r="C47" s="242">
        <f t="shared" si="1"/>
        <v>2299.75</v>
      </c>
      <c r="D47" s="242">
        <f>+SUM($C$17:C47)</f>
        <v>71292.25</v>
      </c>
      <c r="E47" s="242">
        <f t="shared" si="2"/>
        <v>43787.699950000002</v>
      </c>
      <c r="F47" s="242">
        <f>+E47+SUM($G$16:G46)</f>
        <v>52666.459762500002</v>
      </c>
      <c r="G47" s="242">
        <f t="shared" si="7"/>
        <v>592.91387916666667</v>
      </c>
      <c r="H47" s="245">
        <f t="shared" si="8"/>
        <v>501.33542117061029</v>
      </c>
      <c r="I47" s="239"/>
      <c r="J47" s="373">
        <f>-B47*$H$67-SUM($G$17:G47)</f>
        <v>4456.221609096212</v>
      </c>
      <c r="K47" s="239"/>
      <c r="L47" s="248"/>
      <c r="M47" s="248"/>
      <c r="N47" s="248"/>
      <c r="O47" s="242">
        <f t="shared" si="3"/>
        <v>449.2869451858993</v>
      </c>
      <c r="P47" s="245">
        <f t="shared" si="6"/>
        <v>380.81359648095793</v>
      </c>
    </row>
    <row r="48" spans="1:16">
      <c r="A48" s="241"/>
      <c r="B48" s="239">
        <f t="shared" si="4"/>
        <v>32</v>
      </c>
      <c r="C48" s="242">
        <f t="shared" si="1"/>
        <v>2299.75</v>
      </c>
      <c r="D48" s="242">
        <f>+SUM($C$17:C48)</f>
        <v>73592</v>
      </c>
      <c r="E48" s="242">
        <f t="shared" si="2"/>
        <v>45200.206400000003</v>
      </c>
      <c r="F48" s="242">
        <f>+E48+SUM($G$16:G47)</f>
        <v>54671.880091666666</v>
      </c>
      <c r="G48" s="242">
        <f t="shared" si="7"/>
        <v>612.0401333333333</v>
      </c>
      <c r="H48" s="245">
        <f t="shared" si="8"/>
        <v>514.71431641037555</v>
      </c>
      <c r="I48" s="239"/>
      <c r="J48" s="373">
        <f>-B48*$H$67-SUM($G$17:G48)</f>
        <v>4293.4684209487768</v>
      </c>
      <c r="K48" s="239"/>
      <c r="L48" s="248"/>
      <c r="M48" s="248"/>
      <c r="N48" s="248"/>
      <c r="O48" s="242">
        <f t="shared" si="3"/>
        <v>449.2869451858993</v>
      </c>
      <c r="P48" s="245">
        <f t="shared" si="6"/>
        <v>378.78777197068274</v>
      </c>
    </row>
    <row r="49" spans="1:16">
      <c r="A49" s="241"/>
      <c r="B49" s="239">
        <f t="shared" si="4"/>
        <v>33</v>
      </c>
      <c r="C49" s="242">
        <f t="shared" si="1"/>
        <v>2299.75</v>
      </c>
      <c r="D49" s="242">
        <f>+SUM($C$17:C49)</f>
        <v>75891.75</v>
      </c>
      <c r="E49" s="242">
        <f t="shared" si="2"/>
        <v>46612.712850000004</v>
      </c>
      <c r="F49" s="242">
        <f>+E49+SUM($G$16:G48)</f>
        <v>56696.426675000002</v>
      </c>
      <c r="G49" s="242">
        <f t="shared" si="7"/>
        <v>631.16638750000004</v>
      </c>
      <c r="H49" s="245">
        <f t="shared" si="8"/>
        <v>527.934183043654</v>
      </c>
      <c r="I49" s="239"/>
      <c r="J49" s="373">
        <f>-B49*$H$67-SUM($G$17:G49)</f>
        <v>4111.5889786346761</v>
      </c>
      <c r="K49" s="239"/>
      <c r="L49" s="248"/>
      <c r="M49" s="248"/>
      <c r="N49" s="248"/>
      <c r="O49" s="242">
        <f t="shared" si="3"/>
        <v>449.2869451858993</v>
      </c>
      <c r="P49" s="245">
        <f t="shared" si="6"/>
        <v>376.77272429449215</v>
      </c>
    </row>
    <row r="50" spans="1:16">
      <c r="A50" s="241"/>
      <c r="B50" s="239">
        <f t="shared" si="4"/>
        <v>34</v>
      </c>
      <c r="C50" s="242">
        <f t="shared" si="1"/>
        <v>2299.75</v>
      </c>
      <c r="D50" s="242">
        <f>+SUM($C$17:C50)</f>
        <v>78191.5</v>
      </c>
      <c r="E50" s="242">
        <f t="shared" si="2"/>
        <v>48025.219299999997</v>
      </c>
      <c r="F50" s="242">
        <f>+E50+SUM($G$16:G49)</f>
        <v>58740.099512499997</v>
      </c>
      <c r="G50" s="242">
        <f t="shared" si="7"/>
        <v>650.29264166666667</v>
      </c>
      <c r="H50" s="245">
        <f t="shared" si="8"/>
        <v>540.99634800615104</v>
      </c>
      <c r="I50" s="239"/>
      <c r="J50" s="373">
        <f>-B50*$H$67-SUM($G$17:G50)</f>
        <v>3910.5832821539097</v>
      </c>
      <c r="K50" s="239"/>
      <c r="L50" s="248"/>
      <c r="M50" s="248"/>
      <c r="N50" s="248"/>
      <c r="O50" s="242">
        <f t="shared" si="3"/>
        <v>449.2869451858993</v>
      </c>
      <c r="P50" s="245">
        <f t="shared" si="6"/>
        <v>374.76839612256703</v>
      </c>
    </row>
    <row r="51" spans="1:16">
      <c r="A51" s="241"/>
      <c r="B51" s="239">
        <f t="shared" si="4"/>
        <v>35</v>
      </c>
      <c r="C51" s="242">
        <f t="shared" si="1"/>
        <v>2299.75</v>
      </c>
      <c r="D51" s="242">
        <f>+SUM($C$17:C51)</f>
        <v>80491.25</v>
      </c>
      <c r="E51" s="242">
        <f t="shared" si="2"/>
        <v>49437.725749999998</v>
      </c>
      <c r="F51" s="242">
        <f>+E51+SUM($G$16:G50)</f>
        <v>60802.898604166665</v>
      </c>
      <c r="G51" s="242">
        <f t="shared" si="7"/>
        <v>669.41889583333329</v>
      </c>
      <c r="H51" s="245">
        <f t="shared" si="8"/>
        <v>553.90212854234005</v>
      </c>
      <c r="I51" s="239"/>
      <c r="J51" s="373">
        <f>-B51*$H$67-SUM($G$17:G51)</f>
        <v>3690.451331506476</v>
      </c>
      <c r="K51" s="239"/>
      <c r="L51" s="248"/>
      <c r="M51" s="248"/>
      <c r="N51" s="248"/>
      <c r="O51" s="242">
        <f t="shared" si="3"/>
        <v>449.2869451858993</v>
      </c>
      <c r="P51" s="245">
        <f t="shared" si="6"/>
        <v>372.77473043006711</v>
      </c>
    </row>
    <row r="52" spans="1:16">
      <c r="A52" s="241"/>
      <c r="B52" s="239">
        <f t="shared" si="4"/>
        <v>36</v>
      </c>
      <c r="C52" s="242">
        <f t="shared" si="1"/>
        <v>2299.75</v>
      </c>
      <c r="D52" s="242">
        <f>+SUM($C$17:C52)</f>
        <v>82791</v>
      </c>
      <c r="E52" s="242">
        <f t="shared" si="2"/>
        <v>50850.232199999999</v>
      </c>
      <c r="F52" s="242">
        <f>+E52+SUM($G$16:G51)</f>
        <v>62884.823949999998</v>
      </c>
      <c r="G52" s="242">
        <f t="shared" si="7"/>
        <v>688.54515000000004</v>
      </c>
      <c r="H52" s="245">
        <f t="shared" si="8"/>
        <v>566.65283227142106</v>
      </c>
      <c r="I52" s="239"/>
      <c r="J52" s="373">
        <f>-B52*$H$67-SUM($G$17:G52)</f>
        <v>3451.1931266923748</v>
      </c>
      <c r="K52" s="239"/>
      <c r="L52" s="248">
        <f>+SUM(J40:J52)/13</f>
        <v>4465.9647639103114</v>
      </c>
      <c r="M52" s="248">
        <f>+L52*$D$11</f>
        <v>445.70328343824906</v>
      </c>
      <c r="N52" s="248"/>
      <c r="O52" s="242">
        <f t="shared" si="3"/>
        <v>449.2869451858993</v>
      </c>
      <c r="P52" s="245">
        <f t="shared" si="6"/>
        <v>370.79167049550875</v>
      </c>
    </row>
    <row r="53" spans="1:16">
      <c r="A53" s="241">
        <v>2020</v>
      </c>
      <c r="B53" s="239">
        <f t="shared" si="4"/>
        <v>37</v>
      </c>
      <c r="C53" s="242">
        <f t="shared" si="1"/>
        <v>2299.75</v>
      </c>
      <c r="D53" s="242">
        <f>+SUM($C$17:C53)</f>
        <v>85090.75</v>
      </c>
      <c r="E53" s="242">
        <f t="shared" si="2"/>
        <v>52262.738649999999</v>
      </c>
      <c r="F53" s="242">
        <f>+E53+SUM($G$16:G52)</f>
        <v>64985.875549999997</v>
      </c>
      <c r="G53" s="242">
        <f t="shared" si="7"/>
        <v>707.67140416666678</v>
      </c>
      <c r="H53" s="245">
        <f t="shared" si="8"/>
        <v>579.24975725285071</v>
      </c>
      <c r="I53" s="239"/>
      <c r="J53" s="373">
        <f>-B53*$H$67-SUM($G$17:G53)</f>
        <v>3192.8086677116062</v>
      </c>
      <c r="K53" s="239"/>
      <c r="L53" s="248"/>
      <c r="M53" s="248"/>
      <c r="N53" s="248"/>
      <c r="O53" s="242">
        <f t="shared" si="3"/>
        <v>449.2869451858993</v>
      </c>
      <c r="P53" s="245">
        <f t="shared" si="6"/>
        <v>368.81915989915132</v>
      </c>
    </row>
    <row r="54" spans="1:16">
      <c r="A54" s="241"/>
      <c r="B54" s="239">
        <f t="shared" si="4"/>
        <v>38</v>
      </c>
      <c r="C54" s="242">
        <f t="shared" si="1"/>
        <v>2299.75</v>
      </c>
      <c r="D54" s="242">
        <f>+SUM($C$17:C54)</f>
        <v>87390.5</v>
      </c>
      <c r="E54" s="242">
        <f t="shared" si="2"/>
        <v>53675.2451</v>
      </c>
      <c r="F54" s="242">
        <f>+E54+SUM($G$16:G53)</f>
        <v>67106.053404166669</v>
      </c>
      <c r="G54" s="242">
        <f t="shared" si="7"/>
        <v>726.7976583333334</v>
      </c>
      <c r="H54" s="245">
        <f t="shared" si="8"/>
        <v>591.69419205144368</v>
      </c>
      <c r="I54" s="239"/>
      <c r="J54" s="373">
        <f>-B54*$H$67-SUM($G$17:G54)</f>
        <v>2915.2979545641738</v>
      </c>
      <c r="K54" s="239"/>
      <c r="L54" s="248"/>
      <c r="M54" s="248"/>
      <c r="N54" s="248"/>
      <c r="O54" s="242">
        <f t="shared" si="3"/>
        <v>449.2869451858993</v>
      </c>
      <c r="P54" s="245">
        <f t="shared" si="6"/>
        <v>366.85714252139167</v>
      </c>
    </row>
    <row r="55" spans="1:16">
      <c r="A55" s="241"/>
      <c r="B55" s="239">
        <f t="shared" si="4"/>
        <v>39</v>
      </c>
      <c r="C55" s="242">
        <f t="shared" si="1"/>
        <v>2299.75</v>
      </c>
      <c r="D55" s="242">
        <f>+SUM($C$17:C55)</f>
        <v>89690.25</v>
      </c>
      <c r="E55" s="242">
        <f t="shared" si="2"/>
        <v>55087.751550000001</v>
      </c>
      <c r="F55" s="242">
        <f>+E55+SUM($G$16:G54)</f>
        <v>69245.357512500006</v>
      </c>
      <c r="G55" s="242">
        <f t="shared" si="7"/>
        <v>745.92391250000003</v>
      </c>
      <c r="H55" s="245">
        <f t="shared" si="8"/>
        <v>603.98741580205115</v>
      </c>
      <c r="I55" s="239"/>
      <c r="J55" s="373">
        <f>-B55*$H$67-SUM($G$17:G55)</f>
        <v>2618.660987250074</v>
      </c>
      <c r="K55" s="239"/>
      <c r="L55" s="248"/>
      <c r="M55" s="248"/>
      <c r="N55" s="248"/>
      <c r="O55" s="242">
        <f t="shared" si="3"/>
        <v>449.2869451858993</v>
      </c>
      <c r="P55" s="245">
        <f t="shared" si="6"/>
        <v>364.90556254116763</v>
      </c>
    </row>
    <row r="56" spans="1:16">
      <c r="A56" s="241"/>
      <c r="B56" s="239">
        <f t="shared" si="4"/>
        <v>40</v>
      </c>
      <c r="C56" s="242">
        <f t="shared" si="1"/>
        <v>2299.75</v>
      </c>
      <c r="D56" s="242">
        <f>+SUM($C$17:C56)</f>
        <v>91990</v>
      </c>
      <c r="E56" s="242">
        <f t="shared" si="2"/>
        <v>56500.258000000002</v>
      </c>
      <c r="F56" s="242">
        <f>+E56+SUM($G$16:G55)</f>
        <v>71403.787875000009</v>
      </c>
      <c r="G56" s="242">
        <f t="shared" si="7"/>
        <v>765.05016666666677</v>
      </c>
      <c r="H56" s="245">
        <f t="shared" si="8"/>
        <v>616.13069827381707</v>
      </c>
      <c r="I56" s="239"/>
      <c r="J56" s="373">
        <f>-B56*$H$67-SUM($G$17:G56)</f>
        <v>2302.8977657693049</v>
      </c>
      <c r="K56" s="239"/>
      <c r="L56" s="248"/>
      <c r="M56" s="248"/>
      <c r="N56" s="248"/>
      <c r="O56" s="242">
        <f t="shared" si="3"/>
        <v>449.2869451858993</v>
      </c>
      <c r="P56" s="245">
        <f t="shared" si="6"/>
        <v>362.96436443436994</v>
      </c>
    </row>
    <row r="57" spans="1:16">
      <c r="A57" s="241"/>
      <c r="B57" s="239">
        <f t="shared" si="4"/>
        <v>41</v>
      </c>
      <c r="C57" s="242">
        <f t="shared" si="1"/>
        <v>2299.75</v>
      </c>
      <c r="D57" s="242">
        <f>+SUM($C$17:C57)</f>
        <v>94289.75</v>
      </c>
      <c r="E57" s="242">
        <f t="shared" si="2"/>
        <v>57912.764450000002</v>
      </c>
      <c r="F57" s="242">
        <f>+E57+SUM($G$16:G56)</f>
        <v>73581.344491666663</v>
      </c>
      <c r="G57" s="242">
        <f t="shared" si="7"/>
        <v>784.1764208333334</v>
      </c>
      <c r="H57" s="245">
        <f t="shared" si="8"/>
        <v>628.1252999340154</v>
      </c>
      <c r="I57" s="239"/>
      <c r="J57" s="373">
        <f>-B57*$H$67-SUM($G$17:G57)</f>
        <v>1968.0082901218702</v>
      </c>
      <c r="K57" s="239"/>
      <c r="L57" s="248"/>
      <c r="M57" s="248"/>
      <c r="N57" s="248"/>
      <c r="O57" s="242">
        <f t="shared" si="3"/>
        <v>449.2869451858993</v>
      </c>
      <c r="P57" s="245">
        <f t="shared" si="6"/>
        <v>361.03349297226254</v>
      </c>
    </row>
    <row r="58" spans="1:16">
      <c r="A58" s="241"/>
      <c r="B58" s="239">
        <f t="shared" si="4"/>
        <v>42</v>
      </c>
      <c r="C58" s="242">
        <f t="shared" si="1"/>
        <v>2299.75</v>
      </c>
      <c r="D58" s="242">
        <f>+SUM($C$17:C58)</f>
        <v>96589.5</v>
      </c>
      <c r="E58" s="242">
        <f t="shared" si="2"/>
        <v>59325.270900000003</v>
      </c>
      <c r="F58" s="242">
        <f>+E58+SUM($G$16:G57)</f>
        <v>75778.027362499997</v>
      </c>
      <c r="G58" s="242">
        <f t="shared" si="7"/>
        <v>803.30267500000002</v>
      </c>
      <c r="H58" s="245">
        <f t="shared" si="8"/>
        <v>639.97247201147161</v>
      </c>
      <c r="I58" s="239"/>
      <c r="J58" s="373">
        <f>-B58*$H$67-SUM($G$17:G58)</f>
        <v>1613.9925603077718</v>
      </c>
      <c r="K58" s="239"/>
      <c r="L58" s="248"/>
      <c r="M58" s="248"/>
      <c r="N58" s="248"/>
      <c r="O58" s="242">
        <f t="shared" si="3"/>
        <v>449.2869451858993</v>
      </c>
      <c r="P58" s="245">
        <f t="shared" si="6"/>
        <v>359.1128932199108</v>
      </c>
    </row>
    <row r="59" spans="1:16">
      <c r="A59" s="241"/>
      <c r="B59" s="239">
        <f t="shared" si="4"/>
        <v>43</v>
      </c>
      <c r="C59" s="242">
        <f t="shared" si="1"/>
        <v>2299.75</v>
      </c>
      <c r="D59" s="242">
        <f>+SUM($C$17:C59)</f>
        <v>98889.25</v>
      </c>
      <c r="E59" s="242">
        <f t="shared" si="2"/>
        <v>60737.777350000004</v>
      </c>
      <c r="F59" s="242">
        <f>+E59+SUM($G$16:G58)</f>
        <v>77993.836487499997</v>
      </c>
      <c r="G59" s="242">
        <f t="shared" si="7"/>
        <v>822.42892916666676</v>
      </c>
      <c r="H59" s="245">
        <f t="shared" si="8"/>
        <v>651.67345655957047</v>
      </c>
      <c r="I59" s="239"/>
      <c r="J59" s="373">
        <f>-B59*$H$67-SUM($G$17:G59)</f>
        <v>1240.8505763270005</v>
      </c>
      <c r="K59" s="239"/>
      <c r="L59" s="248"/>
      <c r="M59" s="248"/>
      <c r="N59" s="248"/>
      <c r="O59" s="242">
        <f t="shared" si="3"/>
        <v>449.2869451858993</v>
      </c>
      <c r="P59" s="245">
        <f t="shared" si="6"/>
        <v>357.20251053461953</v>
      </c>
    </row>
    <row r="60" spans="1:16">
      <c r="A60" s="241"/>
      <c r="B60" s="239">
        <f t="shared" si="4"/>
        <v>44</v>
      </c>
      <c r="C60" s="242">
        <f t="shared" si="1"/>
        <v>2299.75</v>
      </c>
      <c r="D60" s="242">
        <f>+SUM($C$17:C60)</f>
        <v>101189</v>
      </c>
      <c r="E60" s="242">
        <f t="shared" si="2"/>
        <v>62150.283800000005</v>
      </c>
      <c r="F60" s="242">
        <f>+E60+SUM($G$16:G59)</f>
        <v>80228.771866666677</v>
      </c>
      <c r="G60" s="242">
        <f t="shared" si="7"/>
        <v>841.55518333333339</v>
      </c>
      <c r="H60" s="245">
        <f t="shared" si="8"/>
        <v>663.22948651885156</v>
      </c>
      <c r="I60" s="239"/>
      <c r="J60" s="373">
        <f>-B60*$H$67-SUM($G$17:G60)</f>
        <v>848.58233817956716</v>
      </c>
      <c r="K60" s="239"/>
      <c r="L60" s="248"/>
      <c r="M60" s="248"/>
      <c r="N60" s="248"/>
      <c r="O60" s="242">
        <f t="shared" si="3"/>
        <v>449.2869451858993</v>
      </c>
      <c r="P60" s="245">
        <f t="shared" si="6"/>
        <v>355.30229056437736</v>
      </c>
    </row>
    <row r="61" spans="1:16">
      <c r="A61" s="241"/>
      <c r="B61" s="239">
        <f t="shared" si="4"/>
        <v>45</v>
      </c>
      <c r="C61" s="242">
        <f t="shared" si="1"/>
        <v>2299.75</v>
      </c>
      <c r="D61" s="242">
        <f>+SUM($C$17:C61)</f>
        <v>103488.75</v>
      </c>
      <c r="E61" s="242">
        <f t="shared" si="2"/>
        <v>63562.790250000005</v>
      </c>
      <c r="F61" s="242">
        <f>+E61+SUM($G$16:G60)</f>
        <v>82482.833500000008</v>
      </c>
      <c r="G61" s="242">
        <f t="shared" si="7"/>
        <v>860.68143750000002</v>
      </c>
      <c r="H61" s="245">
        <f t="shared" si="8"/>
        <v>674.64178577919859</v>
      </c>
      <c r="I61" s="239"/>
      <c r="J61" s="373">
        <f>-B61*$H$67-SUM($G$17:G61)</f>
        <v>437.18784586546826</v>
      </c>
      <c r="K61" s="239"/>
      <c r="L61" s="248"/>
      <c r="M61" s="248"/>
      <c r="N61" s="248"/>
      <c r="O61" s="242">
        <f t="shared" si="3"/>
        <v>449.2869451858993</v>
      </c>
      <c r="P61" s="245">
        <f t="shared" si="6"/>
        <v>353.41217924631098</v>
      </c>
    </row>
    <row r="62" spans="1:16">
      <c r="A62" s="239"/>
      <c r="B62" s="239">
        <f t="shared" si="4"/>
        <v>46</v>
      </c>
      <c r="C62" s="242">
        <f t="shared" si="1"/>
        <v>2299.75</v>
      </c>
      <c r="D62" s="242">
        <f>+SUM($C$17:C62)</f>
        <v>105788.5</v>
      </c>
      <c r="E62" s="242">
        <f t="shared" si="2"/>
        <v>64975.296699999999</v>
      </c>
      <c r="F62" s="242">
        <f>+E62+SUM($G$16:G61)</f>
        <v>84756.021387500004</v>
      </c>
      <c r="G62" s="242">
        <f t="shared" si="7"/>
        <v>879.80769166666676</v>
      </c>
      <c r="H62" s="245">
        <f t="shared" si="8"/>
        <v>685.91156924162112</v>
      </c>
      <c r="I62" s="239"/>
      <c r="J62" s="373">
        <f>-B62*$H$67-SUM($G$17:G62)</f>
        <v>6.6670993847001228</v>
      </c>
      <c r="K62" s="239"/>
      <c r="L62" s="248"/>
      <c r="M62" s="248"/>
      <c r="N62" s="248"/>
      <c r="O62" s="242">
        <f t="shared" si="3"/>
        <v>449.2869451858993</v>
      </c>
      <c r="P62" s="245">
        <f t="shared" si="6"/>
        <v>351.5321228051468</v>
      </c>
    </row>
    <row r="63" spans="1:16">
      <c r="A63" s="239"/>
      <c r="B63" s="239">
        <f t="shared" si="4"/>
        <v>47</v>
      </c>
      <c r="C63" s="242">
        <f t="shared" si="1"/>
        <v>2299.75</v>
      </c>
      <c r="D63" s="242">
        <f>+SUM($C$17:C63)</f>
        <v>108088.25</v>
      </c>
      <c r="E63" s="242">
        <f t="shared" si="2"/>
        <v>66387.803149999992</v>
      </c>
      <c r="F63" s="242">
        <f>+E63+SUM($G$16:G62)</f>
        <v>87048.335529166652</v>
      </c>
      <c r="G63" s="242">
        <f t="shared" si="7"/>
        <v>898.93394583333338</v>
      </c>
      <c r="H63" s="245">
        <f t="shared" si="8"/>
        <v>697.04004287963323</v>
      </c>
      <c r="I63" s="239"/>
      <c r="J63" s="373">
        <f>-B63*$H$67-SUM($G$17:G63)</f>
        <v>-442.97990126273362</v>
      </c>
      <c r="K63" s="239"/>
      <c r="L63" s="248"/>
      <c r="M63" s="248"/>
      <c r="N63" s="248"/>
      <c r="O63" s="242">
        <f t="shared" si="3"/>
        <v>449.2869451858993</v>
      </c>
      <c r="P63" s="245">
        <f t="shared" si="6"/>
        <v>349.66206775168092</v>
      </c>
    </row>
    <row r="64" spans="1:16">
      <c r="A64" s="239"/>
      <c r="B64" s="239">
        <f t="shared" si="4"/>
        <v>48</v>
      </c>
      <c r="C64" s="242">
        <f t="shared" si="1"/>
        <v>2299.75</v>
      </c>
      <c r="D64" s="242">
        <f>+SUM($C$17:C64)</f>
        <v>110388</v>
      </c>
      <c r="E64" s="242">
        <f t="shared" si="2"/>
        <v>67800.309600000008</v>
      </c>
      <c r="F64" s="242">
        <f>+E64+SUM($G$16:G63)</f>
        <v>89359.775925000009</v>
      </c>
      <c r="G64" s="249">
        <f t="shared" si="7"/>
        <v>918.06020000000001</v>
      </c>
      <c r="H64" s="250">
        <f t="shared" si="8"/>
        <v>708.02840380023258</v>
      </c>
      <c r="I64" s="239"/>
      <c r="J64" s="373">
        <f>-B64*$H$67-SUM($G$17:G64)</f>
        <v>-911.75315607683297</v>
      </c>
      <c r="K64" s="239"/>
      <c r="L64" s="248">
        <f>+SUM(J52:J64)/13</f>
        <v>1480.1087811411032</v>
      </c>
      <c r="M64" s="248">
        <f>+L64*$D$11</f>
        <v>147.7148563578821</v>
      </c>
      <c r="N64" s="248"/>
      <c r="O64" s="242">
        <f t="shared" si="3"/>
        <v>449.2869451858993</v>
      </c>
      <c r="P64" s="245">
        <f t="shared" si="6"/>
        <v>347.80196088125763</v>
      </c>
    </row>
    <row r="65" spans="1:16" ht="15.75" thickBot="1">
      <c r="A65" s="239"/>
      <c r="B65" s="239"/>
      <c r="C65" s="239"/>
      <c r="D65" s="239"/>
      <c r="E65" s="239"/>
      <c r="F65" s="239"/>
      <c r="G65" s="251">
        <f>SUM(G17:G64)</f>
        <v>22477.526525000001</v>
      </c>
      <c r="H65" s="252">
        <f>SUM(H17:H64)</f>
        <v>18904.832188793971</v>
      </c>
      <c r="I65" s="243"/>
      <c r="J65" s="243"/>
      <c r="K65" s="243"/>
      <c r="L65" s="248"/>
      <c r="M65" s="254"/>
      <c r="N65" s="248"/>
      <c r="O65" s="251">
        <f>SUM(O17:O64)</f>
        <v>21565.773368923172</v>
      </c>
      <c r="P65" s="252">
        <f>SUM(P17:P64)</f>
        <v>18975.617531655549</v>
      </c>
    </row>
    <row r="66" spans="1:16" ht="15.75" thickTop="1">
      <c r="A66" s="239"/>
      <c r="B66" s="239"/>
      <c r="C66" s="239"/>
      <c r="D66" s="239"/>
      <c r="E66" s="239"/>
      <c r="F66" s="239"/>
      <c r="G66" s="239"/>
      <c r="H66" s="239"/>
      <c r="I66" s="239"/>
      <c r="J66" s="239"/>
      <c r="K66" s="239"/>
      <c r="L66" s="248"/>
      <c r="M66" s="248"/>
      <c r="N66" s="248"/>
      <c r="O66" s="239"/>
      <c r="P66" s="239"/>
    </row>
    <row r="67" spans="1:16" ht="15.75" thickBot="1">
      <c r="A67" s="239"/>
      <c r="B67" s="239"/>
      <c r="C67" s="239"/>
      <c r="D67" s="239" t="s">
        <v>591</v>
      </c>
      <c r="E67" s="239"/>
      <c r="F67" s="239"/>
      <c r="G67" s="239"/>
      <c r="H67" s="247">
        <f>PMT($C$10/12,48,H65)</f>
        <v>-449.2869451858993</v>
      </c>
      <c r="I67" s="239"/>
      <c r="J67" s="239"/>
      <c r="K67" s="239"/>
      <c r="L67" s="248"/>
      <c r="M67" s="255">
        <f>SUM(M18:M64)</f>
        <v>1276.1992270476153</v>
      </c>
      <c r="N67" s="248"/>
      <c r="O67" s="239"/>
      <c r="P67" s="239"/>
    </row>
    <row r="68" spans="1:16" ht="16.5" thickTop="1" thickBot="1">
      <c r="A68" s="239"/>
      <c r="B68" s="239"/>
      <c r="C68" s="239"/>
      <c r="D68" s="239"/>
      <c r="E68" s="239"/>
      <c r="F68" s="239"/>
      <c r="G68" s="239"/>
      <c r="H68" s="239"/>
      <c r="I68" s="239"/>
      <c r="J68" s="239"/>
      <c r="K68" s="239"/>
      <c r="L68" s="248"/>
      <c r="M68" s="256">
        <f>M67/4</f>
        <v>319.04980676190382</v>
      </c>
      <c r="N68" s="248"/>
      <c r="O68" s="239"/>
      <c r="P68" s="239"/>
    </row>
    <row r="69" spans="1:16" ht="16.5" thickTop="1" thickBot="1">
      <c r="A69" s="239"/>
      <c r="B69" s="239"/>
      <c r="C69" s="239"/>
      <c r="D69" s="239" t="s">
        <v>592</v>
      </c>
      <c r="E69" s="239"/>
      <c r="F69" s="239"/>
      <c r="G69" s="239"/>
      <c r="H69" s="253">
        <f>H67*12</f>
        <v>-5391.443342230792</v>
      </c>
      <c r="I69" s="239"/>
      <c r="J69" s="239"/>
      <c r="K69" s="239"/>
      <c r="L69" s="248"/>
      <c r="M69" s="248"/>
      <c r="N69" s="248"/>
      <c r="O69" s="239"/>
      <c r="P69" s="239"/>
    </row>
    <row r="70" spans="1:16" ht="15.75" thickTop="1">
      <c r="A70" s="239"/>
      <c r="B70" s="239"/>
      <c r="C70" s="239"/>
      <c r="D70" s="239"/>
      <c r="E70" s="239"/>
      <c r="F70" s="239"/>
      <c r="G70" s="239"/>
      <c r="H70" s="239"/>
      <c r="I70" s="239"/>
      <c r="J70" s="239"/>
      <c r="K70" s="239"/>
      <c r="L70" s="248"/>
      <c r="M70" s="248"/>
      <c r="N70" s="248"/>
      <c r="O70" s="239"/>
      <c r="P70" s="239"/>
    </row>
    <row r="71" spans="1:16">
      <c r="A71" s="239"/>
      <c r="B71" s="239"/>
      <c r="C71" s="239"/>
      <c r="D71" s="239"/>
      <c r="E71" s="239"/>
      <c r="F71" s="239"/>
      <c r="G71" s="239"/>
      <c r="H71" s="239"/>
      <c r="I71" s="239"/>
      <c r="J71" s="239"/>
      <c r="K71" s="239"/>
      <c r="L71" s="248"/>
      <c r="M71" s="248"/>
      <c r="N71" s="248"/>
      <c r="O71" s="239"/>
      <c r="P71" s="239"/>
    </row>
    <row r="72" spans="1:16">
      <c r="A72" s="239"/>
      <c r="B72" s="239"/>
      <c r="C72" s="239"/>
      <c r="D72" s="239"/>
      <c r="E72" s="239"/>
      <c r="F72" s="239"/>
      <c r="G72" s="239"/>
      <c r="H72" s="239"/>
      <c r="I72" s="239"/>
      <c r="J72" s="239"/>
      <c r="K72" s="239"/>
      <c r="L72" s="248"/>
      <c r="M72" s="248"/>
      <c r="N72" s="248"/>
      <c r="O72" s="239"/>
      <c r="P72" s="239"/>
    </row>
    <row r="73" spans="1:16">
      <c r="A73" s="239"/>
      <c r="B73" s="239"/>
      <c r="C73" s="239"/>
      <c r="D73" s="239"/>
      <c r="E73" s="239"/>
      <c r="F73" s="239"/>
      <c r="G73" s="239"/>
      <c r="H73" s="239"/>
      <c r="I73" s="239"/>
      <c r="J73" s="239"/>
      <c r="K73" s="239"/>
      <c r="L73" s="248"/>
      <c r="M73" s="248"/>
      <c r="N73" s="248"/>
      <c r="O73" s="239"/>
      <c r="P73" s="239"/>
    </row>
    <row r="74" spans="1:16">
      <c r="A74" s="239"/>
      <c r="B74" s="239"/>
      <c r="C74" s="239"/>
      <c r="D74" s="239"/>
      <c r="E74" s="239"/>
      <c r="F74" s="239"/>
      <c r="G74" s="239"/>
      <c r="H74" s="239"/>
      <c r="I74" s="239"/>
      <c r="J74" s="239"/>
      <c r="K74" s="239"/>
      <c r="L74" s="248"/>
      <c r="M74" s="248"/>
      <c r="N74" s="248"/>
      <c r="O74" s="239"/>
      <c r="P74" s="239"/>
    </row>
    <row r="75" spans="1:16">
      <c r="A75" s="239"/>
      <c r="B75" s="239"/>
      <c r="C75" s="239"/>
      <c r="D75" s="239"/>
      <c r="E75" s="239"/>
      <c r="F75" s="239"/>
      <c r="G75" s="239"/>
      <c r="H75" s="239"/>
      <c r="I75" s="239"/>
      <c r="J75" s="239"/>
      <c r="K75" s="239"/>
      <c r="L75" s="248"/>
      <c r="M75" s="248"/>
      <c r="N75" s="248"/>
      <c r="O75" s="239"/>
      <c r="P75" s="239"/>
    </row>
    <row r="76" spans="1:16">
      <c r="A76" s="239"/>
      <c r="B76" s="239"/>
      <c r="C76" s="239"/>
      <c r="D76" s="239"/>
      <c r="E76" s="239"/>
      <c r="F76" s="239"/>
      <c r="G76" s="239"/>
      <c r="H76" s="239"/>
      <c r="I76" s="239"/>
      <c r="J76" s="239"/>
      <c r="K76" s="239"/>
      <c r="L76" s="248"/>
      <c r="M76" s="248"/>
      <c r="N76" s="248"/>
      <c r="O76" s="239"/>
      <c r="P76" s="239"/>
    </row>
    <row r="77" spans="1:16">
      <c r="A77" s="239"/>
      <c r="B77" s="239"/>
      <c r="C77" s="239"/>
      <c r="D77" s="239"/>
      <c r="E77" s="239"/>
      <c r="F77" s="239"/>
      <c r="G77" s="239"/>
      <c r="H77" s="239"/>
      <c r="I77" s="239"/>
      <c r="J77" s="239"/>
      <c r="K77" s="239"/>
      <c r="L77" s="248"/>
      <c r="M77" s="248"/>
      <c r="N77" s="248"/>
      <c r="O77" s="239"/>
      <c r="P77" s="239"/>
    </row>
    <row r="78" spans="1:16">
      <c r="A78" s="239"/>
      <c r="B78" s="239"/>
      <c r="C78" s="239"/>
      <c r="D78" s="239"/>
      <c r="E78" s="239"/>
      <c r="F78" s="239"/>
      <c r="G78" s="239"/>
      <c r="H78" s="239"/>
      <c r="I78" s="239"/>
      <c r="J78" s="239"/>
      <c r="K78" s="239"/>
      <c r="L78" s="248"/>
      <c r="M78" s="248"/>
      <c r="N78" s="248"/>
      <c r="O78" s="239"/>
      <c r="P78" s="239"/>
    </row>
    <row r="79" spans="1:16">
      <c r="A79" s="239"/>
      <c r="B79" s="239"/>
      <c r="C79" s="239"/>
      <c r="D79" s="239"/>
      <c r="E79" s="239"/>
      <c r="F79" s="239"/>
      <c r="G79" s="239"/>
      <c r="H79" s="239"/>
      <c r="I79" s="239"/>
      <c r="J79" s="239"/>
      <c r="K79" s="239"/>
      <c r="L79" s="248"/>
      <c r="M79" s="248"/>
      <c r="N79" s="248"/>
      <c r="O79" s="239"/>
      <c r="P79" s="239"/>
    </row>
    <row r="80" spans="1:16">
      <c r="A80" s="239"/>
      <c r="B80" s="239"/>
      <c r="C80" s="239"/>
      <c r="D80" s="239"/>
      <c r="E80" s="239"/>
      <c r="F80" s="239"/>
      <c r="G80" s="239"/>
      <c r="H80" s="239"/>
      <c r="I80" s="239"/>
      <c r="J80" s="239"/>
      <c r="K80" s="239"/>
      <c r="L80" s="248"/>
      <c r="M80" s="248"/>
      <c r="N80" s="248"/>
      <c r="O80" s="239"/>
      <c r="P80" s="239"/>
    </row>
    <row r="81" spans="1:16">
      <c r="A81" s="239"/>
      <c r="B81" s="239"/>
      <c r="C81" s="239"/>
      <c r="D81" s="239"/>
      <c r="E81" s="239"/>
      <c r="F81" s="239"/>
      <c r="G81" s="239"/>
      <c r="H81" s="239"/>
      <c r="I81" s="239"/>
      <c r="J81" s="239"/>
      <c r="K81" s="239"/>
      <c r="L81" s="248"/>
      <c r="M81" s="248"/>
      <c r="N81" s="248"/>
      <c r="O81" s="239"/>
      <c r="P81" s="239"/>
    </row>
    <row r="82" spans="1:16">
      <c r="A82" s="239"/>
      <c r="B82" s="239"/>
      <c r="C82" s="239"/>
      <c r="D82" s="239"/>
      <c r="E82" s="239"/>
      <c r="F82" s="239"/>
      <c r="G82" s="239"/>
      <c r="H82" s="239"/>
      <c r="I82" s="239"/>
      <c r="J82" s="239"/>
      <c r="K82" s="239"/>
      <c r="L82" s="248"/>
      <c r="M82" s="248"/>
      <c r="N82" s="248"/>
      <c r="O82" s="239"/>
      <c r="P82" s="239"/>
    </row>
    <row r="83" spans="1:16">
      <c r="A83" s="239"/>
      <c r="B83" s="239"/>
      <c r="C83" s="239"/>
      <c r="D83" s="239"/>
      <c r="E83" s="239"/>
      <c r="F83" s="239"/>
      <c r="G83" s="239"/>
      <c r="H83" s="239"/>
      <c r="I83" s="239"/>
      <c r="J83" s="239"/>
      <c r="K83" s="239"/>
      <c r="L83" s="248"/>
      <c r="M83" s="248"/>
      <c r="N83" s="248"/>
      <c r="O83" s="239"/>
      <c r="P83" s="239"/>
    </row>
    <row r="84" spans="1:16">
      <c r="A84" s="239"/>
      <c r="B84" s="239"/>
      <c r="C84" s="239"/>
      <c r="D84" s="239"/>
      <c r="E84" s="239"/>
      <c r="F84" s="239"/>
      <c r="G84" s="239"/>
      <c r="H84" s="239"/>
      <c r="I84" s="239"/>
      <c r="J84" s="239"/>
      <c r="K84" s="239"/>
      <c r="L84" s="248"/>
      <c r="M84" s="248"/>
      <c r="N84" s="248"/>
      <c r="O84" s="239"/>
      <c r="P84" s="239"/>
    </row>
    <row r="85" spans="1:16">
      <c r="A85" s="239"/>
      <c r="B85" s="239"/>
      <c r="C85" s="239"/>
      <c r="D85" s="239"/>
      <c r="E85" s="239"/>
      <c r="F85" s="239"/>
      <c r="G85" s="239"/>
      <c r="H85" s="239"/>
      <c r="I85" s="239"/>
      <c r="J85" s="239"/>
      <c r="K85" s="239"/>
      <c r="L85" s="248"/>
      <c r="M85" s="248"/>
      <c r="N85" s="248"/>
      <c r="O85" s="239"/>
      <c r="P85" s="239"/>
    </row>
    <row r="86" spans="1:16">
      <c r="A86" s="239"/>
      <c r="B86" s="239"/>
      <c r="C86" s="239"/>
      <c r="D86" s="239"/>
      <c r="E86" s="239"/>
      <c r="F86" s="239"/>
      <c r="G86" s="239"/>
      <c r="H86" s="239"/>
      <c r="I86" s="239"/>
      <c r="J86" s="239"/>
      <c r="K86" s="239"/>
      <c r="L86" s="248"/>
      <c r="M86" s="248"/>
      <c r="N86" s="248"/>
      <c r="O86" s="239"/>
      <c r="P86" s="239"/>
    </row>
    <row r="87" spans="1:16">
      <c r="A87" s="239"/>
      <c r="B87" s="239"/>
      <c r="C87" s="239"/>
      <c r="D87" s="239"/>
      <c r="E87" s="239"/>
      <c r="F87" s="239"/>
      <c r="G87" s="239"/>
      <c r="H87" s="239"/>
      <c r="I87" s="239"/>
      <c r="J87" s="239"/>
      <c r="K87" s="239"/>
      <c r="L87" s="248"/>
      <c r="M87" s="248"/>
      <c r="N87" s="248"/>
      <c r="O87" s="239"/>
      <c r="P87" s="239"/>
    </row>
    <row r="88" spans="1:16">
      <c r="A88" s="239"/>
      <c r="B88" s="239"/>
      <c r="C88" s="239"/>
      <c r="D88" s="239"/>
      <c r="E88" s="239"/>
      <c r="F88" s="239"/>
      <c r="G88" s="239"/>
      <c r="H88" s="239"/>
      <c r="I88" s="239"/>
      <c r="J88" s="239"/>
      <c r="K88" s="239"/>
      <c r="L88" s="248"/>
      <c r="M88" s="248"/>
      <c r="N88" s="248"/>
      <c r="O88" s="239"/>
      <c r="P88" s="239"/>
    </row>
    <row r="89" spans="1:16">
      <c r="A89" s="239"/>
      <c r="B89" s="239"/>
      <c r="C89" s="239"/>
      <c r="D89" s="239"/>
      <c r="E89" s="239"/>
      <c r="F89" s="239"/>
      <c r="G89" s="239"/>
      <c r="H89" s="239"/>
      <c r="I89" s="239"/>
      <c r="J89" s="239"/>
      <c r="K89" s="239"/>
      <c r="L89" s="248"/>
      <c r="M89" s="248"/>
      <c r="N89" s="248"/>
      <c r="O89" s="239"/>
      <c r="P89" s="239"/>
    </row>
    <row r="90" spans="1:16">
      <c r="A90" s="239"/>
      <c r="B90" s="239"/>
      <c r="C90" s="239"/>
      <c r="D90" s="239"/>
      <c r="E90" s="239"/>
      <c r="F90" s="239"/>
      <c r="G90" s="239"/>
      <c r="H90" s="239"/>
      <c r="I90" s="239"/>
      <c r="J90" s="239"/>
      <c r="K90" s="239"/>
      <c r="L90" s="248"/>
      <c r="M90" s="248"/>
      <c r="N90" s="248"/>
      <c r="O90" s="239"/>
      <c r="P90" s="239"/>
    </row>
    <row r="91" spans="1:16">
      <c r="A91" s="239"/>
      <c r="B91" s="239"/>
      <c r="C91" s="239"/>
      <c r="D91" s="239"/>
      <c r="E91" s="239"/>
      <c r="F91" s="239"/>
      <c r="G91" s="239"/>
      <c r="H91" s="239"/>
      <c r="I91" s="239"/>
      <c r="J91" s="239"/>
      <c r="K91" s="239"/>
      <c r="L91" s="248"/>
      <c r="M91" s="248"/>
      <c r="N91" s="248"/>
      <c r="O91" s="239"/>
      <c r="P91" s="239"/>
    </row>
    <row r="92" spans="1:16">
      <c r="A92" s="239"/>
      <c r="B92" s="239"/>
      <c r="C92" s="239"/>
      <c r="D92" s="239"/>
      <c r="E92" s="239"/>
      <c r="F92" s="239"/>
      <c r="G92" s="239"/>
      <c r="H92" s="239"/>
      <c r="I92" s="239"/>
      <c r="J92" s="239"/>
      <c r="K92" s="239"/>
      <c r="L92" s="248"/>
      <c r="M92" s="248"/>
      <c r="N92" s="248"/>
      <c r="O92" s="239"/>
      <c r="P92" s="239"/>
    </row>
    <row r="93" spans="1:16">
      <c r="A93" s="239"/>
      <c r="B93" s="239"/>
      <c r="C93" s="239"/>
      <c r="D93" s="239"/>
      <c r="E93" s="239"/>
      <c r="F93" s="239"/>
      <c r="G93" s="239"/>
      <c r="H93" s="239"/>
      <c r="I93" s="239"/>
      <c r="J93" s="239"/>
      <c r="K93" s="239"/>
      <c r="L93" s="248"/>
      <c r="M93" s="248"/>
      <c r="N93" s="248"/>
      <c r="O93" s="239"/>
      <c r="P93" s="239"/>
    </row>
    <row r="94" spans="1:16">
      <c r="A94" s="239"/>
      <c r="B94" s="239"/>
      <c r="C94" s="239"/>
      <c r="D94" s="239"/>
      <c r="E94" s="239"/>
      <c r="F94" s="239"/>
      <c r="G94" s="239"/>
      <c r="H94" s="239"/>
      <c r="I94" s="239"/>
      <c r="J94" s="239"/>
      <c r="K94" s="239"/>
      <c r="L94" s="248"/>
      <c r="M94" s="248"/>
      <c r="N94" s="248"/>
      <c r="O94" s="239"/>
      <c r="P94" s="239"/>
    </row>
    <row r="95" spans="1:16">
      <c r="A95" s="239"/>
      <c r="B95" s="239"/>
      <c r="C95" s="239"/>
      <c r="D95" s="239"/>
      <c r="E95" s="239"/>
      <c r="F95" s="239"/>
      <c r="G95" s="239"/>
      <c r="H95" s="239"/>
      <c r="I95" s="239"/>
      <c r="J95" s="239"/>
      <c r="K95" s="239"/>
      <c r="L95" s="248"/>
      <c r="M95" s="248"/>
      <c r="N95" s="248"/>
      <c r="O95" s="239"/>
      <c r="P95" s="239"/>
    </row>
    <row r="96" spans="1:16">
      <c r="A96" s="239"/>
      <c r="B96" s="239"/>
      <c r="C96" s="239"/>
      <c r="D96" s="239"/>
      <c r="E96" s="239"/>
      <c r="F96" s="239"/>
      <c r="G96" s="239"/>
      <c r="H96" s="239"/>
      <c r="I96" s="239"/>
      <c r="J96" s="239"/>
      <c r="K96" s="239"/>
      <c r="L96" s="248"/>
      <c r="M96" s="248"/>
      <c r="N96" s="248"/>
      <c r="O96" s="239"/>
      <c r="P96" s="239"/>
    </row>
    <row r="97" spans="1:16">
      <c r="A97" s="239"/>
      <c r="B97" s="239"/>
      <c r="C97" s="239"/>
      <c r="D97" s="239"/>
      <c r="E97" s="239"/>
      <c r="F97" s="239"/>
      <c r="G97" s="239"/>
      <c r="H97" s="239"/>
      <c r="I97" s="239"/>
      <c r="J97" s="239"/>
      <c r="K97" s="239"/>
      <c r="L97" s="248"/>
      <c r="M97" s="248"/>
      <c r="N97" s="248"/>
      <c r="O97" s="239"/>
      <c r="P97" s="239"/>
    </row>
    <row r="98" spans="1:16">
      <c r="A98" s="239"/>
      <c r="B98" s="239"/>
      <c r="C98" s="239"/>
      <c r="D98" s="239"/>
      <c r="E98" s="239"/>
      <c r="F98" s="239"/>
      <c r="G98" s="239"/>
      <c r="H98" s="239"/>
      <c r="I98" s="239"/>
      <c r="J98" s="239"/>
      <c r="K98" s="239"/>
      <c r="L98" s="248"/>
      <c r="M98" s="248"/>
      <c r="N98" s="248"/>
      <c r="O98" s="239"/>
      <c r="P98" s="239"/>
    </row>
    <row r="99" spans="1:16">
      <c r="A99" s="239"/>
      <c r="B99" s="239"/>
      <c r="C99" s="239"/>
      <c r="D99" s="239"/>
      <c r="E99" s="239"/>
      <c r="F99" s="239"/>
      <c r="G99" s="239"/>
      <c r="H99" s="239"/>
      <c r="I99" s="239"/>
      <c r="J99" s="239"/>
      <c r="K99" s="239"/>
      <c r="L99" s="248"/>
      <c r="M99" s="248"/>
      <c r="N99" s="248"/>
      <c r="O99" s="239"/>
      <c r="P99" s="239"/>
    </row>
    <row r="100" spans="1:16">
      <c r="A100" s="239"/>
      <c r="B100" s="239"/>
      <c r="C100" s="239"/>
      <c r="D100" s="239"/>
      <c r="E100" s="239"/>
      <c r="F100" s="239"/>
      <c r="G100" s="239"/>
      <c r="H100" s="239"/>
      <c r="I100" s="239"/>
      <c r="J100" s="239"/>
      <c r="K100" s="239"/>
      <c r="L100" s="248"/>
      <c r="M100" s="248"/>
      <c r="N100" s="248"/>
      <c r="O100" s="239"/>
      <c r="P100" s="239"/>
    </row>
    <row r="101" spans="1:16">
      <c r="A101" s="239"/>
      <c r="B101" s="239"/>
      <c r="C101" s="239"/>
      <c r="D101" s="239"/>
      <c r="E101" s="239"/>
      <c r="F101" s="239"/>
      <c r="G101" s="239"/>
      <c r="H101" s="239"/>
      <c r="I101" s="239"/>
      <c r="J101" s="239"/>
      <c r="K101" s="239"/>
      <c r="L101" s="248"/>
      <c r="M101" s="248"/>
      <c r="N101" s="248"/>
      <c r="O101" s="239"/>
      <c r="P101" s="239"/>
    </row>
    <row r="102" spans="1:16">
      <c r="A102" s="239"/>
      <c r="B102" s="239"/>
      <c r="C102" s="239"/>
      <c r="D102" s="239"/>
      <c r="E102" s="239"/>
      <c r="F102" s="239"/>
      <c r="G102" s="239"/>
      <c r="H102" s="239"/>
      <c r="I102" s="239"/>
      <c r="J102" s="239"/>
      <c r="K102" s="239"/>
      <c r="L102" s="248"/>
      <c r="M102" s="248"/>
      <c r="N102" s="248"/>
      <c r="O102" s="239"/>
      <c r="P102" s="239"/>
    </row>
    <row r="103" spans="1:16">
      <c r="A103" s="239"/>
      <c r="B103" s="239"/>
      <c r="C103" s="239"/>
      <c r="D103" s="239"/>
      <c r="E103" s="239"/>
      <c r="F103" s="239"/>
      <c r="G103" s="239"/>
      <c r="H103" s="239"/>
      <c r="I103" s="239"/>
      <c r="J103" s="239"/>
      <c r="K103" s="239"/>
      <c r="L103" s="248"/>
      <c r="M103" s="248"/>
      <c r="N103" s="248"/>
      <c r="O103" s="239"/>
      <c r="P103" s="239"/>
    </row>
    <row r="104" spans="1:16">
      <c r="A104" s="239"/>
      <c r="B104" s="239"/>
      <c r="C104" s="239"/>
      <c r="D104" s="239"/>
      <c r="E104" s="239"/>
      <c r="F104" s="239"/>
      <c r="G104" s="239"/>
      <c r="H104" s="239"/>
      <c r="I104" s="239"/>
      <c r="J104" s="239"/>
      <c r="K104" s="239"/>
      <c r="L104" s="248"/>
      <c r="M104" s="248"/>
      <c r="N104" s="248"/>
      <c r="O104" s="239"/>
      <c r="P104" s="239"/>
    </row>
    <row r="105" spans="1:16">
      <c r="A105" s="239"/>
      <c r="B105" s="239"/>
      <c r="C105" s="239"/>
      <c r="D105" s="239"/>
      <c r="E105" s="239"/>
      <c r="F105" s="239"/>
      <c r="G105" s="239"/>
      <c r="H105" s="239"/>
      <c r="I105" s="239"/>
      <c r="J105" s="239"/>
      <c r="K105" s="239"/>
      <c r="L105" s="248"/>
      <c r="M105" s="248"/>
      <c r="N105" s="248"/>
      <c r="O105" s="239"/>
      <c r="P105" s="239"/>
    </row>
    <row r="106" spans="1:16">
      <c r="A106" s="239"/>
      <c r="B106" s="239"/>
      <c r="C106" s="239"/>
      <c r="D106" s="239"/>
      <c r="E106" s="239"/>
      <c r="F106" s="239"/>
      <c r="G106" s="239"/>
      <c r="H106" s="239"/>
      <c r="I106" s="239"/>
      <c r="J106" s="239"/>
      <c r="K106" s="239"/>
      <c r="L106" s="248"/>
      <c r="M106" s="248"/>
      <c r="N106" s="248"/>
      <c r="O106" s="239"/>
      <c r="P106" s="239"/>
    </row>
    <row r="107" spans="1:16">
      <c r="A107" s="239"/>
      <c r="B107" s="239"/>
      <c r="C107" s="239"/>
      <c r="D107" s="239"/>
      <c r="E107" s="239"/>
      <c r="F107" s="239"/>
      <c r="G107" s="239"/>
      <c r="H107" s="239"/>
      <c r="I107" s="239"/>
      <c r="J107" s="239"/>
      <c r="K107" s="239"/>
      <c r="L107" s="248"/>
      <c r="M107" s="248"/>
      <c r="N107" s="248"/>
      <c r="O107" s="239"/>
      <c r="P107" s="239"/>
    </row>
    <row r="108" spans="1:16">
      <c r="A108" s="239"/>
      <c r="B108" s="239"/>
      <c r="C108" s="239"/>
      <c r="D108" s="239"/>
      <c r="E108" s="239"/>
      <c r="F108" s="239"/>
      <c r="G108" s="239"/>
      <c r="H108" s="239"/>
      <c r="I108" s="239"/>
      <c r="J108" s="239"/>
      <c r="K108" s="239"/>
      <c r="L108" s="248"/>
      <c r="M108" s="248"/>
      <c r="N108" s="248"/>
      <c r="O108" s="239"/>
      <c r="P108" s="239"/>
    </row>
    <row r="109" spans="1:16">
      <c r="A109" s="239"/>
      <c r="B109" s="239"/>
      <c r="C109" s="239"/>
      <c r="D109" s="239"/>
      <c r="E109" s="239"/>
      <c r="F109" s="239"/>
      <c r="G109" s="239"/>
      <c r="H109" s="239"/>
      <c r="I109" s="239"/>
      <c r="J109" s="239"/>
      <c r="K109" s="239"/>
      <c r="L109" s="248"/>
      <c r="M109" s="248"/>
      <c r="N109" s="248"/>
      <c r="O109" s="239"/>
      <c r="P109" s="239"/>
    </row>
    <row r="110" spans="1:16">
      <c r="A110" s="239"/>
      <c r="B110" s="239"/>
      <c r="C110" s="239"/>
      <c r="D110" s="239"/>
      <c r="E110" s="239"/>
      <c r="F110" s="239"/>
      <c r="G110" s="239"/>
      <c r="H110" s="239"/>
      <c r="I110" s="239"/>
      <c r="J110" s="239"/>
      <c r="K110" s="239"/>
      <c r="L110" s="248"/>
      <c r="M110" s="248"/>
      <c r="N110" s="248"/>
      <c r="O110" s="239"/>
      <c r="P110" s="239"/>
    </row>
    <row r="111" spans="1:16">
      <c r="A111" s="239"/>
      <c r="B111" s="239"/>
      <c r="C111" s="239"/>
      <c r="D111" s="239"/>
      <c r="E111" s="239"/>
      <c r="F111" s="239"/>
      <c r="G111" s="239"/>
      <c r="H111" s="239"/>
      <c r="I111" s="239"/>
      <c r="J111" s="239"/>
      <c r="K111" s="239"/>
      <c r="L111" s="248"/>
      <c r="M111" s="248"/>
      <c r="N111" s="248"/>
      <c r="O111" s="239"/>
      <c r="P111" s="239"/>
    </row>
    <row r="112" spans="1:16">
      <c r="A112" s="239"/>
      <c r="B112" s="239"/>
      <c r="C112" s="239"/>
      <c r="D112" s="239"/>
      <c r="E112" s="239"/>
      <c r="F112" s="239"/>
      <c r="G112" s="239"/>
      <c r="H112" s="239"/>
      <c r="I112" s="239"/>
      <c r="J112" s="239"/>
      <c r="K112" s="239"/>
      <c r="L112" s="248"/>
      <c r="M112" s="248"/>
      <c r="N112" s="248"/>
      <c r="O112" s="239"/>
      <c r="P112" s="239"/>
    </row>
    <row r="113" spans="1:16">
      <c r="A113" s="239"/>
      <c r="B113" s="239"/>
      <c r="C113" s="239"/>
      <c r="D113" s="239"/>
      <c r="E113" s="239"/>
      <c r="F113" s="239"/>
      <c r="G113" s="239"/>
      <c r="H113" s="239"/>
      <c r="I113" s="239"/>
      <c r="J113" s="239"/>
      <c r="K113" s="239"/>
      <c r="L113" s="248"/>
      <c r="M113" s="248"/>
      <c r="N113" s="248"/>
      <c r="O113" s="239"/>
      <c r="P113" s="239"/>
    </row>
    <row r="114" spans="1:16">
      <c r="A114" s="239"/>
      <c r="B114" s="239"/>
      <c r="C114" s="239"/>
      <c r="D114" s="239"/>
      <c r="E114" s="239"/>
      <c r="F114" s="239"/>
      <c r="G114" s="239"/>
      <c r="H114" s="239"/>
      <c r="I114" s="239"/>
      <c r="J114" s="239"/>
      <c r="K114" s="239"/>
      <c r="L114" s="248"/>
      <c r="M114" s="248"/>
      <c r="N114" s="248"/>
      <c r="O114" s="239"/>
      <c r="P114" s="239"/>
    </row>
    <row r="115" spans="1:16">
      <c r="A115" s="239"/>
      <c r="B115" s="239"/>
      <c r="C115" s="239"/>
      <c r="D115" s="239"/>
      <c r="E115" s="239"/>
      <c r="F115" s="239"/>
      <c r="G115" s="239"/>
      <c r="H115" s="239"/>
      <c r="I115" s="239"/>
      <c r="J115" s="239"/>
      <c r="K115" s="239"/>
      <c r="L115" s="248"/>
      <c r="M115" s="248"/>
      <c r="N115" s="248"/>
      <c r="O115" s="239"/>
      <c r="P115" s="239"/>
    </row>
    <row r="116" spans="1:16">
      <c r="A116" s="239"/>
      <c r="B116" s="239"/>
      <c r="C116" s="239"/>
      <c r="D116" s="239"/>
      <c r="E116" s="239"/>
      <c r="F116" s="239"/>
      <c r="G116" s="239"/>
      <c r="H116" s="239"/>
      <c r="I116" s="239"/>
      <c r="J116" s="239"/>
      <c r="K116" s="239"/>
      <c r="L116" s="248"/>
      <c r="M116" s="248"/>
      <c r="N116" s="248"/>
      <c r="O116" s="239"/>
      <c r="P116" s="239"/>
    </row>
    <row r="117" spans="1:16">
      <c r="A117" s="239"/>
      <c r="B117" s="239"/>
      <c r="C117" s="239"/>
      <c r="D117" s="239"/>
      <c r="E117" s="239"/>
      <c r="F117" s="239"/>
      <c r="G117" s="239"/>
      <c r="H117" s="239"/>
      <c r="I117" s="239"/>
      <c r="J117" s="239"/>
      <c r="K117" s="239"/>
      <c r="L117" s="248"/>
      <c r="M117" s="248"/>
      <c r="N117" s="248"/>
      <c r="O117" s="239"/>
      <c r="P117" s="239"/>
    </row>
    <row r="118" spans="1:16">
      <c r="A118" s="239"/>
      <c r="B118" s="239"/>
      <c r="C118" s="239"/>
      <c r="D118" s="239"/>
      <c r="E118" s="239"/>
      <c r="F118" s="239"/>
      <c r="G118" s="239"/>
      <c r="H118" s="239"/>
      <c r="I118" s="239"/>
      <c r="J118" s="239"/>
      <c r="K118" s="239"/>
      <c r="L118" s="248"/>
      <c r="M118" s="248"/>
      <c r="N118" s="248"/>
      <c r="O118" s="239"/>
      <c r="P118" s="239"/>
    </row>
    <row r="119" spans="1:16">
      <c r="A119" s="239"/>
      <c r="B119" s="239"/>
      <c r="C119" s="239"/>
      <c r="D119" s="239"/>
      <c r="E119" s="239"/>
      <c r="F119" s="239"/>
      <c r="G119" s="239"/>
      <c r="H119" s="239"/>
      <c r="I119" s="239"/>
      <c r="J119" s="239"/>
      <c r="K119" s="239"/>
      <c r="L119" s="248"/>
      <c r="M119" s="248"/>
      <c r="N119" s="248"/>
      <c r="O119" s="239"/>
      <c r="P119" s="239"/>
    </row>
    <row r="120" spans="1:16">
      <c r="A120" s="239"/>
      <c r="B120" s="239"/>
      <c r="C120" s="239"/>
      <c r="D120" s="239"/>
      <c r="E120" s="239"/>
      <c r="F120" s="239"/>
      <c r="G120" s="239"/>
      <c r="H120" s="239"/>
      <c r="I120" s="239"/>
      <c r="J120" s="239"/>
      <c r="K120" s="239"/>
      <c r="L120" s="248"/>
      <c r="M120" s="248"/>
      <c r="N120" s="248"/>
      <c r="O120" s="239"/>
      <c r="P120" s="239"/>
    </row>
    <row r="121" spans="1:16">
      <c r="A121" s="239"/>
      <c r="B121" s="239"/>
      <c r="C121" s="239"/>
      <c r="D121" s="239"/>
      <c r="E121" s="239"/>
      <c r="F121" s="239"/>
      <c r="G121" s="239"/>
      <c r="H121" s="239"/>
      <c r="I121" s="239"/>
      <c r="J121" s="239"/>
      <c r="K121" s="239"/>
      <c r="L121" s="248"/>
      <c r="M121" s="248"/>
      <c r="N121" s="248"/>
      <c r="O121" s="239"/>
      <c r="P121" s="239"/>
    </row>
    <row r="122" spans="1:16">
      <c r="A122" s="239"/>
      <c r="B122" s="239"/>
      <c r="C122" s="239"/>
      <c r="D122" s="239"/>
      <c r="E122" s="239"/>
      <c r="F122" s="239"/>
      <c r="G122" s="239"/>
      <c r="H122" s="239"/>
      <c r="I122" s="239"/>
      <c r="J122" s="239"/>
      <c r="K122" s="239"/>
      <c r="L122" s="248"/>
      <c r="M122" s="248"/>
      <c r="N122" s="248"/>
      <c r="O122" s="239"/>
      <c r="P122" s="239"/>
    </row>
    <row r="123" spans="1:16">
      <c r="A123" s="239"/>
      <c r="B123" s="239"/>
      <c r="C123" s="239"/>
      <c r="D123" s="239"/>
      <c r="E123" s="239"/>
      <c r="F123" s="239"/>
      <c r="G123" s="239"/>
      <c r="H123" s="239"/>
      <c r="I123" s="239"/>
      <c r="J123" s="239"/>
      <c r="K123" s="239"/>
      <c r="L123" s="248"/>
      <c r="M123" s="248"/>
      <c r="N123" s="248"/>
      <c r="O123" s="239"/>
      <c r="P123" s="239"/>
    </row>
    <row r="124" spans="1:16">
      <c r="A124" s="239"/>
      <c r="B124" s="239"/>
      <c r="C124" s="239"/>
      <c r="D124" s="239"/>
      <c r="E124" s="239"/>
      <c r="F124" s="239"/>
      <c r="G124" s="239"/>
      <c r="H124" s="239"/>
      <c r="I124" s="239"/>
      <c r="J124" s="239"/>
      <c r="K124" s="239"/>
      <c r="L124" s="248"/>
      <c r="M124" s="248"/>
      <c r="N124" s="248"/>
      <c r="O124" s="239"/>
      <c r="P124" s="239"/>
    </row>
    <row r="125" spans="1:16">
      <c r="A125" s="239"/>
      <c r="B125" s="239"/>
      <c r="C125" s="239"/>
      <c r="D125" s="239"/>
      <c r="E125" s="239"/>
      <c r="F125" s="239"/>
      <c r="G125" s="239"/>
      <c r="H125" s="239"/>
      <c r="I125" s="239"/>
      <c r="J125" s="239"/>
      <c r="K125" s="239"/>
      <c r="L125" s="248"/>
      <c r="M125" s="248"/>
      <c r="N125" s="248"/>
      <c r="O125" s="239"/>
      <c r="P125" s="239"/>
    </row>
    <row r="126" spans="1:16">
      <c r="A126" s="239"/>
      <c r="B126" s="239"/>
      <c r="C126" s="239"/>
      <c r="D126" s="239"/>
      <c r="E126" s="239"/>
      <c r="F126" s="239"/>
      <c r="G126" s="239"/>
      <c r="H126" s="239"/>
      <c r="I126" s="239"/>
      <c r="J126" s="239"/>
      <c r="K126" s="239"/>
      <c r="L126" s="248"/>
      <c r="M126" s="248"/>
      <c r="N126" s="248"/>
      <c r="O126" s="239"/>
      <c r="P126" s="239"/>
    </row>
    <row r="127" spans="1:16">
      <c r="A127" s="239"/>
      <c r="B127" s="239"/>
      <c r="C127" s="239"/>
      <c r="D127" s="239"/>
      <c r="E127" s="239"/>
      <c r="F127" s="239"/>
      <c r="G127" s="239"/>
      <c r="H127" s="239"/>
      <c r="I127" s="239"/>
      <c r="J127" s="239"/>
      <c r="K127" s="239"/>
      <c r="L127" s="248"/>
      <c r="M127" s="248"/>
      <c r="N127" s="248"/>
      <c r="O127" s="239"/>
      <c r="P127" s="239"/>
    </row>
    <row r="128" spans="1:16">
      <c r="A128" s="239"/>
      <c r="B128" s="239"/>
      <c r="C128" s="239"/>
      <c r="D128" s="239"/>
      <c r="E128" s="239"/>
      <c r="F128" s="239"/>
      <c r="G128" s="239"/>
      <c r="H128" s="239"/>
      <c r="I128" s="239"/>
      <c r="J128" s="239"/>
      <c r="K128" s="239"/>
      <c r="L128" s="248"/>
      <c r="M128" s="248"/>
      <c r="N128" s="248"/>
      <c r="O128" s="239"/>
      <c r="P128" s="239"/>
    </row>
    <row r="129" spans="1:16">
      <c r="A129" s="239"/>
      <c r="B129" s="239"/>
      <c r="C129" s="239"/>
      <c r="D129" s="239"/>
      <c r="E129" s="239"/>
      <c r="F129" s="239"/>
      <c r="G129" s="239"/>
      <c r="H129" s="239"/>
      <c r="I129" s="239"/>
      <c r="J129" s="239"/>
      <c r="K129" s="239"/>
      <c r="L129" s="248"/>
      <c r="M129" s="248"/>
      <c r="N129" s="248"/>
      <c r="O129" s="239"/>
      <c r="P129" s="239"/>
    </row>
    <row r="130" spans="1:16">
      <c r="A130" s="239"/>
      <c r="B130" s="239"/>
      <c r="C130" s="239"/>
      <c r="D130" s="239"/>
      <c r="E130" s="239"/>
      <c r="F130" s="239"/>
      <c r="G130" s="239"/>
      <c r="H130" s="239"/>
      <c r="I130" s="239"/>
      <c r="J130" s="239"/>
      <c r="K130" s="239"/>
      <c r="L130" s="248"/>
      <c r="M130" s="248"/>
      <c r="N130" s="248"/>
      <c r="O130" s="239"/>
      <c r="P130" s="239"/>
    </row>
    <row r="131" spans="1:16">
      <c r="A131" s="239"/>
      <c r="B131" s="239"/>
      <c r="C131" s="239"/>
      <c r="D131" s="239"/>
      <c r="E131" s="239"/>
      <c r="F131" s="239"/>
      <c r="G131" s="239"/>
      <c r="H131" s="239"/>
      <c r="I131" s="239"/>
      <c r="J131" s="239"/>
      <c r="K131" s="239"/>
      <c r="L131" s="248"/>
      <c r="M131" s="248"/>
      <c r="N131" s="248"/>
      <c r="O131" s="239"/>
      <c r="P131" s="239"/>
    </row>
    <row r="132" spans="1:16">
      <c r="A132" s="239"/>
      <c r="B132" s="239"/>
      <c r="C132" s="239"/>
      <c r="D132" s="239"/>
      <c r="E132" s="239"/>
      <c r="F132" s="239"/>
      <c r="G132" s="239"/>
      <c r="H132" s="239"/>
      <c r="I132" s="239"/>
      <c r="J132" s="239"/>
      <c r="K132" s="239"/>
      <c r="L132" s="248"/>
      <c r="M132" s="248"/>
      <c r="N132" s="248"/>
      <c r="O132" s="239"/>
      <c r="P132" s="239"/>
    </row>
    <row r="133" spans="1:16">
      <c r="A133" s="239"/>
      <c r="B133" s="239"/>
      <c r="C133" s="239"/>
      <c r="D133" s="239"/>
      <c r="E133" s="239"/>
      <c r="F133" s="239"/>
      <c r="G133" s="239"/>
      <c r="H133" s="239"/>
      <c r="I133" s="239"/>
      <c r="J133" s="239"/>
      <c r="K133" s="239"/>
      <c r="L133" s="248"/>
      <c r="M133" s="248"/>
      <c r="N133" s="248"/>
      <c r="O133" s="239"/>
      <c r="P133" s="239"/>
    </row>
    <row r="134" spans="1:16">
      <c r="A134" s="239"/>
      <c r="B134" s="239"/>
      <c r="C134" s="239"/>
      <c r="D134" s="239"/>
      <c r="E134" s="239"/>
      <c r="F134" s="239"/>
      <c r="G134" s="239"/>
      <c r="H134" s="239"/>
      <c r="I134" s="239"/>
      <c r="J134" s="239"/>
      <c r="K134" s="239"/>
      <c r="L134" s="248"/>
      <c r="M134" s="248"/>
      <c r="N134" s="248"/>
      <c r="O134" s="239"/>
      <c r="P134" s="239"/>
    </row>
    <row r="135" spans="1:16">
      <c r="A135" s="239"/>
      <c r="B135" s="239"/>
      <c r="C135" s="239"/>
      <c r="D135" s="239"/>
      <c r="E135" s="239"/>
      <c r="F135" s="239"/>
      <c r="G135" s="239"/>
      <c r="H135" s="239"/>
      <c r="I135" s="239"/>
      <c r="J135" s="239"/>
      <c r="K135" s="239"/>
      <c r="L135" s="248"/>
      <c r="M135" s="248"/>
      <c r="N135" s="248"/>
      <c r="O135" s="239"/>
      <c r="P135" s="239"/>
    </row>
    <row r="136" spans="1:16">
      <c r="A136" s="239"/>
      <c r="B136" s="239"/>
      <c r="C136" s="239"/>
      <c r="D136" s="239"/>
      <c r="E136" s="239"/>
      <c r="F136" s="239"/>
      <c r="G136" s="239"/>
      <c r="H136" s="239"/>
      <c r="I136" s="239"/>
      <c r="J136" s="239"/>
      <c r="K136" s="239"/>
      <c r="L136" s="248"/>
      <c r="M136" s="248"/>
      <c r="N136" s="248"/>
      <c r="O136" s="239"/>
      <c r="P136" s="239"/>
    </row>
    <row r="137" spans="1:16">
      <c r="A137" s="239"/>
      <c r="B137" s="239"/>
      <c r="C137" s="239"/>
      <c r="D137" s="239"/>
      <c r="E137" s="239"/>
      <c r="F137" s="239"/>
      <c r="G137" s="239"/>
      <c r="H137" s="239"/>
      <c r="I137" s="239"/>
      <c r="J137" s="239"/>
      <c r="K137" s="239"/>
      <c r="L137" s="248"/>
      <c r="M137" s="248"/>
      <c r="N137" s="248"/>
      <c r="O137" s="239"/>
      <c r="P137" s="239"/>
    </row>
    <row r="138" spans="1:16">
      <c r="A138" s="239"/>
      <c r="B138" s="239"/>
      <c r="C138" s="239"/>
      <c r="D138" s="239"/>
      <c r="E138" s="239"/>
      <c r="F138" s="239"/>
      <c r="G138" s="239"/>
      <c r="H138" s="239"/>
      <c r="I138" s="239"/>
      <c r="J138" s="239"/>
      <c r="K138" s="239"/>
      <c r="L138" s="248"/>
      <c r="M138" s="248"/>
      <c r="N138" s="248"/>
      <c r="O138" s="239"/>
      <c r="P138" s="239"/>
    </row>
    <row r="139" spans="1:16">
      <c r="A139" s="239"/>
      <c r="B139" s="239"/>
      <c r="C139" s="239"/>
      <c r="D139" s="239"/>
      <c r="E139" s="239"/>
      <c r="F139" s="239"/>
      <c r="G139" s="239"/>
      <c r="H139" s="239"/>
      <c r="I139" s="239"/>
      <c r="J139" s="239"/>
      <c r="K139" s="239"/>
      <c r="L139" s="248"/>
      <c r="M139" s="248"/>
      <c r="N139" s="248"/>
      <c r="O139" s="239"/>
      <c r="P139" s="239"/>
    </row>
    <row r="140" spans="1:16">
      <c r="A140" s="239"/>
      <c r="B140" s="239"/>
      <c r="C140" s="239"/>
      <c r="D140" s="239"/>
      <c r="E140" s="239"/>
      <c r="F140" s="239"/>
      <c r="G140" s="239"/>
      <c r="H140" s="239"/>
      <c r="I140" s="239"/>
      <c r="J140" s="239"/>
      <c r="K140" s="239"/>
      <c r="L140" s="248"/>
      <c r="M140" s="248"/>
      <c r="N140" s="248"/>
      <c r="O140" s="239"/>
      <c r="P140" s="239"/>
    </row>
    <row r="141" spans="1:16">
      <c r="A141" s="239"/>
      <c r="B141" s="239"/>
      <c r="C141" s="239"/>
      <c r="D141" s="239"/>
      <c r="E141" s="239"/>
      <c r="F141" s="239"/>
      <c r="G141" s="239"/>
      <c r="H141" s="239"/>
      <c r="I141" s="239"/>
      <c r="J141" s="239"/>
      <c r="K141" s="239"/>
      <c r="L141" s="248"/>
      <c r="M141" s="248"/>
      <c r="N141" s="248"/>
      <c r="O141" s="239"/>
      <c r="P141" s="239"/>
    </row>
    <row r="142" spans="1:16">
      <c r="A142" s="239"/>
      <c r="B142" s="239"/>
      <c r="C142" s="239"/>
      <c r="D142" s="239"/>
      <c r="E142" s="239"/>
      <c r="F142" s="239"/>
      <c r="G142" s="239"/>
      <c r="H142" s="239"/>
      <c r="I142" s="239"/>
      <c r="J142" s="239"/>
      <c r="K142" s="239"/>
      <c r="L142" s="248"/>
      <c r="M142" s="248"/>
      <c r="N142" s="248"/>
      <c r="O142" s="239"/>
      <c r="P142" s="239"/>
    </row>
    <row r="143" spans="1:16">
      <c r="A143" s="239"/>
      <c r="B143" s="239"/>
      <c r="C143" s="239"/>
      <c r="D143" s="239"/>
      <c r="E143" s="239"/>
      <c r="F143" s="239"/>
      <c r="G143" s="239"/>
      <c r="H143" s="239"/>
      <c r="I143" s="239"/>
      <c r="J143" s="239"/>
      <c r="K143" s="239"/>
      <c r="L143" s="248"/>
      <c r="M143" s="248"/>
      <c r="N143" s="248"/>
      <c r="O143" s="239"/>
      <c r="P143" s="239"/>
    </row>
    <row r="144" spans="1:16">
      <c r="A144" s="239"/>
      <c r="B144" s="239"/>
      <c r="C144" s="239"/>
      <c r="D144" s="239"/>
      <c r="E144" s="239"/>
      <c r="F144" s="239"/>
      <c r="G144" s="239"/>
      <c r="H144" s="239"/>
      <c r="I144" s="239"/>
      <c r="J144" s="239"/>
      <c r="K144" s="239"/>
      <c r="L144" s="239"/>
      <c r="M144" s="239"/>
      <c r="N144" s="239"/>
      <c r="O144" s="239"/>
      <c r="P144" s="239"/>
    </row>
    <row r="145" spans="1:16">
      <c r="A145" s="239"/>
      <c r="B145" s="239"/>
      <c r="C145" s="239"/>
      <c r="D145" s="239"/>
      <c r="E145" s="239"/>
      <c r="F145" s="239"/>
      <c r="G145" s="239"/>
      <c r="H145" s="239"/>
      <c r="I145" s="239"/>
      <c r="J145" s="239"/>
      <c r="K145" s="239"/>
      <c r="L145" s="239"/>
      <c r="M145" s="239"/>
      <c r="N145" s="239"/>
      <c r="O145" s="239"/>
      <c r="P145" s="239"/>
    </row>
    <row r="146" spans="1:16">
      <c r="A146" s="239"/>
      <c r="B146" s="239"/>
      <c r="C146" s="239"/>
      <c r="D146" s="239"/>
      <c r="E146" s="239"/>
      <c r="F146" s="239"/>
      <c r="G146" s="239"/>
      <c r="H146" s="239"/>
      <c r="I146" s="239"/>
      <c r="J146" s="239"/>
      <c r="K146" s="239"/>
      <c r="L146" s="239"/>
      <c r="M146" s="239"/>
      <c r="N146" s="239"/>
      <c r="O146" s="239"/>
      <c r="P146" s="239"/>
    </row>
    <row r="147" spans="1:16">
      <c r="A147" s="239"/>
      <c r="B147" s="239"/>
      <c r="C147" s="239"/>
      <c r="D147" s="239"/>
      <c r="E147" s="239"/>
      <c r="F147" s="239"/>
      <c r="G147" s="239"/>
      <c r="H147" s="239"/>
      <c r="I147" s="239"/>
      <c r="J147" s="239"/>
      <c r="K147" s="239"/>
      <c r="L147" s="239"/>
      <c r="M147" s="239"/>
      <c r="N147" s="239"/>
      <c r="O147" s="239"/>
      <c r="P147" s="239"/>
    </row>
    <row r="148" spans="1:16">
      <c r="A148" s="239"/>
      <c r="B148" s="239"/>
      <c r="C148" s="239"/>
      <c r="D148" s="239"/>
      <c r="E148" s="239"/>
      <c r="F148" s="239"/>
      <c r="G148" s="239"/>
      <c r="H148" s="239"/>
      <c r="I148" s="239"/>
      <c r="J148" s="239"/>
      <c r="K148" s="239"/>
      <c r="L148" s="239"/>
      <c r="M148" s="239"/>
      <c r="N148" s="239"/>
      <c r="O148" s="239"/>
      <c r="P148" s="239"/>
    </row>
    <row r="149" spans="1:16">
      <c r="A149" s="239"/>
      <c r="B149" s="239"/>
      <c r="C149" s="239"/>
      <c r="D149" s="239"/>
      <c r="E149" s="239"/>
      <c r="F149" s="239"/>
      <c r="G149" s="239"/>
      <c r="H149" s="239"/>
      <c r="I149" s="239"/>
      <c r="J149" s="239"/>
      <c r="K149" s="239"/>
      <c r="L149" s="239"/>
      <c r="M149" s="239"/>
      <c r="N149" s="239"/>
      <c r="O149" s="239"/>
      <c r="P149" s="239"/>
    </row>
    <row r="150" spans="1:16">
      <c r="A150" s="239"/>
      <c r="B150" s="239"/>
      <c r="C150" s="239"/>
      <c r="D150" s="239"/>
      <c r="E150" s="239"/>
      <c r="F150" s="239"/>
      <c r="G150" s="239"/>
      <c r="H150" s="239"/>
      <c r="I150" s="239"/>
      <c r="J150" s="239"/>
      <c r="K150" s="239"/>
      <c r="L150" s="239"/>
      <c r="M150" s="239"/>
      <c r="N150" s="239"/>
      <c r="O150" s="239"/>
      <c r="P150" s="239"/>
    </row>
    <row r="151" spans="1:16">
      <c r="A151" s="239"/>
      <c r="B151" s="239"/>
      <c r="C151" s="239"/>
      <c r="D151" s="239"/>
      <c r="E151" s="239"/>
      <c r="F151" s="239"/>
      <c r="G151" s="239"/>
      <c r="H151" s="239"/>
      <c r="I151" s="239"/>
      <c r="J151" s="239"/>
      <c r="K151" s="239"/>
      <c r="L151" s="239"/>
      <c r="M151" s="239"/>
      <c r="N151" s="239"/>
      <c r="O151" s="239"/>
      <c r="P151" s="239"/>
    </row>
    <row r="152" spans="1:16">
      <c r="A152" s="239"/>
      <c r="B152" s="239"/>
      <c r="C152" s="239"/>
      <c r="D152" s="239"/>
      <c r="E152" s="239"/>
      <c r="F152" s="239"/>
      <c r="G152" s="239"/>
      <c r="H152" s="239"/>
      <c r="I152" s="239"/>
      <c r="J152" s="239"/>
      <c r="K152" s="239"/>
      <c r="L152" s="239"/>
      <c r="M152" s="239"/>
      <c r="N152" s="239"/>
      <c r="O152" s="239"/>
      <c r="P152" s="239"/>
    </row>
    <row r="153" spans="1:16">
      <c r="A153" s="239"/>
      <c r="B153" s="239"/>
      <c r="C153" s="239"/>
      <c r="D153" s="239"/>
      <c r="E153" s="239"/>
      <c r="F153" s="239"/>
      <c r="G153" s="239"/>
      <c r="H153" s="239"/>
      <c r="I153" s="239"/>
      <c r="J153" s="239"/>
      <c r="K153" s="239"/>
      <c r="L153" s="239"/>
      <c r="M153" s="239"/>
      <c r="N153" s="239"/>
      <c r="O153" s="239"/>
      <c r="P153" s="239"/>
    </row>
    <row r="154" spans="1:16">
      <c r="A154" s="239"/>
      <c r="B154" s="239"/>
      <c r="C154" s="239"/>
      <c r="D154" s="239"/>
      <c r="E154" s="239"/>
      <c r="F154" s="239"/>
      <c r="G154" s="239"/>
      <c r="H154" s="239"/>
      <c r="I154" s="239"/>
      <c r="J154" s="239"/>
      <c r="K154" s="239"/>
      <c r="L154" s="239"/>
      <c r="M154" s="239"/>
      <c r="N154" s="239"/>
      <c r="O154" s="239"/>
      <c r="P154" s="239"/>
    </row>
    <row r="155" spans="1:16">
      <c r="A155" s="239"/>
      <c r="B155" s="239"/>
      <c r="C155" s="239"/>
      <c r="D155" s="239"/>
      <c r="E155" s="239"/>
      <c r="F155" s="239"/>
      <c r="G155" s="239"/>
      <c r="H155" s="239"/>
      <c r="I155" s="239"/>
      <c r="J155" s="239"/>
      <c r="K155" s="239"/>
      <c r="L155" s="239"/>
      <c r="M155" s="239"/>
      <c r="N155" s="239"/>
      <c r="O155" s="239"/>
      <c r="P155" s="239"/>
    </row>
  </sheetData>
  <mergeCells count="5">
    <mergeCell ref="A4:M4"/>
    <mergeCell ref="A5:M5"/>
    <mergeCell ref="A1:M1"/>
    <mergeCell ref="A2:M2"/>
    <mergeCell ref="A3:M3"/>
  </mergeCells>
  <pageMargins left="0.39" right="0.25" top="1" bottom="1" header="0.5" footer="0.5"/>
  <pageSetup orientation="landscape" r:id="rId1"/>
  <headerFooter alignWithMargins="0">
    <oddHeader>&amp;R&amp;8Docket No. 160021-EI, &amp;"Arial,Italic"et al&amp;"Arial,Regular".
FPL POD No. 5
Attachment A
Page &amp;P of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abSelected="1" view="pageLayout" zoomScaleNormal="100" workbookViewId="0">
      <selection activeCell="G9" sqref="G9"/>
    </sheetView>
  </sheetViews>
  <sheetFormatPr defaultRowHeight="12.75"/>
  <cols>
    <col min="1" max="1" width="1.85546875" customWidth="1"/>
    <col min="2" max="2" width="15.85546875" customWidth="1"/>
    <col min="3" max="3" width="2.140625" customWidth="1"/>
    <col min="4" max="4" width="19" customWidth="1"/>
    <col min="5" max="5" width="2.140625" customWidth="1"/>
    <col min="6" max="6" width="12.140625" customWidth="1"/>
    <col min="7" max="7" width="2.140625" customWidth="1"/>
    <col min="8" max="8" width="9.85546875" customWidth="1"/>
    <col min="9" max="9" width="2.140625" customWidth="1"/>
    <col min="10" max="10" width="12.7109375" customWidth="1"/>
    <col min="11" max="11" width="2.140625" customWidth="1"/>
    <col min="12" max="12" width="10.42578125" customWidth="1"/>
    <col min="13" max="13" width="2.140625" customWidth="1"/>
    <col min="14" max="14" width="12" customWidth="1"/>
    <col min="15" max="15" width="2.28515625" customWidth="1"/>
    <col min="16" max="16" width="10.140625" customWidth="1"/>
    <col min="17" max="17" width="2.140625" customWidth="1"/>
    <col min="18" max="18" width="10.5703125" customWidth="1"/>
  </cols>
  <sheetData>
    <row r="1" spans="1:21">
      <c r="A1" s="374" t="s">
        <v>33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</row>
    <row r="2" spans="1:21">
      <c r="A2" s="375" t="s">
        <v>515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</row>
    <row r="3" spans="1:21">
      <c r="A3" s="375" t="s">
        <v>65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</row>
    <row r="4" spans="1:21">
      <c r="A4" s="375" t="s">
        <v>66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</row>
    <row r="5" spans="1:21">
      <c r="A5" s="374" t="s">
        <v>19</v>
      </c>
      <c r="B5" s="374"/>
      <c r="C5" s="374"/>
      <c r="D5" s="374"/>
      <c r="E5" s="374"/>
      <c r="F5" s="374"/>
      <c r="G5" s="374"/>
      <c r="H5" s="374"/>
      <c r="I5" s="374"/>
      <c r="J5" s="374"/>
      <c r="K5" s="374"/>
      <c r="L5" s="374"/>
      <c r="M5" s="374"/>
      <c r="N5" s="374"/>
      <c r="O5" s="374"/>
      <c r="P5" s="374"/>
      <c r="Q5" s="374"/>
      <c r="R5" s="374"/>
    </row>
    <row r="6" spans="1:21">
      <c r="A6" s="257"/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</row>
    <row r="7" spans="1:21">
      <c r="A7" s="166" t="s">
        <v>516</v>
      </c>
      <c r="B7" s="176"/>
      <c r="C7" s="176"/>
      <c r="D7" s="176"/>
      <c r="E7" s="176"/>
      <c r="F7" s="176"/>
      <c r="G7" s="176"/>
      <c r="H7" s="176" t="s">
        <v>481</v>
      </c>
      <c r="I7" s="176"/>
      <c r="J7" s="176" t="s">
        <v>481</v>
      </c>
      <c r="K7" s="176"/>
      <c r="L7" s="176"/>
      <c r="M7" s="176"/>
      <c r="N7" s="176" t="s">
        <v>481</v>
      </c>
      <c r="O7" s="176"/>
      <c r="P7" s="176" t="s">
        <v>300</v>
      </c>
      <c r="Q7" s="176"/>
      <c r="R7" s="176" t="s">
        <v>300</v>
      </c>
      <c r="S7" s="158"/>
      <c r="T7" s="158"/>
      <c r="U7" s="158"/>
    </row>
    <row r="8" spans="1:21">
      <c r="A8" s="166"/>
      <c r="B8" s="176"/>
      <c r="C8" s="176"/>
      <c r="D8" s="176"/>
      <c r="E8" s="176"/>
      <c r="F8" s="176" t="s">
        <v>481</v>
      </c>
      <c r="G8" s="176"/>
      <c r="H8" s="176" t="s">
        <v>519</v>
      </c>
      <c r="I8" s="176"/>
      <c r="J8" s="176" t="s">
        <v>479</v>
      </c>
      <c r="K8" s="176"/>
      <c r="L8" s="176" t="s">
        <v>300</v>
      </c>
      <c r="M8" s="176"/>
      <c r="N8" s="176" t="s">
        <v>519</v>
      </c>
      <c r="O8" s="176"/>
      <c r="P8" s="155" t="s">
        <v>479</v>
      </c>
      <c r="Q8" s="176"/>
      <c r="R8" s="176" t="s">
        <v>479</v>
      </c>
      <c r="S8" s="158"/>
      <c r="T8" s="158"/>
      <c r="U8" s="158"/>
    </row>
    <row r="9" spans="1:21">
      <c r="A9" s="166"/>
      <c r="B9" s="176"/>
      <c r="C9" s="176"/>
      <c r="D9" s="176"/>
      <c r="E9" s="176"/>
      <c r="F9" s="176" t="s">
        <v>474</v>
      </c>
      <c r="G9" s="176"/>
      <c r="H9" s="176" t="s">
        <v>520</v>
      </c>
      <c r="I9" s="176"/>
      <c r="J9" s="176" t="s">
        <v>480</v>
      </c>
      <c r="K9" s="176"/>
      <c r="L9" s="176" t="s">
        <v>521</v>
      </c>
      <c r="M9" s="176"/>
      <c r="N9" s="176" t="s">
        <v>520</v>
      </c>
      <c r="O9" s="176"/>
      <c r="P9" s="155" t="s">
        <v>480</v>
      </c>
      <c r="Q9" s="176"/>
      <c r="R9" s="176" t="s">
        <v>480</v>
      </c>
      <c r="S9" s="158"/>
      <c r="T9" s="158"/>
      <c r="U9" s="158"/>
    </row>
    <row r="10" spans="1:21">
      <c r="A10" s="176"/>
      <c r="B10" s="176"/>
      <c r="C10" s="176"/>
      <c r="D10" s="169" t="s">
        <v>483</v>
      </c>
      <c r="E10" s="176"/>
      <c r="F10" s="169" t="s">
        <v>475</v>
      </c>
      <c r="G10" s="176"/>
      <c r="H10" s="169" t="s">
        <v>311</v>
      </c>
      <c r="I10" s="176"/>
      <c r="J10" s="169" t="s">
        <v>475</v>
      </c>
      <c r="K10" s="176"/>
      <c r="L10" s="169" t="s">
        <v>522</v>
      </c>
      <c r="M10" s="176"/>
      <c r="N10" s="169" t="s">
        <v>311</v>
      </c>
      <c r="O10" s="158"/>
      <c r="P10" s="190" t="s">
        <v>475</v>
      </c>
      <c r="Q10" s="158"/>
      <c r="R10" s="169" t="s">
        <v>301</v>
      </c>
      <c r="S10" s="158"/>
      <c r="T10" s="158"/>
      <c r="U10" s="158"/>
    </row>
    <row r="11" spans="1:21">
      <c r="A11" s="176"/>
      <c r="B11" s="166" t="s">
        <v>517</v>
      </c>
      <c r="C11" s="176"/>
      <c r="D11" s="166" t="s">
        <v>518</v>
      </c>
      <c r="E11" s="176"/>
      <c r="F11" s="276">
        <v>741.276477</v>
      </c>
      <c r="G11" s="176"/>
      <c r="H11" s="299">
        <f>F11/J11</f>
        <v>19.576139417381025</v>
      </c>
      <c r="I11" s="176"/>
      <c r="J11" s="276">
        <v>37.866326000000001</v>
      </c>
      <c r="K11" s="276"/>
      <c r="L11" s="300">
        <f>2052-2039</f>
        <v>13</v>
      </c>
      <c r="M11" s="276"/>
      <c r="N11" s="275">
        <f>H11+L11</f>
        <v>32.576139417381029</v>
      </c>
      <c r="O11" s="285"/>
      <c r="P11" s="285">
        <f>F11/N11</f>
        <v>22.755197216662552</v>
      </c>
      <c r="Q11" s="285"/>
      <c r="R11" s="285">
        <f>P11-J11</f>
        <v>-15.111128783337449</v>
      </c>
      <c r="S11" s="158"/>
      <c r="T11" s="158"/>
      <c r="U11" s="158"/>
    </row>
    <row r="12" spans="1:21">
      <c r="A12" s="176"/>
      <c r="B12" s="166"/>
      <c r="C12" s="176"/>
      <c r="D12" s="166"/>
      <c r="E12" s="176"/>
      <c r="F12" s="276"/>
      <c r="G12" s="176"/>
      <c r="H12" s="276"/>
      <c r="I12" s="176"/>
      <c r="J12" s="276"/>
      <c r="K12" s="276"/>
      <c r="L12" s="276"/>
      <c r="M12" s="276"/>
      <c r="N12" s="275"/>
      <c r="O12" s="285"/>
      <c r="P12" s="285"/>
      <c r="Q12" s="285"/>
      <c r="R12" s="285"/>
      <c r="S12" s="158"/>
      <c r="T12" s="158"/>
      <c r="U12" s="158"/>
    </row>
    <row r="13" spans="1:21">
      <c r="A13" s="176"/>
      <c r="B13" s="166" t="s">
        <v>523</v>
      </c>
      <c r="C13" s="176"/>
      <c r="D13" s="166" t="s">
        <v>518</v>
      </c>
      <c r="E13" s="176"/>
      <c r="F13" s="276">
        <v>197.98998700000001</v>
      </c>
      <c r="G13" s="176"/>
      <c r="H13" s="299">
        <f>F13/J13</f>
        <v>18.011499650531945</v>
      </c>
      <c r="I13" s="176"/>
      <c r="J13" s="276">
        <v>10.992421</v>
      </c>
      <c r="K13" s="276"/>
      <c r="L13" s="300">
        <f>2052-2038</f>
        <v>14</v>
      </c>
      <c r="M13" s="276"/>
      <c r="N13" s="275">
        <f>H13+L13</f>
        <v>32.011499650531945</v>
      </c>
      <c r="O13" s="285"/>
      <c r="P13" s="285">
        <f>F13/N13</f>
        <v>6.1849644396997174</v>
      </c>
      <c r="Q13" s="285"/>
      <c r="R13" s="288">
        <f>P13-J13</f>
        <v>-4.8074565603002828</v>
      </c>
      <c r="S13" s="158"/>
      <c r="T13" s="158"/>
      <c r="U13" s="158"/>
    </row>
    <row r="14" spans="1:21">
      <c r="A14" s="176"/>
      <c r="B14" s="166"/>
      <c r="C14" s="176"/>
      <c r="D14" s="166"/>
      <c r="E14" s="176"/>
      <c r="F14" s="276"/>
      <c r="G14" s="176"/>
      <c r="H14" s="276"/>
      <c r="I14" s="176"/>
      <c r="J14" s="276"/>
      <c r="K14" s="276"/>
      <c r="L14" s="276"/>
      <c r="M14" s="276"/>
      <c r="N14" s="275"/>
      <c r="O14" s="285"/>
      <c r="P14" s="285"/>
      <c r="Q14" s="285"/>
      <c r="R14" s="285"/>
      <c r="S14" s="158"/>
      <c r="T14" s="158"/>
      <c r="U14" s="158"/>
    </row>
    <row r="15" spans="1:21">
      <c r="A15" s="176"/>
      <c r="B15" s="166"/>
      <c r="C15" s="176"/>
      <c r="D15" s="166"/>
      <c r="E15" s="176"/>
      <c r="F15" s="276"/>
      <c r="G15" s="176"/>
      <c r="H15" s="276"/>
      <c r="I15" s="176"/>
      <c r="J15" s="276"/>
      <c r="K15" s="276"/>
      <c r="L15" s="276"/>
      <c r="M15" s="276"/>
      <c r="N15" s="275"/>
      <c r="O15" s="285"/>
      <c r="P15" s="285"/>
      <c r="Q15" s="285"/>
      <c r="R15" s="285"/>
      <c r="S15" s="158"/>
      <c r="T15" s="158"/>
      <c r="U15" s="158"/>
    </row>
    <row r="16" spans="1:21">
      <c r="A16" s="176"/>
      <c r="B16" s="176"/>
      <c r="C16" s="176"/>
      <c r="D16" s="176"/>
      <c r="E16" s="176"/>
      <c r="F16" s="176"/>
      <c r="G16" s="176"/>
      <c r="H16" s="176"/>
      <c r="I16" s="176"/>
      <c r="J16" s="276"/>
      <c r="K16" s="276"/>
      <c r="L16" s="276"/>
      <c r="M16" s="276"/>
      <c r="N16" s="276"/>
      <c r="O16" s="278"/>
      <c r="P16" s="278"/>
      <c r="Q16" s="278"/>
      <c r="R16" s="278"/>
      <c r="S16" s="158"/>
      <c r="T16" s="158"/>
      <c r="U16" s="158"/>
    </row>
    <row r="17" spans="1:21">
      <c r="A17" s="176"/>
      <c r="B17" s="176"/>
      <c r="C17" s="176"/>
      <c r="D17" s="176"/>
      <c r="E17" s="176"/>
      <c r="F17" s="176"/>
      <c r="G17" s="176"/>
      <c r="H17" s="176"/>
      <c r="I17" s="176"/>
      <c r="J17" s="301" t="s">
        <v>524</v>
      </c>
      <c r="K17" s="276"/>
      <c r="L17" s="276"/>
      <c r="M17" s="276"/>
      <c r="N17" s="276"/>
      <c r="O17" s="278"/>
      <c r="P17" s="278"/>
      <c r="Q17" s="278"/>
      <c r="R17" s="278">
        <f>SUM(R11:R13)</f>
        <v>-19.91858534363773</v>
      </c>
      <c r="S17" s="158"/>
      <c r="T17" s="158"/>
      <c r="U17" s="158"/>
    </row>
    <row r="18" spans="1:21">
      <c r="A18" s="176"/>
      <c r="B18" s="176"/>
      <c r="C18" s="176"/>
      <c r="D18" s="176"/>
      <c r="E18" s="176"/>
      <c r="F18" s="176"/>
      <c r="G18" s="176"/>
      <c r="H18" s="176"/>
      <c r="I18" s="176"/>
      <c r="J18" s="276"/>
      <c r="K18" s="276"/>
      <c r="L18" s="276"/>
      <c r="M18" s="276"/>
      <c r="N18" s="276"/>
      <c r="O18" s="278"/>
      <c r="P18" s="278"/>
      <c r="Q18" s="278"/>
      <c r="R18" s="278"/>
      <c r="S18" s="158"/>
      <c r="T18" s="158"/>
      <c r="U18" s="158"/>
    </row>
    <row r="19" spans="1:21">
      <c r="A19" s="176"/>
      <c r="B19" s="176"/>
      <c r="C19" s="176"/>
      <c r="D19" s="176"/>
      <c r="E19" s="176"/>
      <c r="F19" s="176"/>
      <c r="G19" s="176"/>
      <c r="H19" s="176"/>
      <c r="I19" s="176"/>
      <c r="J19" s="276"/>
      <c r="K19" s="276"/>
      <c r="L19" s="276"/>
      <c r="M19" s="276"/>
      <c r="N19" s="276"/>
      <c r="O19" s="278"/>
      <c r="P19" s="278"/>
      <c r="Q19" s="278"/>
      <c r="R19" s="293">
        <f>'Exh. LK-11 (Pages 1-3)'!R19</f>
        <v>0.95042000000000004</v>
      </c>
      <c r="S19" s="158"/>
      <c r="T19" s="158"/>
      <c r="U19" s="158"/>
    </row>
    <row r="20" spans="1:21">
      <c r="A20" s="176"/>
      <c r="B20" s="176"/>
      <c r="C20" s="176"/>
      <c r="D20" s="176"/>
      <c r="E20" s="176"/>
      <c r="F20" s="176"/>
      <c r="G20" s="176"/>
      <c r="H20" s="176"/>
      <c r="I20" s="176"/>
      <c r="J20" s="276" t="s">
        <v>567</v>
      </c>
      <c r="K20" s="276"/>
      <c r="L20" s="276"/>
      <c r="M20" s="276"/>
      <c r="N20" s="276"/>
      <c r="O20" s="278"/>
      <c r="P20" s="278"/>
      <c r="Q20" s="278"/>
      <c r="R20" s="278"/>
      <c r="S20" s="158"/>
      <c r="T20" s="158"/>
      <c r="U20" s="158"/>
    </row>
    <row r="21" spans="1:21" ht="13.5" thickBot="1">
      <c r="A21" s="176"/>
      <c r="B21" s="176"/>
      <c r="C21" s="176"/>
      <c r="D21" s="176"/>
      <c r="E21" s="176"/>
      <c r="F21" s="176"/>
      <c r="G21" s="176"/>
      <c r="H21" s="176"/>
      <c r="I21" s="176"/>
      <c r="J21" s="276"/>
      <c r="K21" s="276"/>
      <c r="L21" s="276"/>
      <c r="M21" s="276"/>
      <c r="N21" s="276"/>
      <c r="O21" s="278"/>
      <c r="P21" s="278"/>
      <c r="Q21" s="278"/>
      <c r="R21" s="294">
        <f>R17*R19</f>
        <v>-18.931021882300172</v>
      </c>
      <c r="S21" s="158"/>
      <c r="T21" s="158"/>
      <c r="U21" s="158"/>
    </row>
    <row r="22" spans="1:21" ht="13.5" thickTop="1">
      <c r="A22" s="176"/>
      <c r="B22" s="176"/>
      <c r="C22" s="176"/>
      <c r="D22" s="176"/>
      <c r="E22" s="176"/>
      <c r="F22" s="176"/>
      <c r="G22" s="176"/>
      <c r="H22" s="176"/>
      <c r="I22" s="176"/>
      <c r="J22" s="276"/>
      <c r="K22" s="276"/>
      <c r="L22" s="276"/>
      <c r="M22" s="276"/>
      <c r="N22" s="276"/>
      <c r="O22" s="278"/>
      <c r="P22" s="278"/>
      <c r="Q22" s="278"/>
      <c r="R22" s="278"/>
      <c r="S22" s="158"/>
      <c r="T22" s="158"/>
      <c r="U22" s="158"/>
    </row>
    <row r="23" spans="1:21">
      <c r="A23" s="29"/>
      <c r="B23" s="42"/>
      <c r="C23" s="42"/>
      <c r="D23" s="45"/>
      <c r="E23" s="45"/>
      <c r="F23" s="45"/>
      <c r="G23" s="45"/>
      <c r="H23" s="45"/>
      <c r="I23" s="45"/>
      <c r="J23" s="45"/>
      <c r="K23" s="42"/>
      <c r="L23" s="42"/>
      <c r="M23" s="42"/>
      <c r="N23" s="177"/>
      <c r="P23" s="29"/>
    </row>
    <row r="24" spans="1:21">
      <c r="A24" s="29"/>
      <c r="B24" s="42"/>
      <c r="C24" s="42"/>
      <c r="D24" s="45"/>
      <c r="E24" s="45"/>
      <c r="F24" s="45"/>
      <c r="G24" s="45"/>
      <c r="H24" s="45"/>
      <c r="I24" s="45"/>
      <c r="J24" s="11">
        <v>2017</v>
      </c>
      <c r="L24" s="10"/>
      <c r="N24" s="193">
        <v>2018</v>
      </c>
      <c r="P24" s="29"/>
    </row>
    <row r="25" spans="1:21">
      <c r="A25" s="29"/>
      <c r="B25" s="167" t="s">
        <v>424</v>
      </c>
      <c r="C25" s="42"/>
      <c r="D25" s="45"/>
      <c r="E25" s="45"/>
      <c r="F25" s="45"/>
      <c r="G25" s="45"/>
      <c r="H25" s="45"/>
      <c r="I25" s="45"/>
      <c r="J25" s="88">
        <f>-R21</f>
        <v>18.931021882300172</v>
      </c>
      <c r="L25" s="10"/>
      <c r="N25" s="45">
        <f>-R21</f>
        <v>18.931021882300172</v>
      </c>
      <c r="P25" s="29"/>
    </row>
    <row r="26" spans="1:21">
      <c r="A26" s="29"/>
      <c r="B26" s="167" t="s">
        <v>468</v>
      </c>
      <c r="C26" s="42"/>
      <c r="D26" s="45"/>
      <c r="E26" s="45"/>
      <c r="F26" s="45"/>
      <c r="G26" s="45"/>
      <c r="H26" s="45"/>
      <c r="I26" s="45"/>
      <c r="J26" s="196">
        <f>-J25*0.38575</f>
        <v>-7.3026416910972909</v>
      </c>
      <c r="L26" s="10"/>
      <c r="N26" s="198">
        <f>-N25*0.38575</f>
        <v>-7.3026416910972909</v>
      </c>
      <c r="P26" s="29"/>
    </row>
    <row r="27" spans="1:21">
      <c r="A27" s="29"/>
      <c r="B27" s="167" t="s">
        <v>426</v>
      </c>
      <c r="C27" s="42"/>
      <c r="D27" s="45"/>
      <c r="E27" s="45"/>
      <c r="F27" s="45"/>
      <c r="G27" s="45"/>
      <c r="H27" s="45"/>
      <c r="I27" s="45"/>
      <c r="J27" s="88">
        <f>SUM(J25:J26)</f>
        <v>11.628380191202881</v>
      </c>
      <c r="L27" s="10"/>
      <c r="N27" s="45">
        <f>SUM(N25:N26)</f>
        <v>11.628380191202881</v>
      </c>
      <c r="P27" s="29"/>
    </row>
    <row r="28" spans="1:21">
      <c r="A28" s="29"/>
      <c r="B28" s="167"/>
      <c r="C28" s="42"/>
      <c r="D28" s="45"/>
      <c r="E28" s="45"/>
      <c r="F28" s="45"/>
      <c r="G28" s="45"/>
      <c r="H28" s="45"/>
      <c r="I28" s="45"/>
      <c r="J28" s="88"/>
      <c r="L28" s="10"/>
      <c r="N28" s="45"/>
      <c r="P28" s="29"/>
    </row>
    <row r="29" spans="1:21">
      <c r="A29" s="29"/>
      <c r="B29" s="167" t="s">
        <v>425</v>
      </c>
      <c r="C29" s="42"/>
      <c r="D29" s="45"/>
      <c r="E29" s="45"/>
      <c r="F29" s="45"/>
      <c r="G29" s="45"/>
      <c r="H29" s="45"/>
      <c r="I29" s="45"/>
      <c r="J29" s="88">
        <f>J27/2</f>
        <v>5.8141900956014405</v>
      </c>
      <c r="L29" s="10"/>
      <c r="N29" s="45">
        <f>J27+(N27/2)</f>
        <v>17.442570286804322</v>
      </c>
      <c r="P29" s="29"/>
    </row>
    <row r="30" spans="1:21">
      <c r="A30" s="29"/>
      <c r="B30" s="167" t="s">
        <v>422</v>
      </c>
      <c r="C30" s="42"/>
      <c r="D30" s="45"/>
      <c r="E30" s="45"/>
      <c r="F30" s="45"/>
      <c r="G30" s="45"/>
      <c r="H30" s="45"/>
      <c r="I30" s="45"/>
      <c r="J30" s="295">
        <f>'Exh. LK-28'!J19</f>
        <v>9.8804316192411479E-2</v>
      </c>
      <c r="L30" s="10"/>
      <c r="N30" s="260">
        <f>'Exh. LK-29'!J19</f>
        <v>9.9784915778226832E-2</v>
      </c>
      <c r="P30" s="29"/>
    </row>
    <row r="31" spans="1:21" ht="13.5" thickBot="1">
      <c r="A31" s="29"/>
      <c r="B31" s="167" t="s">
        <v>423</v>
      </c>
      <c r="C31" s="42"/>
      <c r="D31" s="45"/>
      <c r="E31" s="45"/>
      <c r="F31" s="45"/>
      <c r="G31" s="45"/>
      <c r="H31" s="45"/>
      <c r="I31" s="45"/>
      <c r="J31" s="296">
        <f>J29*J30</f>
        <v>0.57446707660859186</v>
      </c>
      <c r="L31" s="10"/>
      <c r="N31" s="261">
        <f>N29*N30</f>
        <v>1.7405054070245711</v>
      </c>
      <c r="P31" s="29"/>
    </row>
    <row r="32" spans="1:21" ht="13.5" thickTop="1">
      <c r="A32" s="29"/>
      <c r="B32" s="42"/>
      <c r="C32" s="42"/>
      <c r="D32" s="45"/>
      <c r="E32" s="45"/>
      <c r="F32" s="45"/>
      <c r="G32" s="45"/>
      <c r="H32" s="45"/>
      <c r="I32" s="45"/>
      <c r="J32" s="88"/>
      <c r="L32" s="10"/>
      <c r="P32" s="29"/>
    </row>
    <row r="33" spans="1:16" ht="13.5" thickBot="1">
      <c r="A33" s="29"/>
      <c r="B33" s="170" t="s">
        <v>427</v>
      </c>
      <c r="C33" s="42"/>
      <c r="D33" s="45"/>
      <c r="E33" s="45"/>
      <c r="F33" s="45"/>
      <c r="G33" s="45"/>
      <c r="H33" s="45"/>
      <c r="I33" s="45"/>
      <c r="J33" s="197">
        <f>R21+J31</f>
        <v>-18.35655480569158</v>
      </c>
      <c r="L33" s="10"/>
      <c r="N33" s="209">
        <f>R21+N31</f>
        <v>-17.190516475275601</v>
      </c>
      <c r="P33" s="29"/>
    </row>
    <row r="34" spans="1:16" ht="13.5" thickTop="1">
      <c r="A34" s="29"/>
      <c r="B34" s="42"/>
      <c r="C34" s="42"/>
      <c r="D34" s="45"/>
      <c r="E34" s="45"/>
      <c r="F34" s="45"/>
      <c r="G34" s="45"/>
      <c r="H34" s="45"/>
      <c r="I34" s="45"/>
      <c r="J34" s="45"/>
      <c r="K34" s="42"/>
      <c r="L34" s="42"/>
      <c r="M34" s="42"/>
      <c r="N34" s="42"/>
      <c r="P34" s="29"/>
    </row>
    <row r="35" spans="1:16"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</row>
    <row r="36" spans="1:16"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</row>
  </sheetData>
  <mergeCells count="5">
    <mergeCell ref="A1:R1"/>
    <mergeCell ref="A2:R2"/>
    <mergeCell ref="A3:R3"/>
    <mergeCell ref="A4:R4"/>
    <mergeCell ref="A5:R5"/>
  </mergeCells>
  <pageMargins left="0.39" right="0.25" top="1" bottom="1" header="0.5" footer="0.5"/>
  <pageSetup orientation="landscape" r:id="rId1"/>
  <headerFooter alignWithMargins="0">
    <oddHeader>&amp;R&amp;8Docket No. 160021-EI, &amp;"Arial,Italic"et al&amp;"Arial,Regular".
FPL POD No. 5
Attachment A
Page &amp;P of &amp;N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view="pageLayout" zoomScaleNormal="100" workbookViewId="0">
      <selection activeCell="G9" sqref="G9"/>
    </sheetView>
  </sheetViews>
  <sheetFormatPr defaultRowHeight="12.75"/>
  <cols>
    <col min="1" max="1" width="8.85546875" customWidth="1"/>
    <col min="2" max="5" width="11.7109375" customWidth="1"/>
    <col min="6" max="6" width="5" customWidth="1"/>
    <col min="7" max="7" width="3.140625" customWidth="1"/>
    <col min="8" max="8" width="12.28515625" customWidth="1"/>
    <col min="9" max="9" width="3.140625" customWidth="1"/>
    <col min="10" max="10" width="12.28515625" customWidth="1"/>
  </cols>
  <sheetData>
    <row r="1" spans="1:10">
      <c r="A1" s="374" t="s">
        <v>33</v>
      </c>
      <c r="B1" s="374"/>
      <c r="C1" s="374"/>
      <c r="D1" s="374"/>
      <c r="E1" s="374"/>
      <c r="F1" s="374"/>
      <c r="G1" s="374"/>
      <c r="H1" s="374"/>
      <c r="I1" s="374"/>
      <c r="J1" s="374"/>
    </row>
    <row r="2" spans="1:10">
      <c r="A2" s="375" t="s">
        <v>448</v>
      </c>
      <c r="B2" s="374"/>
      <c r="C2" s="374"/>
      <c r="D2" s="374"/>
      <c r="E2" s="374"/>
      <c r="F2" s="374"/>
      <c r="G2" s="374"/>
      <c r="H2" s="374"/>
      <c r="I2" s="374"/>
      <c r="J2" s="374"/>
    </row>
    <row r="3" spans="1:10">
      <c r="A3" s="375" t="s">
        <v>65</v>
      </c>
      <c r="B3" s="375"/>
      <c r="C3" s="375"/>
      <c r="D3" s="375"/>
      <c r="E3" s="375"/>
      <c r="F3" s="375"/>
      <c r="G3" s="375"/>
      <c r="H3" s="375"/>
      <c r="I3" s="375"/>
      <c r="J3" s="375"/>
    </row>
    <row r="4" spans="1:10">
      <c r="A4" s="375" t="s">
        <v>66</v>
      </c>
      <c r="B4" s="374"/>
      <c r="C4" s="374"/>
      <c r="D4" s="374"/>
      <c r="E4" s="374"/>
      <c r="F4" s="374"/>
      <c r="G4" s="374"/>
      <c r="H4" s="374"/>
      <c r="I4" s="374"/>
      <c r="J4" s="374"/>
    </row>
    <row r="5" spans="1:10">
      <c r="A5" s="374" t="s">
        <v>19</v>
      </c>
      <c r="B5" s="374"/>
      <c r="C5" s="374"/>
      <c r="D5" s="374"/>
      <c r="E5" s="374"/>
      <c r="F5" s="374"/>
      <c r="G5" s="374"/>
      <c r="H5" s="374"/>
      <c r="I5" s="374"/>
      <c r="J5" s="374"/>
    </row>
    <row r="6" spans="1:10">
      <c r="A6" s="163"/>
      <c r="B6" s="163"/>
      <c r="C6" s="163"/>
      <c r="D6" s="163"/>
      <c r="E6" s="163"/>
      <c r="F6" s="163"/>
      <c r="G6" s="163"/>
      <c r="H6" s="163"/>
      <c r="I6" s="163"/>
      <c r="J6" s="163"/>
    </row>
    <row r="7" spans="1:10">
      <c r="A7" s="166" t="s">
        <v>449</v>
      </c>
      <c r="B7" s="39"/>
      <c r="C7" s="39"/>
      <c r="D7" s="39"/>
      <c r="E7" s="39"/>
      <c r="F7" s="39"/>
      <c r="G7" s="39"/>
      <c r="H7" s="39"/>
      <c r="I7" s="39"/>
      <c r="J7" s="39"/>
    </row>
    <row r="8" spans="1:10">
      <c r="A8" s="38"/>
      <c r="B8" s="39"/>
      <c r="C8" s="39"/>
      <c r="D8" s="39"/>
      <c r="E8" s="39"/>
      <c r="F8" s="39"/>
      <c r="G8" s="39"/>
      <c r="H8" s="60">
        <v>2017</v>
      </c>
      <c r="I8" s="39"/>
      <c r="J8" s="60">
        <v>2018</v>
      </c>
    </row>
    <row r="9" spans="1:10">
      <c r="A9" s="38"/>
      <c r="B9" s="39"/>
      <c r="C9" s="39"/>
      <c r="D9" s="39"/>
      <c r="E9" s="39"/>
      <c r="F9" s="39"/>
      <c r="G9" s="39"/>
      <c r="H9" s="39"/>
      <c r="I9" s="39"/>
      <c r="J9" s="39"/>
    </row>
    <row r="10" spans="1:10">
      <c r="A10" s="166" t="s">
        <v>450</v>
      </c>
      <c r="B10" s="57"/>
      <c r="C10" s="57"/>
      <c r="D10" s="57"/>
      <c r="E10" s="57"/>
      <c r="F10" s="57"/>
      <c r="G10" s="40"/>
      <c r="H10" s="266">
        <v>27.597045999999999</v>
      </c>
      <c r="I10" s="40"/>
      <c r="J10" s="266">
        <v>27.597045999999999</v>
      </c>
    </row>
    <row r="11" spans="1:10">
      <c r="A11" s="166"/>
      <c r="B11" s="57"/>
      <c r="C11" s="57"/>
      <c r="D11" s="57"/>
      <c r="E11" s="57"/>
      <c r="F11" s="57"/>
      <c r="G11" s="40"/>
      <c r="H11" s="266"/>
      <c r="I11" s="40"/>
      <c r="J11" s="266"/>
    </row>
    <row r="12" spans="1:10">
      <c r="A12" s="166" t="s">
        <v>455</v>
      </c>
      <c r="B12" s="57"/>
      <c r="C12" s="57"/>
      <c r="D12" s="57"/>
      <c r="E12" s="57"/>
      <c r="F12" s="57"/>
      <c r="G12" s="40"/>
      <c r="H12" s="269">
        <v>0.2</v>
      </c>
      <c r="I12" s="40"/>
      <c r="J12" s="269">
        <v>0.2</v>
      </c>
    </row>
    <row r="13" spans="1:10">
      <c r="A13" s="12"/>
      <c r="B13" s="41"/>
      <c r="C13" s="41"/>
      <c r="D13" s="41"/>
      <c r="E13" s="41"/>
      <c r="F13" s="41"/>
      <c r="G13" s="41"/>
      <c r="H13" s="59"/>
      <c r="I13" s="41"/>
      <c r="J13" s="59"/>
    </row>
    <row r="14" spans="1:10" ht="13.5" thickBot="1">
      <c r="A14" s="166" t="s">
        <v>451</v>
      </c>
      <c r="B14" s="41"/>
      <c r="C14" s="41"/>
      <c r="D14" s="41"/>
      <c r="E14" s="41"/>
      <c r="F14" s="41"/>
      <c r="G14" s="41"/>
      <c r="H14" s="80">
        <f>H10/(1+H12)</f>
        <v>22.997538333333335</v>
      </c>
      <c r="I14" s="41"/>
      <c r="J14" s="80">
        <f>J10/(1+J12)</f>
        <v>22.997538333333335</v>
      </c>
    </row>
    <row r="15" spans="1:10" ht="13.5" thickTop="1">
      <c r="A15" s="38"/>
      <c r="B15" s="41"/>
      <c r="C15" s="41"/>
      <c r="D15" s="41"/>
      <c r="E15" s="41"/>
      <c r="F15" s="41"/>
      <c r="G15" s="41"/>
      <c r="H15" s="59"/>
      <c r="I15" s="41"/>
      <c r="J15" s="59"/>
    </row>
    <row r="16" spans="1:10">
      <c r="A16" s="152" t="s">
        <v>452</v>
      </c>
      <c r="B16" s="41"/>
      <c r="C16" s="41"/>
      <c r="D16" s="41"/>
      <c r="E16" s="41"/>
      <c r="F16" s="41"/>
      <c r="G16" s="41"/>
      <c r="H16" s="50">
        <f>H14-H10</f>
        <v>-4.5995076666666641</v>
      </c>
      <c r="I16" s="41"/>
      <c r="J16" s="50">
        <f>J14-J10</f>
        <v>-4.5995076666666641</v>
      </c>
    </row>
    <row r="17" spans="1:15">
      <c r="A17" s="29"/>
      <c r="B17" s="42"/>
      <c r="C17" s="42"/>
      <c r="D17" s="42"/>
      <c r="E17" s="42"/>
      <c r="F17" s="42"/>
      <c r="G17" s="42"/>
      <c r="H17" s="42"/>
      <c r="I17" s="42"/>
      <c r="J17" s="42"/>
    </row>
    <row r="18" spans="1:15">
      <c r="A18" s="38"/>
      <c r="B18" s="41"/>
      <c r="C18" s="41"/>
      <c r="D18" s="41"/>
      <c r="E18" s="41"/>
      <c r="F18" s="41"/>
      <c r="G18" s="41"/>
      <c r="H18" s="59"/>
      <c r="I18" s="41"/>
      <c r="J18" s="59"/>
    </row>
    <row r="19" spans="1:15">
      <c r="A19" s="152" t="s">
        <v>438</v>
      </c>
      <c r="B19" s="41"/>
      <c r="C19" s="41"/>
      <c r="D19" s="41"/>
      <c r="E19" s="41"/>
      <c r="F19" s="41"/>
      <c r="G19" s="41"/>
      <c r="H19" s="268">
        <v>0.95059499999999997</v>
      </c>
      <c r="I19" s="41"/>
      <c r="J19" s="268">
        <v>0.95128400000000002</v>
      </c>
    </row>
    <row r="20" spans="1:15">
      <c r="A20" s="29"/>
      <c r="B20" s="42"/>
      <c r="C20" s="42"/>
      <c r="D20" s="42"/>
      <c r="E20" s="42"/>
      <c r="F20" s="42"/>
      <c r="G20" s="42"/>
      <c r="H20" s="42"/>
      <c r="I20" s="42"/>
      <c r="J20" s="42"/>
    </row>
    <row r="21" spans="1:15" ht="13.5" thickBot="1">
      <c r="A21" s="152" t="s">
        <v>453</v>
      </c>
      <c r="B21" s="42"/>
      <c r="C21" s="42"/>
      <c r="D21" s="42"/>
      <c r="E21" s="42"/>
      <c r="F21" s="42"/>
      <c r="G21" s="42"/>
      <c r="H21" s="263">
        <f>H16*H19</f>
        <v>-4.3722689903949972</v>
      </c>
      <c r="I21" s="42"/>
      <c r="J21" s="263">
        <f>J16*J19</f>
        <v>-4.3754380511773308</v>
      </c>
    </row>
    <row r="22" spans="1:15" ht="13.5" thickTop="1">
      <c r="A22" s="29"/>
      <c r="B22" s="42"/>
      <c r="C22" s="42"/>
      <c r="D22" s="42"/>
      <c r="E22" s="42"/>
      <c r="F22" s="42"/>
      <c r="G22" s="42"/>
      <c r="H22" s="42"/>
      <c r="I22" s="42"/>
      <c r="J22" s="42"/>
    </row>
    <row r="23" spans="1:15">
      <c r="B23" s="26"/>
      <c r="C23" s="26"/>
      <c r="D23" s="26"/>
      <c r="E23" s="26"/>
      <c r="F23" s="26"/>
      <c r="G23" s="26"/>
      <c r="H23" s="26"/>
      <c r="I23" s="26"/>
      <c r="J23" s="26"/>
    </row>
    <row r="24" spans="1:15">
      <c r="B24" s="26"/>
      <c r="C24" s="26"/>
      <c r="D24" s="26"/>
      <c r="E24" s="26"/>
      <c r="F24" s="26"/>
      <c r="G24" s="26"/>
      <c r="H24" s="26"/>
      <c r="I24" s="26"/>
      <c r="J24" s="26"/>
    </row>
    <row r="25" spans="1:15">
      <c r="A25" s="166" t="s">
        <v>379</v>
      </c>
      <c r="B25" s="39"/>
      <c r="C25" s="39"/>
      <c r="D25" s="39"/>
      <c r="E25" s="39"/>
      <c r="F25" s="39"/>
      <c r="G25" s="39"/>
      <c r="H25" s="264">
        <f>-H21/2</f>
        <v>2.1861344951974986</v>
      </c>
      <c r="I25" s="39"/>
      <c r="J25" s="229">
        <f>-H21+-(J21/2)</f>
        <v>6.559988015983663</v>
      </c>
      <c r="K25" s="39"/>
      <c r="L25" s="93"/>
      <c r="M25" s="40"/>
      <c r="N25" s="93"/>
      <c r="O25" s="26"/>
    </row>
    <row r="26" spans="1:15">
      <c r="A26" s="29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6"/>
    </row>
    <row r="27" spans="1:15">
      <c r="A27" s="41" t="s">
        <v>55</v>
      </c>
      <c r="B27" s="41"/>
      <c r="C27" s="41"/>
      <c r="D27" s="41"/>
      <c r="E27" s="41"/>
      <c r="F27" s="41"/>
      <c r="G27" s="41"/>
      <c r="H27" s="51">
        <f>'Exh. LK-28'!J19</f>
        <v>9.8804316192411479E-2</v>
      </c>
      <c r="I27" s="41"/>
      <c r="J27" s="51">
        <f>'Exh. LK-29'!J19</f>
        <v>9.9784915778226832E-2</v>
      </c>
      <c r="K27" s="41"/>
      <c r="L27" s="48"/>
      <c r="M27" s="41"/>
      <c r="N27" s="48"/>
      <c r="O27" s="26"/>
    </row>
    <row r="28" spans="1:15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26"/>
    </row>
    <row r="29" spans="1:15" ht="13.5" thickBot="1">
      <c r="A29" s="167" t="s">
        <v>377</v>
      </c>
      <c r="B29" s="167"/>
      <c r="C29" s="167"/>
      <c r="D29" s="167"/>
      <c r="E29" s="167"/>
      <c r="F29" s="167"/>
      <c r="G29" s="167"/>
      <c r="H29" s="265">
        <f>H25*H27</f>
        <v>0.2159995239026315</v>
      </c>
      <c r="I29" s="236"/>
      <c r="J29" s="265">
        <f>J25*J27</f>
        <v>0.65458785168110711</v>
      </c>
      <c r="K29" s="167"/>
      <c r="L29" s="44"/>
      <c r="M29" s="41"/>
      <c r="N29" s="44"/>
      <c r="O29" s="26"/>
    </row>
    <row r="30" spans="1:15" ht="13.5" thickTop="1">
      <c r="A30" s="167"/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44"/>
      <c r="M30" s="41"/>
      <c r="N30" s="44"/>
      <c r="O30" s="26"/>
    </row>
    <row r="31" spans="1:15">
      <c r="A31" s="167"/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44"/>
      <c r="M31" s="41"/>
      <c r="N31" s="44"/>
    </row>
    <row r="32" spans="1:15">
      <c r="A32" s="158" t="s">
        <v>59</v>
      </c>
      <c r="E32">
        <f>'ADIT Changes - Cap Struct'!C24</f>
        <v>0.38574999999999998</v>
      </c>
      <c r="H32" s="196">
        <f>H29*-E32</f>
        <v>-8.33218163454401E-2</v>
      </c>
      <c r="J32" s="196">
        <f>J29*-E32</f>
        <v>-0.25250726378598704</v>
      </c>
    </row>
    <row r="34" spans="1:11" ht="13.5" thickBot="1">
      <c r="A34" s="158" t="s">
        <v>447</v>
      </c>
      <c r="H34" s="209">
        <f>H21+H29+H32</f>
        <v>-4.2395912828378055</v>
      </c>
      <c r="I34" s="204"/>
      <c r="J34" s="209">
        <f>J21+J29+J32</f>
        <v>-3.9733574632822104</v>
      </c>
      <c r="K34" s="204"/>
    </row>
    <row r="35" spans="1:11" ht="13.5" thickTop="1">
      <c r="H35" s="204"/>
      <c r="I35" s="204"/>
      <c r="J35" s="204"/>
      <c r="K35" s="204"/>
    </row>
  </sheetData>
  <mergeCells count="5">
    <mergeCell ref="A1:J1"/>
    <mergeCell ref="A2:J2"/>
    <mergeCell ref="A3:J3"/>
    <mergeCell ref="A4:J4"/>
    <mergeCell ref="A5:J5"/>
  </mergeCells>
  <pageMargins left="0.39" right="0.25" top="1" bottom="1" header="0.5" footer="0.5"/>
  <pageSetup orientation="portrait" r:id="rId1"/>
  <headerFooter alignWithMargins="0">
    <oddHeader>&amp;R&amp;8Docket No. 160021-EI, &amp;"Arial,Italic"et al&amp;"Arial,Regular".
FPL POD No. 5
Attachment A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31</vt:i4>
      </vt:variant>
    </vt:vector>
  </HeadingPairs>
  <TitlesOfParts>
    <vt:vector size="59" baseType="lpstr">
      <vt:lpstr>Exh. LK-6</vt:lpstr>
      <vt:lpstr>Exh. LK-8</vt:lpstr>
      <vt:lpstr>Exh. LK-11 (Pages 1-3)</vt:lpstr>
      <vt:lpstr>Exh. LK-11 (Pages 4-6)</vt:lpstr>
      <vt:lpstr>Exh. LK-12</vt:lpstr>
      <vt:lpstr>Exh. LK-14</vt:lpstr>
      <vt:lpstr>Exh. LK-15</vt:lpstr>
      <vt:lpstr>Exh. LK-16</vt:lpstr>
      <vt:lpstr>Exh. LK-17</vt:lpstr>
      <vt:lpstr>Exh. LK-21</vt:lpstr>
      <vt:lpstr>Exh. LK-23</vt:lpstr>
      <vt:lpstr>Exh. LK-27 - Page 1</vt:lpstr>
      <vt:lpstr>Exh. LK-27 - Page 2</vt:lpstr>
      <vt:lpstr>Exh. LK-28</vt:lpstr>
      <vt:lpstr>Exh. LK-29</vt:lpstr>
      <vt:lpstr>Exh. LK-30</vt:lpstr>
      <vt:lpstr>Exh. LK-33</vt:lpstr>
      <vt:lpstr>Exh. LK-34</vt:lpstr>
      <vt:lpstr>Exh. LK-35</vt:lpstr>
      <vt:lpstr>Revenue Requirement-12.31.2017</vt:lpstr>
      <vt:lpstr>Revenue Requirement-12.31.2018</vt:lpstr>
      <vt:lpstr>Rev Req-Okeechobee Increase</vt:lpstr>
      <vt:lpstr>As Filed MFR Sch. D-4 (2017)</vt:lpstr>
      <vt:lpstr>As Adjusted MFR Sch. D-4 (2017)</vt:lpstr>
      <vt:lpstr>As Filed MFR Sch. D-4 (2018)</vt:lpstr>
      <vt:lpstr>As Adjusted MFR Sch. D-4 (2018)</vt:lpstr>
      <vt:lpstr>ADIT Changes - Cap Struct</vt:lpstr>
      <vt:lpstr>NFIP in Rate Base</vt:lpstr>
      <vt:lpstr>'Exh. LK-11 (Pages 1-3)'!Print_Area</vt:lpstr>
      <vt:lpstr>'Exh. LK-11 (Pages 4-6)'!Print_Area</vt:lpstr>
      <vt:lpstr>'Exh. LK-12'!Print_Area</vt:lpstr>
      <vt:lpstr>'Exh. LK-14'!Print_Area</vt:lpstr>
      <vt:lpstr>'Exh. LK-15'!Print_Area</vt:lpstr>
      <vt:lpstr>'Exh. LK-16'!Print_Area</vt:lpstr>
      <vt:lpstr>'Exh. LK-21'!Print_Area</vt:lpstr>
      <vt:lpstr>'Exh. LK-27 - Page 1'!Print_Area</vt:lpstr>
      <vt:lpstr>'Exh. LK-28'!Print_Area</vt:lpstr>
      <vt:lpstr>'Exh. LK-29'!Print_Area</vt:lpstr>
      <vt:lpstr>'Exh. LK-30'!Print_Area</vt:lpstr>
      <vt:lpstr>'Exh. LK-33'!Print_Area</vt:lpstr>
      <vt:lpstr>'Exh. LK-34'!Print_Area</vt:lpstr>
      <vt:lpstr>'Exh. LK-35'!Print_Area</vt:lpstr>
      <vt:lpstr>'Exh. LK-6'!Print_Area</vt:lpstr>
      <vt:lpstr>'Exh. LK-8'!Print_Area</vt:lpstr>
      <vt:lpstr>'As Adjusted MFR Sch. D-4 (2017)'!Print_Titles</vt:lpstr>
      <vt:lpstr>'As Adjusted MFR Sch. D-4 (2018)'!Print_Titles</vt:lpstr>
      <vt:lpstr>'As Filed MFR Sch. D-4 (2017)'!Print_Titles</vt:lpstr>
      <vt:lpstr>'As Filed MFR Sch. D-4 (2018)'!Print_Titles</vt:lpstr>
      <vt:lpstr>'Exh. LK-11 (Pages 1-3)'!Print_Titles</vt:lpstr>
      <vt:lpstr>'Exh. LK-11 (Pages 4-6)'!Print_Titles</vt:lpstr>
      <vt:lpstr>'Exh. LK-12'!Print_Titles</vt:lpstr>
      <vt:lpstr>'Exh. LK-14'!Print_Titles</vt:lpstr>
      <vt:lpstr>'Exh. LK-15'!Print_Titles</vt:lpstr>
      <vt:lpstr>'Exh. LK-16'!Print_Titles</vt:lpstr>
      <vt:lpstr>'Exh. LK-21'!Print_Titles</vt:lpstr>
      <vt:lpstr>'Exh. LK-28'!Print_Titles</vt:lpstr>
      <vt:lpstr>'Exh. LK-29'!Print_Titles</vt:lpstr>
      <vt:lpstr>'Exh. LK-30'!Print_Titles</vt:lpstr>
      <vt:lpstr>'Exh. LK-33'!Print_Titles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</dc:creator>
  <cp:lastModifiedBy>Siqveland, Kevin</cp:lastModifiedBy>
  <cp:revision>1</cp:revision>
  <dcterms:created xsi:type="dcterms:W3CDTF">2016-07-18T20:39:46Z</dcterms:created>
  <dcterms:modified xsi:type="dcterms:W3CDTF">2016-07-18T20:39:50Z</dcterms:modified>
  <cp:version>0</cp:version>
</cp:coreProperties>
</file>