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7470" windowHeight="8205"/>
  </bookViews>
  <sheets>
    <sheet name="Sheet1" sheetId="1" r:id="rId1"/>
    <sheet name="Gulf" sheetId="2" r:id="rId2"/>
    <sheet name="Duke" sheetId="3" r:id="rId3"/>
    <sheet name="TECO" sheetId="4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J20" i="2" l="1"/>
  <c r="K22" i="3"/>
  <c r="K24" i="3"/>
  <c r="J20" i="4"/>
  <c r="J16" i="1" l="1"/>
  <c r="J17" i="1"/>
  <c r="J18" i="1"/>
  <c r="J19" i="1"/>
  <c r="J20" i="1"/>
  <c r="J21" i="1"/>
  <c r="J22" i="1"/>
  <c r="J23" i="1"/>
  <c r="J24" i="1"/>
  <c r="J15" i="1"/>
  <c r="E16" i="1"/>
  <c r="E17" i="1"/>
  <c r="E18" i="1"/>
  <c r="E19" i="1"/>
  <c r="E20" i="1"/>
  <c r="E21" i="1"/>
  <c r="E22" i="1"/>
  <c r="E23" i="1"/>
  <c r="E24" i="1"/>
  <c r="E15" i="1"/>
  <c r="J5" i="1"/>
  <c r="J6" i="1"/>
  <c r="J7" i="1"/>
  <c r="J8" i="1"/>
  <c r="J9" i="1"/>
  <c r="J10" i="1"/>
  <c r="J11" i="1"/>
  <c r="J12" i="1"/>
  <c r="J13" i="1"/>
  <c r="J14" i="1"/>
  <c r="E6" i="1"/>
  <c r="E7" i="1"/>
  <c r="E8" i="1"/>
  <c r="E9" i="1"/>
  <c r="E10" i="1"/>
  <c r="E11" i="1"/>
  <c r="E12" i="1"/>
  <c r="E13" i="1"/>
  <c r="E14" i="1"/>
  <c r="E5" i="1"/>
  <c r="H24" i="1" l="1"/>
  <c r="H23" i="1"/>
  <c r="H22" i="1"/>
  <c r="H21" i="1"/>
  <c r="H20" i="1"/>
  <c r="H19" i="1"/>
  <c r="H18" i="1"/>
  <c r="H17" i="1"/>
  <c r="H16" i="1"/>
  <c r="H15" i="1"/>
  <c r="H9" i="1"/>
  <c r="H10" i="1"/>
  <c r="H8" i="1"/>
  <c r="H6" i="1"/>
  <c r="H7" i="1"/>
  <c r="N7" i="1" s="1"/>
  <c r="H11" i="1"/>
  <c r="N11" i="1" s="1"/>
  <c r="H12" i="1"/>
  <c r="H13" i="1"/>
  <c r="H14" i="1"/>
  <c r="H5" i="1"/>
  <c r="J6" i="4"/>
  <c r="J8" i="4"/>
  <c r="J9" i="4"/>
  <c r="J10" i="4"/>
  <c r="J11" i="4"/>
  <c r="J23" i="4"/>
  <c r="J24" i="4"/>
  <c r="J22" i="4"/>
  <c r="J21" i="4"/>
  <c r="J19" i="4"/>
  <c r="J18" i="4"/>
  <c r="J17" i="4"/>
  <c r="J12" i="4"/>
  <c r="J13" i="4"/>
  <c r="J14" i="4"/>
  <c r="J16" i="4"/>
  <c r="G16" i="1"/>
  <c r="G17" i="1"/>
  <c r="G18" i="1"/>
  <c r="G19" i="1"/>
  <c r="G20" i="1"/>
  <c r="G21" i="1"/>
  <c r="G22" i="1"/>
  <c r="G23" i="1"/>
  <c r="G24" i="1"/>
  <c r="G15" i="1"/>
  <c r="K16" i="3"/>
  <c r="K6" i="3"/>
  <c r="O13" i="1"/>
  <c r="P23" i="1"/>
  <c r="O23" i="1"/>
  <c r="P19" i="1"/>
  <c r="O19" i="1"/>
  <c r="P15" i="1"/>
  <c r="O15" i="1"/>
  <c r="P11" i="1"/>
  <c r="O11" i="1"/>
  <c r="M11" i="1"/>
  <c r="O7" i="1"/>
  <c r="P7" i="1"/>
  <c r="M7" i="1"/>
  <c r="J22" i="2"/>
  <c r="J21" i="2"/>
  <c r="J19" i="2"/>
  <c r="J18" i="2"/>
  <c r="J17" i="2"/>
  <c r="J12" i="2"/>
  <c r="J11" i="2"/>
  <c r="J10" i="2"/>
  <c r="J9" i="2"/>
  <c r="J8" i="2"/>
  <c r="J7" i="2"/>
  <c r="J6" i="2"/>
  <c r="X7" i="1" l="1"/>
  <c r="Y7" i="1"/>
  <c r="X11" i="1"/>
  <c r="Y11" i="1"/>
  <c r="Z7" i="1"/>
  <c r="Z11" i="1"/>
  <c r="Z15" i="1"/>
  <c r="Z19" i="1"/>
  <c r="Z23" i="1"/>
  <c r="K15" i="3" l="1"/>
  <c r="K12" i="3"/>
  <c r="K13" i="3"/>
  <c r="K14" i="3"/>
  <c r="K21" i="3"/>
  <c r="K17" i="3"/>
  <c r="K19" i="3"/>
  <c r="H26" i="4"/>
  <c r="J15" i="4"/>
  <c r="J7" i="4"/>
  <c r="J25" i="4"/>
  <c r="K24" i="4"/>
  <c r="K22" i="4"/>
  <c r="K20" i="4"/>
  <c r="K18" i="4"/>
  <c r="K16" i="4"/>
  <c r="K17" i="4"/>
  <c r="K19" i="4"/>
  <c r="K21" i="4"/>
  <c r="K23" i="4"/>
  <c r="K25" i="4"/>
  <c r="G26" i="2"/>
  <c r="J15" i="2"/>
  <c r="J14" i="2"/>
  <c r="K6" i="2"/>
  <c r="K18" i="3" l="1"/>
  <c r="K20" i="3"/>
  <c r="K23" i="3"/>
  <c r="K25" i="3"/>
  <c r="K7" i="3" l="1"/>
  <c r="K8" i="3"/>
  <c r="K9" i="3"/>
  <c r="K10" i="3"/>
  <c r="K11" i="3"/>
  <c r="K6" i="4" l="1"/>
  <c r="K7" i="4"/>
  <c r="K8" i="4"/>
  <c r="K10" i="4"/>
  <c r="K12" i="4"/>
  <c r="K14" i="4"/>
  <c r="K15" i="4"/>
  <c r="K9" i="4"/>
  <c r="K11" i="4"/>
  <c r="K13" i="4"/>
  <c r="J13" i="2"/>
  <c r="J16" i="2"/>
  <c r="J23" i="2"/>
  <c r="J24" i="2"/>
  <c r="J25" i="2"/>
  <c r="X7" i="2"/>
  <c r="L8" i="3" l="1"/>
  <c r="L9" i="3"/>
  <c r="L11" i="3"/>
  <c r="L13" i="3"/>
  <c r="L14" i="3"/>
  <c r="L15" i="3"/>
  <c r="L16" i="3"/>
  <c r="L17" i="3"/>
  <c r="L19" i="3"/>
  <c r="L20" i="3"/>
  <c r="L21" i="3"/>
  <c r="L22" i="3"/>
  <c r="L23" i="3"/>
  <c r="L24" i="3"/>
  <c r="L25" i="3"/>
  <c r="L7" i="3"/>
  <c r="L6" i="3"/>
  <c r="L12" i="3"/>
  <c r="L18" i="3"/>
  <c r="L10" i="3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8" i="2"/>
  <c r="X9" i="2"/>
  <c r="X6" i="2"/>
  <c r="K25" i="2"/>
  <c r="K24" i="2"/>
  <c r="K13" i="2"/>
  <c r="K12" i="2"/>
  <c r="K20" i="2"/>
  <c r="K18" i="2"/>
  <c r="K17" i="2"/>
  <c r="K16" i="2"/>
  <c r="K10" i="2"/>
  <c r="K7" i="2"/>
  <c r="K8" i="2"/>
  <c r="K9" i="2"/>
  <c r="K11" i="2"/>
  <c r="K14" i="2"/>
  <c r="K15" i="2"/>
  <c r="K19" i="2"/>
  <c r="K21" i="2"/>
  <c r="K22" i="2"/>
  <c r="K23" i="2"/>
  <c r="V5" i="1"/>
  <c r="V6" i="1"/>
  <c r="V7" i="1"/>
  <c r="AA7" i="1" s="1"/>
  <c r="V8" i="1"/>
  <c r="V9" i="1"/>
  <c r="V10" i="1"/>
  <c r="V11" i="1"/>
  <c r="AA11" i="1" s="1"/>
  <c r="V12" i="1"/>
  <c r="V13" i="1"/>
  <c r="V14" i="1"/>
  <c r="V15" i="1"/>
  <c r="AA15" i="1" s="1"/>
  <c r="V16" i="1"/>
  <c r="V17" i="1"/>
  <c r="V18" i="1"/>
  <c r="V19" i="1"/>
  <c r="AA19" i="1" s="1"/>
  <c r="V20" i="1"/>
  <c r="V21" i="1"/>
  <c r="V22" i="1"/>
  <c r="V23" i="1"/>
  <c r="AA23" i="1" s="1"/>
  <c r="V24" i="1"/>
  <c r="B13" i="1" l="1"/>
  <c r="B14" i="1"/>
  <c r="M14" i="1" s="1"/>
  <c r="X14" i="1" s="1"/>
  <c r="B15" i="1"/>
  <c r="M15" i="1" s="1"/>
  <c r="X15" i="1" s="1"/>
  <c r="B16" i="1"/>
  <c r="M16" i="1" s="1"/>
  <c r="X16" i="1" s="1"/>
  <c r="B17" i="1"/>
  <c r="M17" i="1" s="1"/>
  <c r="X17" i="1" s="1"/>
  <c r="B18" i="1"/>
  <c r="B19" i="1"/>
  <c r="M19" i="1" s="1"/>
  <c r="X19" i="1" s="1"/>
  <c r="B20" i="1"/>
  <c r="M20" i="1" s="1"/>
  <c r="X20" i="1" s="1"/>
  <c r="B21" i="1"/>
  <c r="B22" i="1"/>
  <c r="M22" i="1" s="1"/>
  <c r="X22" i="1" s="1"/>
  <c r="B23" i="1"/>
  <c r="M23" i="1" s="1"/>
  <c r="X23" i="1" s="1"/>
  <c r="B24" i="1"/>
  <c r="M24" i="1" s="1"/>
  <c r="X24" i="1" s="1"/>
  <c r="C13" i="1"/>
  <c r="N13" i="1" s="1"/>
  <c r="Y13" i="1" s="1"/>
  <c r="C14" i="1"/>
  <c r="N14" i="1" s="1"/>
  <c r="Y14" i="1" s="1"/>
  <c r="C15" i="1"/>
  <c r="N15" i="1" s="1"/>
  <c r="Y15" i="1" s="1"/>
  <c r="C16" i="1"/>
  <c r="N16" i="1" s="1"/>
  <c r="Y16" i="1" s="1"/>
  <c r="C17" i="1"/>
  <c r="C18" i="1"/>
  <c r="N18" i="1" s="1"/>
  <c r="Y18" i="1" s="1"/>
  <c r="C19" i="1"/>
  <c r="N19" i="1" s="1"/>
  <c r="Y19" i="1" s="1"/>
  <c r="C20" i="1"/>
  <c r="N20" i="1" s="1"/>
  <c r="Y20" i="1" s="1"/>
  <c r="C21" i="1"/>
  <c r="N21" i="1" s="1"/>
  <c r="Y21" i="1" s="1"/>
  <c r="C22" i="1"/>
  <c r="N22" i="1" s="1"/>
  <c r="Y22" i="1" s="1"/>
  <c r="C23" i="1"/>
  <c r="N23" i="1" s="1"/>
  <c r="Y23" i="1" s="1"/>
  <c r="C24" i="1"/>
  <c r="N24" i="1" s="1"/>
  <c r="Y24" i="1" s="1"/>
  <c r="M6" i="1"/>
  <c r="X6" i="1" s="1"/>
  <c r="N6" i="1"/>
  <c r="Y6" i="1" s="1"/>
  <c r="M8" i="1"/>
  <c r="X8" i="1" s="1"/>
  <c r="N8" i="1"/>
  <c r="Y8" i="1" s="1"/>
  <c r="M9" i="1"/>
  <c r="X9" i="1" s="1"/>
  <c r="N9" i="1"/>
  <c r="Y9" i="1" s="1"/>
  <c r="M10" i="1"/>
  <c r="X10" i="1" s="1"/>
  <c r="N10" i="1"/>
  <c r="Y10" i="1" s="1"/>
  <c r="M12" i="1"/>
  <c r="X12" i="1" s="1"/>
  <c r="N12" i="1"/>
  <c r="Y12" i="1" s="1"/>
  <c r="M13" i="1"/>
  <c r="X13" i="1" s="1"/>
  <c r="N17" i="1"/>
  <c r="Y17" i="1" s="1"/>
  <c r="M18" i="1"/>
  <c r="X18" i="1" s="1"/>
  <c r="M21" i="1"/>
  <c r="X21" i="1" s="1"/>
  <c r="N5" i="1" l="1"/>
  <c r="O5" i="1"/>
  <c r="Z5" i="1" s="1"/>
  <c r="P5" i="1"/>
  <c r="AA5" i="1" s="1"/>
  <c r="O6" i="1"/>
  <c r="Z6" i="1" s="1"/>
  <c r="P6" i="1"/>
  <c r="AA6" i="1" s="1"/>
  <c r="O8" i="1"/>
  <c r="Z8" i="1" s="1"/>
  <c r="P8" i="1"/>
  <c r="AA8" i="1" s="1"/>
  <c r="O9" i="1"/>
  <c r="P9" i="1"/>
  <c r="AA9" i="1" s="1"/>
  <c r="O10" i="1"/>
  <c r="Z10" i="1" s="1"/>
  <c r="P10" i="1"/>
  <c r="AA10" i="1" s="1"/>
  <c r="O12" i="1"/>
  <c r="Z12" i="1" s="1"/>
  <c r="P12" i="1"/>
  <c r="AA12" i="1" s="1"/>
  <c r="Z13" i="1"/>
  <c r="P13" i="1"/>
  <c r="AA13" i="1" s="1"/>
  <c r="O14" i="1"/>
  <c r="Z14" i="1" s="1"/>
  <c r="P14" i="1"/>
  <c r="AA14" i="1" s="1"/>
  <c r="O16" i="1"/>
  <c r="O17" i="1"/>
  <c r="Z17" i="1" s="1"/>
  <c r="O18" i="1"/>
  <c r="Z18" i="1" s="1"/>
  <c r="O20" i="1"/>
  <c r="Z20" i="1" s="1"/>
  <c r="O21" i="1"/>
  <c r="Z21" i="1" s="1"/>
  <c r="O22" i="1"/>
  <c r="Z22" i="1" s="1"/>
  <c r="O24" i="1"/>
  <c r="Z24" i="1" s="1"/>
  <c r="M5" i="1"/>
  <c r="X5" i="1" l="1"/>
  <c r="Z16" i="1"/>
  <c r="Y5" i="1"/>
  <c r="Z9" i="1"/>
  <c r="P16" i="1"/>
  <c r="AA16" i="1" s="1"/>
  <c r="P17" i="1"/>
  <c r="AA17" i="1" s="1"/>
  <c r="P18" i="1"/>
  <c r="AA18" i="1" s="1"/>
  <c r="P20" i="1"/>
  <c r="AA20" i="1" s="1"/>
  <c r="P21" i="1"/>
  <c r="AA21" i="1" s="1"/>
  <c r="P22" i="1"/>
  <c r="AA22" i="1" s="1"/>
  <c r="P24" i="1"/>
  <c r="AA24" i="1" s="1"/>
</calcChain>
</file>

<file path=xl/comments1.xml><?xml version="1.0" encoding="utf-8"?>
<comments xmlns="http://schemas.openxmlformats.org/spreadsheetml/2006/main">
  <authors>
    <author>Author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actual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actual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Forecast is winter peak in calculating Duke load factor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H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actual NEL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I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Actual NEL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actual NEL and annual peak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H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actual NEL</t>
        </r>
      </text>
    </comment>
  </commentList>
</comments>
</file>

<file path=xl/sharedStrings.xml><?xml version="1.0" encoding="utf-8"?>
<sst xmlns="http://schemas.openxmlformats.org/spreadsheetml/2006/main" count="195" uniqueCount="89">
  <si>
    <t>Duke</t>
  </si>
  <si>
    <t>TECO</t>
  </si>
  <si>
    <t>Gulf</t>
  </si>
  <si>
    <t>FPL</t>
  </si>
  <si>
    <t>NEL</t>
  </si>
  <si>
    <t>(Gwh)</t>
  </si>
  <si>
    <t>LF</t>
  </si>
  <si>
    <t>Summer Peak (MW)</t>
  </si>
  <si>
    <t>Annual Load Factor</t>
  </si>
  <si>
    <t>Load Factor as reported in TYSP</t>
  </si>
  <si>
    <t>Methodology:</t>
  </si>
  <si>
    <t>Total</t>
  </si>
  <si>
    <t>Res Con</t>
  </si>
  <si>
    <t>C/I Cons</t>
  </si>
  <si>
    <t>Retail</t>
  </si>
  <si>
    <t>Wholsl</t>
  </si>
  <si>
    <t>Util use loss</t>
  </si>
  <si>
    <t>whole</t>
  </si>
  <si>
    <t>retail</t>
  </si>
  <si>
    <t>Inter</t>
  </si>
  <si>
    <t>Res cons</t>
  </si>
  <si>
    <t>Res LM</t>
  </si>
  <si>
    <t>CI cons</t>
  </si>
  <si>
    <t>Net Firm</t>
  </si>
  <si>
    <t>Com LM</t>
  </si>
  <si>
    <t>Calc LF</t>
  </si>
  <si>
    <t>Diff</t>
  </si>
  <si>
    <t>7/8760/17</t>
  </si>
  <si>
    <t>2+3+4+5+6</t>
  </si>
  <si>
    <t>1-2-3</t>
  </si>
  <si>
    <t>10+11</t>
  </si>
  <si>
    <t>9-14-16</t>
  </si>
  <si>
    <t>using totals</t>
  </si>
  <si>
    <t>Notes:</t>
  </si>
  <si>
    <t>Percentage wise, conservation lowers peaks much more than it lowers NEL</t>
  </si>
  <si>
    <t>SP</t>
  </si>
  <si>
    <t>% of Conservation</t>
  </si>
  <si>
    <t>YEAR</t>
  </si>
  <si>
    <t>TOTAL</t>
  </si>
  <si>
    <t>RETAIL</t>
  </si>
  <si>
    <t>Whsle</t>
  </si>
  <si>
    <t>Dem Reduct</t>
  </si>
  <si>
    <t>C/I LM</t>
  </si>
  <si>
    <t>Res Cons</t>
  </si>
  <si>
    <t>Load Ftr</t>
  </si>
  <si>
    <t>Losses</t>
  </si>
  <si>
    <t>Other Red</t>
  </si>
  <si>
    <t>10-(13to18)</t>
  </si>
  <si>
    <t>5+6+7</t>
  </si>
  <si>
    <t>8+2+3+4</t>
  </si>
  <si>
    <t>Year</t>
  </si>
  <si>
    <t>Interr</t>
  </si>
  <si>
    <t>Total*</t>
  </si>
  <si>
    <t>* Includes residential and C/I conservation</t>
  </si>
  <si>
    <t>9-10-12-13-14-15-16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</si>
  <si>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</si>
  <si>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</si>
  <si>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</si>
  <si>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</si>
  <si>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</si>
  <si>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</si>
  <si>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</si>
  <si>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</si>
  <si>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</si>
  <si>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</si>
  <si>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</si>
  <si>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</si>
  <si>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</si>
  <si>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</si>
  <si>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</si>
  <si>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</si>
  <si>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</si>
  <si>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</si>
  <si>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</si>
  <si>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</si>
  <si>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WP</t>
  </si>
  <si>
    <t>total annual peak less conservation and NEL less conservation</t>
  </si>
  <si>
    <t>Actual 2015 winter peak of 9,473 (Feb 2015) is not on their TYSP schedules</t>
  </si>
  <si>
    <t>net firm annual peak and NEL less conservation</t>
  </si>
  <si>
    <t>Check against TYSP as Filed</t>
  </si>
  <si>
    <t>Historical Values (2006 - 2015):</t>
  </si>
  <si>
    <t>Col. (2) = recorded peak + implemented load control + residential and commercial/industrial conservation and customer-owned self-service cogeneration. Cols. (5) - (9)  = Represent total cumulative capabilities at peak. Col. (8) includes commercial load management and standby generation.</t>
  </si>
  <si>
    <t>Col. (OTH) = Voltage reduction and customer-owned self-service cogeneration.</t>
  </si>
  <si>
    <t>Col. (10) = (2) - (5) - (6) - (7) - (8) - (9) - (OTH).</t>
  </si>
  <si>
    <t>SFHHA 010797</t>
  </si>
  <si>
    <t>FPL RC-16</t>
  </si>
  <si>
    <t>SFHHA 010798</t>
  </si>
  <si>
    <t>SFHHA 010799</t>
  </si>
  <si>
    <t>SFHHA 010800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</si>
</sst>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37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0" xfId="0" applyNumberFormat="1" applyFont="1"/>
    <xf numFmtId="0" fontId="0" fillId="0" borderId="0" xfId="0" quotePrefix="1" applyAlignment="1">
      <alignment horizontal="left"/>
    </xf>
    <xf numFmtId="16" fontId="0" fillId="0" borderId="0" xfId="0" applyNumberFormat="1"/>
    <xf numFmtId="10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left"/>
    </xf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0" fontId="5" fillId="0" borderId="0" xfId="0" applyFont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3" fontId="6" fillId="3" borderId="0" xfId="0" applyNumberFormat="1" applyFont="1" applyFill="1" applyAlignment="1">
      <alignment horizontal="center"/>
    </xf>
    <xf numFmtId="0" fontId="6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Fill="1"/>
    <xf numFmtId="3" fontId="8" fillId="0" borderId="0" xfId="0" applyNumberFormat="1" applyFont="1"/>
    <xf numFmtId="3" fontId="6" fillId="0" borderId="1" xfId="0" applyNumberFormat="1" applyFont="1" applyBorder="1"/>
    <xf numFmtId="164" fontId="0" fillId="0" borderId="0" xfId="1" applyNumberFormat="1" applyFont="1" applyBorder="1"/>
    <xf numFmtId="165" fontId="0" fillId="0" borderId="0" xfId="0" applyNumberFormat="1" applyBorder="1"/>
    <xf numFmtId="3" fontId="6" fillId="0" borderId="0" xfId="0" applyNumberFormat="1" applyFont="1" applyBorder="1"/>
    <xf numFmtId="3" fontId="6" fillId="0" borderId="0" xfId="0" applyNumberFormat="1" applyFont="1"/>
    <xf numFmtId="164" fontId="8" fillId="0" borderId="0" xfId="1" applyNumberFormat="1" applyFont="1" applyBorder="1"/>
    <xf numFmtId="164" fontId="6" fillId="0" borderId="0" xfId="1" applyNumberFormat="1" applyFont="1" applyBorder="1"/>
    <xf numFmtId="164" fontId="6" fillId="0" borderId="1" xfId="1" applyNumberFormat="1" applyFont="1" applyBorder="1"/>
    <xf numFmtId="0" fontId="5" fillId="0" borderId="0" xfId="0" applyFont="1"/>
    <xf numFmtId="3" fontId="7" fillId="0" borderId="0" xfId="0" applyNumberFormat="1" applyFont="1"/>
    <xf numFmtId="3" fontId="7" fillId="0" borderId="1" xfId="0" applyNumberFormat="1" applyFont="1" applyBorder="1"/>
    <xf numFmtId="3" fontId="0" fillId="2" borderId="0" xfId="0" applyNumberFormat="1" applyFill="1"/>
    <xf numFmtId="0" fontId="2" fillId="0" borderId="1" xfId="0" applyNumberFormat="1" applyFont="1" applyBorder="1"/>
    <xf numFmtId="10" fontId="0" fillId="0" borderId="1" xfId="0" applyNumberFormat="1" applyBorder="1"/>
    <xf numFmtId="37" fontId="0" fillId="0" borderId="1" xfId="0" applyNumberFormat="1" applyBorder="1"/>
    <xf numFmtId="0" fontId="2" fillId="0" borderId="1" xfId="0" applyFont="1" applyBorder="1"/>
    <xf numFmtId="0" fontId="9" fillId="4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11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%20&amp;%20PSC%20Reports/2016%20TYSP/Schedules%202%20thru%204%20-%202%208%2016%20final%20with%202026%20WP%20for%20LRD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analysis/rate%20case/Additional%20Support/TYSP%20compa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 "/>
      <sheetName val="SCH 4"/>
    </sheetNames>
    <sheetDataSet>
      <sheetData sheetId="0"/>
      <sheetData sheetId="1">
        <row r="14">
          <cell r="C14">
            <v>21819</v>
          </cell>
          <cell r="AD14">
            <v>113137.277</v>
          </cell>
          <cell r="AH14">
            <v>0.59192512348899551</v>
          </cell>
        </row>
        <row r="15">
          <cell r="C15">
            <v>21962</v>
          </cell>
          <cell r="AD15">
            <v>114314.587</v>
          </cell>
          <cell r="AH15">
            <v>0.59419043748874667</v>
          </cell>
        </row>
        <row r="16">
          <cell r="C16">
            <v>21060</v>
          </cell>
          <cell r="AD16">
            <v>111003.53</v>
          </cell>
          <cell r="AH16">
            <v>0.60004814287221697</v>
          </cell>
        </row>
        <row r="17">
          <cell r="C17">
            <v>22351</v>
          </cell>
          <cell r="AD17">
            <v>111303.042</v>
          </cell>
          <cell r="AH17">
            <v>0.56846793039813737</v>
          </cell>
        </row>
        <row r="18">
          <cell r="C18">
            <v>22256</v>
          </cell>
          <cell r="AD18">
            <v>114474.633</v>
          </cell>
          <cell r="AH18">
            <v>0.58716213512994497</v>
          </cell>
        </row>
        <row r="19">
          <cell r="C19">
            <v>21619</v>
          </cell>
          <cell r="AD19">
            <v>112453.554</v>
          </cell>
          <cell r="AH19">
            <v>0.59379081819835033</v>
          </cell>
        </row>
        <row r="20">
          <cell r="C20">
            <v>21440</v>
          </cell>
          <cell r="AD20">
            <v>110865.505</v>
          </cell>
          <cell r="AH20">
            <v>0.58868006811060813</v>
          </cell>
        </row>
        <row r="21">
          <cell r="C21">
            <v>21576</v>
          </cell>
          <cell r="AD21">
            <v>111655.211</v>
          </cell>
          <cell r="AH21">
            <v>0.590750308350391</v>
          </cell>
        </row>
        <row r="22">
          <cell r="C22">
            <v>22935</v>
          </cell>
          <cell r="AD22">
            <v>115967.546</v>
          </cell>
          <cell r="AH22">
            <v>0.57720969426202495</v>
          </cell>
        </row>
        <row r="23">
          <cell r="C23">
            <v>22959</v>
          </cell>
          <cell r="AD23">
            <v>122756.08500000001</v>
          </cell>
          <cell r="AH23">
            <v>0.61035984634909046</v>
          </cell>
        </row>
        <row r="50">
          <cell r="C50">
            <v>24169.686546596025</v>
          </cell>
          <cell r="AA50">
            <v>119720.98998673582</v>
          </cell>
          <cell r="AH50">
            <v>0.56390630985184831</v>
          </cell>
        </row>
        <row r="51">
          <cell r="C51">
            <v>24336.040599945238</v>
          </cell>
          <cell r="AA51">
            <v>118975.63358792059</v>
          </cell>
          <cell r="AH51">
            <v>0.55808968908380963</v>
          </cell>
        </row>
        <row r="52">
          <cell r="C52">
            <v>24606.278955403854</v>
          </cell>
          <cell r="AA52">
            <v>119756.19458142036</v>
          </cell>
          <cell r="AH52">
            <v>0.55558170713156074</v>
          </cell>
        </row>
        <row r="53">
          <cell r="C53">
            <v>24893.09445872483</v>
          </cell>
          <cell r="AA53">
            <v>120521.81431110673</v>
          </cell>
          <cell r="AH53">
            <v>0.55269134994576008</v>
          </cell>
        </row>
        <row r="54">
          <cell r="C54">
            <v>25205.928535800045</v>
          </cell>
          <cell r="AA54">
            <v>121883.58296117821</v>
          </cell>
          <cell r="AH54">
            <v>0.55049095149597416</v>
          </cell>
        </row>
        <row r="55">
          <cell r="C55">
            <v>25316.416253234296</v>
          </cell>
          <cell r="AA55">
            <v>122136.21702252582</v>
          </cell>
          <cell r="AH55">
            <v>0.55072923387821027</v>
          </cell>
        </row>
        <row r="56">
          <cell r="C56">
            <v>25540.189209268094</v>
          </cell>
          <cell r="AA56">
            <v>122378.02637475832</v>
          </cell>
          <cell r="AH56">
            <v>0.54698476274203045</v>
          </cell>
        </row>
        <row r="57">
          <cell r="C57">
            <v>25832.903255827194</v>
          </cell>
          <cell r="AA57">
            <v>123240.48573569411</v>
          </cell>
          <cell r="AH57">
            <v>0.54459804461937911</v>
          </cell>
        </row>
        <row r="58">
          <cell r="C58">
            <v>26180.278517781553</v>
          </cell>
          <cell r="AA58">
            <v>124172.39472386542</v>
          </cell>
          <cell r="AH58">
            <v>0.53995611908934615</v>
          </cell>
        </row>
        <row r="59">
          <cell r="C59">
            <v>26572.456021134902</v>
          </cell>
          <cell r="AA59">
            <v>125061.83560710953</v>
          </cell>
          <cell r="AH59">
            <v>0.53726555199105752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 April update"/>
      <sheetName val="Comparison"/>
    </sheetNames>
    <sheetDataSet>
      <sheetData sheetId="0">
        <row r="3">
          <cell r="F3">
            <v>19315</v>
          </cell>
          <cell r="G3">
            <v>40975</v>
          </cell>
        </row>
        <row r="4">
          <cell r="F4">
            <v>20105</v>
          </cell>
          <cell r="G4">
            <v>42280</v>
          </cell>
        </row>
        <row r="5">
          <cell r="F5">
            <v>19806</v>
          </cell>
          <cell r="G5">
            <v>41277</v>
          </cell>
        </row>
        <row r="6">
          <cell r="F6">
            <v>20051</v>
          </cell>
          <cell r="G6">
            <v>41932</v>
          </cell>
        </row>
        <row r="7">
          <cell r="F7">
            <v>20279</v>
          </cell>
          <cell r="G7">
            <v>42417</v>
          </cell>
        </row>
        <row r="8">
          <cell r="F8">
            <v>20455</v>
          </cell>
          <cell r="G8">
            <v>43044</v>
          </cell>
        </row>
        <row r="9">
          <cell r="F9">
            <v>20657</v>
          </cell>
          <cell r="G9">
            <v>43559</v>
          </cell>
        </row>
        <row r="10">
          <cell r="F10">
            <v>20878</v>
          </cell>
          <cell r="G10">
            <v>43895</v>
          </cell>
        </row>
        <row r="11">
          <cell r="F11">
            <v>21152</v>
          </cell>
          <cell r="G11">
            <v>44289</v>
          </cell>
        </row>
        <row r="12">
          <cell r="F12">
            <v>21232</v>
          </cell>
          <cell r="G12">
            <v>44679</v>
          </cell>
        </row>
        <row r="13">
          <cell r="F13">
            <v>21519</v>
          </cell>
          <cell r="G13">
            <v>44982</v>
          </cell>
        </row>
        <row r="14">
          <cell r="F14">
            <v>21807</v>
          </cell>
          <cell r="G14">
            <v>45227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4"/>
  <sheetViews>
    <sheetView tabSelected="1" zoomScale="90" zoomScaleNormal="90" workbookViewId="0">
      <selection activeCell="B1" sqref="A1:XFD2"/>
    </sheetView>
  </sheetViews>
  <sheetFormatPr defaultRowHeight="15" x14ac:dyDescent="0.25"/>
  <cols>
    <col min="1" max="1" width="5.5703125" bestFit="1" customWidth="1"/>
    <col min="2" max="4" width="7.140625" bestFit="1" customWidth="1"/>
    <col min="5" max="5" width="8.85546875" bestFit="1" customWidth="1"/>
    <col min="6" max="6" width="4.28515625" customWidth="1"/>
    <col min="7" max="7" width="8" customWidth="1"/>
    <col min="8" max="9" width="6" bestFit="1" customWidth="1"/>
    <col min="10" max="10" width="7.140625" bestFit="1" customWidth="1"/>
    <col min="11" max="11" width="6.85546875" customWidth="1"/>
    <col min="12" max="12" width="5.5703125" bestFit="1" customWidth="1"/>
    <col min="13" max="13" width="7.42578125" customWidth="1"/>
    <col min="14" max="16" width="6.28515625" bestFit="1" customWidth="1"/>
    <col min="17" max="17" width="3.85546875" customWidth="1"/>
    <col min="18" max="18" width="5.5703125" bestFit="1" customWidth="1"/>
    <col min="19" max="19" width="7.7109375" customWidth="1"/>
    <col min="20" max="22" width="8" customWidth="1"/>
    <col min="23" max="23" width="5" customWidth="1"/>
    <col min="29" max="29" width="11.85546875" bestFit="1" customWidth="1"/>
  </cols>
  <sheetData>
    <row r="1" spans="1:32" s="5" customFormat="1" ht="14.45" x14ac:dyDescent="0.3">
      <c r="A1" s="5" t="s">
        <v>84</v>
      </c>
    </row>
    <row r="2" spans="1:32" s="5" customFormat="1" ht="14.45" x14ac:dyDescent="0.3">
      <c r="A2" s="5" t="s">
        <v>85</v>
      </c>
    </row>
    <row r="3" spans="1:32" ht="14.45" x14ac:dyDescent="0.3">
      <c r="B3" t="s">
        <v>4</v>
      </c>
      <c r="C3" t="s">
        <v>5</v>
      </c>
      <c r="G3" t="s">
        <v>7</v>
      </c>
      <c r="M3" t="s">
        <v>8</v>
      </c>
      <c r="S3" s="7" t="s">
        <v>9</v>
      </c>
      <c r="X3" s="45" t="s">
        <v>79</v>
      </c>
      <c r="Y3" s="45"/>
      <c r="Z3" s="45"/>
      <c r="AA3" s="45"/>
    </row>
    <row r="4" spans="1:32" ht="14.45" x14ac:dyDescent="0.3">
      <c r="B4" t="s">
        <v>0</v>
      </c>
      <c r="C4" t="s">
        <v>1</v>
      </c>
      <c r="D4" t="s">
        <v>2</v>
      </c>
      <c r="E4" t="s">
        <v>3</v>
      </c>
      <c r="G4" t="s">
        <v>0</v>
      </c>
      <c r="H4" t="s">
        <v>1</v>
      </c>
      <c r="I4" t="s">
        <v>2</v>
      </c>
      <c r="J4" t="s">
        <v>3</v>
      </c>
      <c r="M4" s="5" t="s">
        <v>0</v>
      </c>
      <c r="N4" s="5" t="s">
        <v>1</v>
      </c>
      <c r="O4" s="5" t="s">
        <v>2</v>
      </c>
      <c r="P4" s="5" t="s">
        <v>3</v>
      </c>
      <c r="S4" s="5" t="s">
        <v>0</v>
      </c>
      <c r="T4" s="5" t="s">
        <v>1</v>
      </c>
      <c r="U4" s="5" t="s">
        <v>2</v>
      </c>
      <c r="V4" s="5" t="s">
        <v>3</v>
      </c>
      <c r="X4" s="5" t="s">
        <v>0</v>
      </c>
      <c r="Y4" s="5" t="s">
        <v>1</v>
      </c>
      <c r="Z4" s="5" t="s">
        <v>2</v>
      </c>
      <c r="AA4" s="5" t="s">
        <v>3</v>
      </c>
    </row>
    <row r="5" spans="1:32" ht="14.45" x14ac:dyDescent="0.3">
      <c r="A5" s="5">
        <v>2006</v>
      </c>
      <c r="B5" s="1">
        <v>46041</v>
      </c>
      <c r="C5" s="1">
        <v>20725</v>
      </c>
      <c r="D5" s="1">
        <v>12586</v>
      </c>
      <c r="E5" s="3">
        <f>+'[1]SCH 3 '!AD14</f>
        <v>113137.277</v>
      </c>
      <c r="G5" s="1">
        <v>9016</v>
      </c>
      <c r="H5" s="1">
        <f>+TECO!N6-TECO!S6-TECO!U6</f>
        <v>4138</v>
      </c>
      <c r="I5" s="1">
        <v>2483</v>
      </c>
      <c r="J5" s="1">
        <f>'[1]SCH 3 '!C14</f>
        <v>21819</v>
      </c>
      <c r="K5" s="1"/>
      <c r="L5" s="6">
        <v>2006</v>
      </c>
      <c r="M5" s="2">
        <f t="shared" ref="M5:P6" si="0">(B5*1000)/(G5*8760)</f>
        <v>0.58294386843480694</v>
      </c>
      <c r="N5" s="2">
        <f t="shared" si="0"/>
        <v>0.571741802781217</v>
      </c>
      <c r="O5" s="2">
        <f t="shared" si="0"/>
        <v>0.57863793430027377</v>
      </c>
      <c r="P5" s="2">
        <f t="shared" si="0"/>
        <v>0.59192512348899551</v>
      </c>
      <c r="R5" s="6">
        <v>2006</v>
      </c>
      <c r="S5" s="2">
        <v>0.52100000000000002</v>
      </c>
      <c r="T5" s="2">
        <v>0.57200000000000006</v>
      </c>
      <c r="U5" s="2">
        <v>0.57899999999999996</v>
      </c>
      <c r="V5" s="2">
        <f>'[1]SCH 3 '!AH14</f>
        <v>0.59192512348899551</v>
      </c>
      <c r="X5" s="9">
        <f t="shared" ref="X5:Y5" si="1">ROUND(S5,3)-ROUND(M5,3)</f>
        <v>-6.1999999999999944E-2</v>
      </c>
      <c r="Y5" s="9">
        <f t="shared" si="1"/>
        <v>0</v>
      </c>
      <c r="Z5" s="9">
        <f>ROUND(U5,3)-ROUND(O5,3)</f>
        <v>0</v>
      </c>
      <c r="AA5" s="9">
        <f>ROUND(V5,3)-ROUND(P5,3)</f>
        <v>0</v>
      </c>
    </row>
    <row r="6" spans="1:32" ht="14.45" x14ac:dyDescent="0.3">
      <c r="A6" s="5">
        <v>2007</v>
      </c>
      <c r="B6" s="1">
        <v>47633</v>
      </c>
      <c r="C6" s="1">
        <v>21278</v>
      </c>
      <c r="D6" s="1">
        <v>12671</v>
      </c>
      <c r="E6" s="3">
        <f>+'[1]SCH 3 '!AD15</f>
        <v>114314.587</v>
      </c>
      <c r="G6" s="1">
        <v>9735</v>
      </c>
      <c r="H6" s="1">
        <f>+TECO!N7-TECO!S7-TECO!U7</f>
        <v>4295</v>
      </c>
      <c r="I6" s="1">
        <v>2634</v>
      </c>
      <c r="J6" s="1">
        <f>'[1]SCH 3 '!C15</f>
        <v>21962</v>
      </c>
      <c r="K6" s="1"/>
      <c r="L6" s="6">
        <v>2007</v>
      </c>
      <c r="M6" s="2">
        <f t="shared" si="0"/>
        <v>0.55855748100930358</v>
      </c>
      <c r="N6" s="2">
        <f t="shared" si="0"/>
        <v>0.56554026397903479</v>
      </c>
      <c r="O6" s="2">
        <f t="shared" si="0"/>
        <v>0.54915003311109034</v>
      </c>
      <c r="P6" s="2">
        <f t="shared" si="0"/>
        <v>0.59419043748874667</v>
      </c>
      <c r="R6" s="6">
        <v>2007</v>
      </c>
      <c r="S6" s="2">
        <v>0.52300000000000002</v>
      </c>
      <c r="T6" s="2">
        <v>0.56600000000000006</v>
      </c>
      <c r="U6" s="2">
        <v>0.54900000000000004</v>
      </c>
      <c r="V6" s="2">
        <f>'[1]SCH 3 '!AH15</f>
        <v>0.59419043748874667</v>
      </c>
      <c r="X6" s="9">
        <f t="shared" ref="X6:X24" si="2">ROUND(S6,3)-ROUND(M6,3)</f>
        <v>-3.6000000000000032E-2</v>
      </c>
      <c r="Y6" s="9">
        <f t="shared" ref="Y6:Y24" si="3">ROUND(T6,3)-ROUND(N6,3)</f>
        <v>0</v>
      </c>
      <c r="Z6" s="9">
        <f t="shared" ref="Z6:AA24" si="4">ROUND(U6,3)-ROUND(O6,3)</f>
        <v>0</v>
      </c>
      <c r="AA6" s="9">
        <f t="shared" si="4"/>
        <v>0</v>
      </c>
    </row>
    <row r="7" spans="1:32" ht="14.45" x14ac:dyDescent="0.3">
      <c r="A7" s="5">
        <v>2008</v>
      </c>
      <c r="B7" s="1">
        <v>47658</v>
      </c>
      <c r="C7" s="1">
        <v>20650</v>
      </c>
      <c r="D7" s="1">
        <v>12617</v>
      </c>
      <c r="E7" s="3">
        <f>+'[1]SCH 3 '!AD16</f>
        <v>111003.53</v>
      </c>
      <c r="G7" s="1">
        <v>9186</v>
      </c>
      <c r="H7" s="1">
        <f>+TECO!N8-TECO!S8-TECO!U8</f>
        <v>4137</v>
      </c>
      <c r="I7" s="1">
        <v>2541</v>
      </c>
      <c r="J7" s="1">
        <f>'[1]SCH 3 '!C16</f>
        <v>21060</v>
      </c>
      <c r="K7" s="1"/>
      <c r="L7" s="6">
        <v>2008</v>
      </c>
      <c r="M7" s="2">
        <f>(B7*1000)/(G7*8784)</f>
        <v>0.59063209754925228</v>
      </c>
      <c r="N7" s="2">
        <f>(C7*1000)/(H7*8784)</f>
        <v>0.56825361601928137</v>
      </c>
      <c r="O7" s="2">
        <f>(D7*1000)/(I7*8784)</f>
        <v>0.56527413084790135</v>
      </c>
      <c r="P7" s="2">
        <f>(E7*1000)/(J7*8784)</f>
        <v>0.60004814287221697</v>
      </c>
      <c r="R7" s="6">
        <v>2008</v>
      </c>
      <c r="S7" s="2">
        <v>0.53100000000000003</v>
      </c>
      <c r="T7" s="2">
        <v>0.56799999999999995</v>
      </c>
      <c r="U7" s="2">
        <v>0.56499999999999995</v>
      </c>
      <c r="V7" s="2">
        <f>'[1]SCH 3 '!AH16</f>
        <v>0.60004814287221697</v>
      </c>
      <c r="X7" s="9">
        <f t="shared" si="2"/>
        <v>-5.9999999999999942E-2</v>
      </c>
      <c r="Y7" s="9">
        <f t="shared" si="3"/>
        <v>0</v>
      </c>
      <c r="Z7" s="9">
        <f t="shared" si="4"/>
        <v>0</v>
      </c>
      <c r="AA7" s="9">
        <f t="shared" si="4"/>
        <v>0</v>
      </c>
    </row>
    <row r="8" spans="1:32" ht="14.45" x14ac:dyDescent="0.3">
      <c r="A8" s="5">
        <v>2009</v>
      </c>
      <c r="B8" s="1">
        <v>44124</v>
      </c>
      <c r="C8" s="1">
        <v>19943</v>
      </c>
      <c r="D8" s="1">
        <v>11975</v>
      </c>
      <c r="E8" s="3">
        <f>+'[1]SCH 3 '!AD17</f>
        <v>111303.042</v>
      </c>
      <c r="G8" s="1">
        <v>9624</v>
      </c>
      <c r="H8" s="1">
        <f>+TECO!Y9-TECO!AD9-TECO!AF9</f>
        <v>4182</v>
      </c>
      <c r="I8" s="1">
        <v>2546</v>
      </c>
      <c r="J8" s="1">
        <f>'[1]SCH 3 '!C17</f>
        <v>22351</v>
      </c>
      <c r="K8" s="1"/>
      <c r="L8" s="6">
        <v>2009</v>
      </c>
      <c r="M8" s="2">
        <f t="shared" ref="M8:P10" si="5">(B8*1000)/(G8*8760)</f>
        <v>0.52337762898689355</v>
      </c>
      <c r="N8" s="2">
        <f t="shared" si="5"/>
        <v>0.54438024235198035</v>
      </c>
      <c r="O8" s="2">
        <f t="shared" si="5"/>
        <v>0.53692424682643025</v>
      </c>
      <c r="P8" s="2">
        <f t="shared" si="5"/>
        <v>0.56846793039813737</v>
      </c>
      <c r="R8" s="6">
        <v>2009</v>
      </c>
      <c r="S8" s="2">
        <v>0.44500000000000001</v>
      </c>
      <c r="T8" s="2">
        <v>0.54400000000000004</v>
      </c>
      <c r="U8" s="2">
        <v>0.53700000000000003</v>
      </c>
      <c r="V8" s="2">
        <f>'[1]SCH 3 '!AH17</f>
        <v>0.56846793039813737</v>
      </c>
      <c r="X8" s="9">
        <f t="shared" si="2"/>
        <v>-7.8000000000000014E-2</v>
      </c>
      <c r="Y8" s="9">
        <f t="shared" si="3"/>
        <v>0</v>
      </c>
      <c r="Z8" s="9">
        <f t="shared" si="4"/>
        <v>0</v>
      </c>
      <c r="AA8" s="9">
        <f t="shared" si="4"/>
        <v>0</v>
      </c>
    </row>
    <row r="9" spans="1:32" ht="14.45" x14ac:dyDescent="0.3">
      <c r="A9" s="5">
        <v>2010</v>
      </c>
      <c r="B9" s="1">
        <v>46160</v>
      </c>
      <c r="C9" s="1">
        <v>20667</v>
      </c>
      <c r="D9" s="1">
        <v>12518</v>
      </c>
      <c r="E9" s="3">
        <f>+'[1]SCH 3 '!AD18</f>
        <v>114474.633</v>
      </c>
      <c r="G9" s="1">
        <v>8929</v>
      </c>
      <c r="H9" s="1">
        <f>+TECO!Y10-TECO!AD10-TECO!AF10</f>
        <v>4669</v>
      </c>
      <c r="I9" s="37">
        <v>2553</v>
      </c>
      <c r="J9" s="1">
        <f>'[1]SCH 3 '!C18</f>
        <v>22256</v>
      </c>
      <c r="K9" s="1"/>
      <c r="L9" s="6">
        <v>2010</v>
      </c>
      <c r="M9" s="2">
        <f t="shared" si="5"/>
        <v>0.59014518901266255</v>
      </c>
      <c r="N9" s="2">
        <f t="shared" si="5"/>
        <v>0.50530018747964567</v>
      </c>
      <c r="O9" s="2">
        <f t="shared" si="5"/>
        <v>0.55973185812375803</v>
      </c>
      <c r="P9" s="2">
        <f t="shared" si="5"/>
        <v>0.58716213512994497</v>
      </c>
      <c r="R9" s="6">
        <v>2010</v>
      </c>
      <c r="S9" s="2">
        <v>0.45299999999999996</v>
      </c>
      <c r="T9" s="2">
        <v>0.505</v>
      </c>
      <c r="U9" s="2">
        <v>0.56000000000000005</v>
      </c>
      <c r="V9" s="2">
        <f>'[1]SCH 3 '!AH18</f>
        <v>0.58716213512994497</v>
      </c>
      <c r="X9" s="9">
        <f t="shared" si="2"/>
        <v>-0.13699999999999996</v>
      </c>
      <c r="Y9" s="9">
        <f t="shared" si="3"/>
        <v>0</v>
      </c>
      <c r="Z9" s="9">
        <f t="shared" si="4"/>
        <v>0</v>
      </c>
      <c r="AA9" s="9">
        <f t="shared" si="4"/>
        <v>0</v>
      </c>
    </row>
    <row r="10" spans="1:32" ht="14.45" x14ac:dyDescent="0.3">
      <c r="A10" s="5">
        <v>2011</v>
      </c>
      <c r="B10" s="1">
        <v>42490</v>
      </c>
      <c r="C10" s="1">
        <v>19298</v>
      </c>
      <c r="D10" s="1">
        <v>12086</v>
      </c>
      <c r="E10" s="3">
        <f>+'[1]SCH 3 '!AD19</f>
        <v>112453.554</v>
      </c>
      <c r="G10" s="1">
        <v>8636</v>
      </c>
      <c r="H10" s="1">
        <f>+TECO!Y11-TECO!AD11-TECO!AF11</f>
        <v>4157</v>
      </c>
      <c r="I10" s="1">
        <v>2535</v>
      </c>
      <c r="J10" s="1">
        <f>'[1]SCH 3 '!C19</f>
        <v>21619</v>
      </c>
      <c r="K10" s="1"/>
      <c r="L10" s="6">
        <v>2011</v>
      </c>
      <c r="M10" s="2">
        <f t="shared" si="5"/>
        <v>0.56165546792549403</v>
      </c>
      <c r="N10" s="2">
        <f t="shared" si="5"/>
        <v>0.52994179372857353</v>
      </c>
      <c r="O10" s="2">
        <f t="shared" si="5"/>
        <v>0.54425260958453792</v>
      </c>
      <c r="P10" s="2">
        <f t="shared" si="5"/>
        <v>0.59379081819835033</v>
      </c>
      <c r="R10" s="6">
        <v>2011</v>
      </c>
      <c r="S10" s="2">
        <v>0.46700000000000003</v>
      </c>
      <c r="T10" s="2">
        <v>0.53</v>
      </c>
      <c r="U10" s="2">
        <v>0.54400000000000004</v>
      </c>
      <c r="V10" s="2">
        <f>'[1]SCH 3 '!AH19</f>
        <v>0.59379081819835033</v>
      </c>
      <c r="X10" s="9">
        <f t="shared" si="2"/>
        <v>-9.5000000000000029E-2</v>
      </c>
      <c r="Y10" s="9">
        <f t="shared" si="3"/>
        <v>0</v>
      </c>
      <c r="Z10" s="9">
        <f t="shared" si="4"/>
        <v>0</v>
      </c>
      <c r="AA10" s="9">
        <f t="shared" si="4"/>
        <v>0</v>
      </c>
    </row>
    <row r="11" spans="1:32" ht="14.45" x14ac:dyDescent="0.3">
      <c r="A11" s="5">
        <v>2012</v>
      </c>
      <c r="B11" s="1">
        <v>41214</v>
      </c>
      <c r="C11" s="1">
        <v>19320</v>
      </c>
      <c r="D11" s="1">
        <v>11598</v>
      </c>
      <c r="E11" s="3">
        <f>+'[1]SCH 3 '!AD20</f>
        <v>110865.505</v>
      </c>
      <c r="G11" s="1">
        <v>8337</v>
      </c>
      <c r="H11" s="1">
        <f>+TECO!N12-TECO!S12-TECO!U12</f>
        <v>3907</v>
      </c>
      <c r="I11" s="1">
        <v>2351</v>
      </c>
      <c r="J11" s="1">
        <f>'[1]SCH 3 '!C20</f>
        <v>21440</v>
      </c>
      <c r="K11" s="1"/>
      <c r="L11" s="6">
        <v>2012</v>
      </c>
      <c r="M11" s="2">
        <f>(B11*1000)/(G11*8784)</f>
        <v>0.56278516141422363</v>
      </c>
      <c r="N11" s="2">
        <f t="shared" ref="N11" si="6">(C11*1000)/(H11*8784)</f>
        <v>0.56295202250129728</v>
      </c>
      <c r="O11" s="2">
        <f t="shared" ref="O11" si="7">(D11*1000)/(I11*8784)</f>
        <v>0.56161428807181224</v>
      </c>
      <c r="P11" s="2">
        <f t="shared" ref="P11" si="8">(E11*1000)/(J11*8784)</f>
        <v>0.58868006811060813</v>
      </c>
      <c r="R11" s="6">
        <v>2012</v>
      </c>
      <c r="S11" s="2">
        <v>0.52</v>
      </c>
      <c r="T11" s="2">
        <v>0.56299999999999994</v>
      </c>
      <c r="U11" s="2">
        <v>0.56200000000000006</v>
      </c>
      <c r="V11" s="2">
        <f>'[1]SCH 3 '!AH20</f>
        <v>0.58868006811060813</v>
      </c>
      <c r="X11" s="9">
        <f t="shared" si="2"/>
        <v>-4.2999999999999927E-2</v>
      </c>
      <c r="Y11" s="9">
        <f t="shared" si="3"/>
        <v>0</v>
      </c>
      <c r="Z11" s="9">
        <f t="shared" si="4"/>
        <v>0</v>
      </c>
      <c r="AA11" s="9">
        <f t="shared" si="4"/>
        <v>0</v>
      </c>
    </row>
    <row r="12" spans="1:32" ht="14.45" x14ac:dyDescent="0.3">
      <c r="A12" s="5">
        <v>2013</v>
      </c>
      <c r="B12" s="1">
        <v>40772</v>
      </c>
      <c r="C12" s="1">
        <v>19177</v>
      </c>
      <c r="D12" s="1">
        <v>11552</v>
      </c>
      <c r="E12" s="3">
        <f>+'[1]SCH 3 '!AD21</f>
        <v>111655.211</v>
      </c>
      <c r="G12" s="1">
        <v>8017</v>
      </c>
      <c r="H12" s="1">
        <f>+TECO!N13-TECO!S13-TECO!U13</f>
        <v>3873</v>
      </c>
      <c r="I12" s="1">
        <v>2362</v>
      </c>
      <c r="J12" s="1">
        <f>'[1]SCH 3 '!C21</f>
        <v>21576</v>
      </c>
      <c r="K12" s="1"/>
      <c r="L12" s="6">
        <v>2013</v>
      </c>
      <c r="M12" s="2">
        <f t="shared" ref="M12:P14" si="9">(B12*1000)/(G12*8760)</f>
        <v>0.58055855052306082</v>
      </c>
      <c r="N12" s="2">
        <f t="shared" si="9"/>
        <v>0.56523502482353538</v>
      </c>
      <c r="O12" s="2">
        <f t="shared" si="9"/>
        <v>0.55830713852125935</v>
      </c>
      <c r="P12" s="2">
        <f t="shared" si="9"/>
        <v>0.590750308350391</v>
      </c>
      <c r="R12" s="6">
        <v>2013</v>
      </c>
      <c r="S12" s="2">
        <v>0.53</v>
      </c>
      <c r="T12" s="2">
        <v>0.56499999999999995</v>
      </c>
      <c r="U12" s="2">
        <v>0.55800000000000005</v>
      </c>
      <c r="V12" s="2">
        <f>'[1]SCH 3 '!AH21</f>
        <v>0.590750308350391</v>
      </c>
      <c r="X12" s="9">
        <f t="shared" si="2"/>
        <v>-5.0999999999999934E-2</v>
      </c>
      <c r="Y12" s="9">
        <f t="shared" si="3"/>
        <v>0</v>
      </c>
      <c r="Z12" s="9">
        <f t="shared" si="4"/>
        <v>0</v>
      </c>
      <c r="AA12" s="9">
        <f t="shared" si="4"/>
        <v>0</v>
      </c>
    </row>
    <row r="13" spans="1:32" ht="14.45" x14ac:dyDescent="0.3">
      <c r="A13" s="5">
        <v>2014</v>
      </c>
      <c r="B13" s="1">
        <f>'[2]Comparison April update'!G3</f>
        <v>40975</v>
      </c>
      <c r="C13" s="1">
        <f>'[2]Comparison April update'!F3</f>
        <v>19315</v>
      </c>
      <c r="D13" s="1">
        <v>12052</v>
      </c>
      <c r="E13" s="3">
        <f>+'[1]SCH 3 '!AD22</f>
        <v>115967.546</v>
      </c>
      <c r="G13" s="1">
        <v>8523</v>
      </c>
      <c r="H13" s="1">
        <f>+TECO!N14-TECO!S14-TECO!U14</f>
        <v>4055</v>
      </c>
      <c r="I13" s="37">
        <v>2694</v>
      </c>
      <c r="J13" s="1">
        <f>'[1]SCH 3 '!C22</f>
        <v>22935</v>
      </c>
      <c r="K13" s="1"/>
      <c r="L13" s="6">
        <v>2014</v>
      </c>
      <c r="M13" s="2">
        <f t="shared" si="9"/>
        <v>0.5488104441540671</v>
      </c>
      <c r="N13" s="2">
        <f t="shared" si="9"/>
        <v>0.54375059822418914</v>
      </c>
      <c r="O13" s="2">
        <f t="shared" si="9"/>
        <v>0.51069008417148887</v>
      </c>
      <c r="P13" s="2">
        <f t="shared" si="9"/>
        <v>0.57720969426202495</v>
      </c>
      <c r="R13" s="6">
        <v>2014</v>
      </c>
      <c r="S13" s="2">
        <v>0.50700000000000001</v>
      </c>
      <c r="T13" s="2">
        <v>0.54400000000000004</v>
      </c>
      <c r="U13" s="2">
        <v>0.51100000000000001</v>
      </c>
      <c r="V13" s="2">
        <f>'[1]SCH 3 '!AH22</f>
        <v>0.57720969426202495</v>
      </c>
      <c r="X13" s="9">
        <f t="shared" si="2"/>
        <v>-4.2000000000000037E-2</v>
      </c>
      <c r="Y13" s="9">
        <f t="shared" si="3"/>
        <v>0</v>
      </c>
      <c r="Z13" s="9">
        <f t="shared" si="4"/>
        <v>0</v>
      </c>
      <c r="AA13" s="9">
        <f t="shared" si="4"/>
        <v>0</v>
      </c>
    </row>
    <row r="14" spans="1:32" ht="14.45" x14ac:dyDescent="0.3">
      <c r="A14" s="41">
        <v>2015</v>
      </c>
      <c r="B14" s="15">
        <f>'[2]Comparison April update'!G4</f>
        <v>42280</v>
      </c>
      <c r="C14" s="15">
        <f>'[2]Comparison April update'!F4</f>
        <v>20105</v>
      </c>
      <c r="D14" s="15">
        <v>11996</v>
      </c>
      <c r="E14" s="40">
        <f>+'[1]SCH 3 '!AD23</f>
        <v>122756.08500000001</v>
      </c>
      <c r="F14" s="14"/>
      <c r="G14" s="15">
        <v>8438</v>
      </c>
      <c r="H14" s="15">
        <f>+TECO!N15-TECO!S15-TECO!U15</f>
        <v>4015</v>
      </c>
      <c r="I14" s="15">
        <v>2495</v>
      </c>
      <c r="J14" s="15">
        <f>'[1]SCH 3 '!C23</f>
        <v>22959</v>
      </c>
      <c r="K14" s="15"/>
      <c r="L14" s="38">
        <v>2015</v>
      </c>
      <c r="M14" s="16">
        <f t="shared" si="9"/>
        <v>0.57199383956682159</v>
      </c>
      <c r="N14" s="16">
        <f t="shared" si="9"/>
        <v>0.57162922146971684</v>
      </c>
      <c r="O14" s="16">
        <f t="shared" si="9"/>
        <v>0.54886027763289136</v>
      </c>
      <c r="P14" s="16">
        <f t="shared" si="9"/>
        <v>0.61035984634909046</v>
      </c>
      <c r="Q14" s="14"/>
      <c r="R14" s="38">
        <v>2015</v>
      </c>
      <c r="S14" s="16">
        <v>0.50900000000000001</v>
      </c>
      <c r="T14" s="16">
        <v>0.57200000000000006</v>
      </c>
      <c r="U14" s="16">
        <v>0.54900000000000004</v>
      </c>
      <c r="V14" s="16">
        <f>'[1]SCH 3 '!AH23</f>
        <v>0.61035984634909046</v>
      </c>
      <c r="W14" s="14"/>
      <c r="X14" s="39">
        <f t="shared" si="2"/>
        <v>-6.2999999999999945E-2</v>
      </c>
      <c r="Y14" s="39">
        <f t="shared" si="3"/>
        <v>0</v>
      </c>
      <c r="Z14" s="39">
        <f t="shared" si="4"/>
        <v>0</v>
      </c>
      <c r="AA14" s="39">
        <f t="shared" si="4"/>
        <v>0</v>
      </c>
    </row>
    <row r="15" spans="1:32" ht="14.45" x14ac:dyDescent="0.3">
      <c r="A15" s="5">
        <v>2016</v>
      </c>
      <c r="B15" s="1">
        <f>'[2]Comparison April update'!G5</f>
        <v>41277</v>
      </c>
      <c r="C15" s="1">
        <f>'[2]Comparison April update'!F5</f>
        <v>19806</v>
      </c>
      <c r="D15" s="1">
        <v>11854</v>
      </c>
      <c r="E15" s="3">
        <f>+'[1]SCH 3 '!AA50</f>
        <v>119720.98998673582</v>
      </c>
      <c r="G15" s="1">
        <f>+Duke!AJ16</f>
        <v>9437</v>
      </c>
      <c r="H15" s="1">
        <f>+TECO!Y16-TECO!AD16-TECO!AF16</f>
        <v>4168</v>
      </c>
      <c r="I15" s="1">
        <v>2450</v>
      </c>
      <c r="J15" s="1">
        <f>+'[1]SCH 3 '!C50</f>
        <v>24169.686546596025</v>
      </c>
      <c r="K15" s="1"/>
      <c r="L15" s="6">
        <v>2016</v>
      </c>
      <c r="M15" s="2">
        <f>(B15*1000)/(G15*8784)</f>
        <v>0.49794553585439477</v>
      </c>
      <c r="N15" s="2">
        <f t="shared" ref="N15" si="10">(C15*1000)/(H15*8784)</f>
        <v>0.54097442916627336</v>
      </c>
      <c r="O15" s="2">
        <f t="shared" ref="O15" si="11">(D15*1000)/(I15*8784)</f>
        <v>0.55081595479721945</v>
      </c>
      <c r="P15" s="2">
        <f t="shared" ref="P15" si="12">(E15*1000)/(J15*8784)</f>
        <v>0.56390630985184831</v>
      </c>
      <c r="R15" s="6">
        <v>2016</v>
      </c>
      <c r="S15" s="2">
        <v>0.498</v>
      </c>
      <c r="T15" s="2">
        <v>0.54100000000000004</v>
      </c>
      <c r="U15" s="2">
        <v>0.55100000000000005</v>
      </c>
      <c r="V15" s="2">
        <f>'[1]SCH 3 '!AH50</f>
        <v>0.56390630985184831</v>
      </c>
      <c r="X15" s="9">
        <f t="shared" si="2"/>
        <v>0</v>
      </c>
      <c r="Y15" s="9">
        <f t="shared" si="3"/>
        <v>0</v>
      </c>
      <c r="Z15" s="9">
        <f t="shared" si="4"/>
        <v>0</v>
      </c>
      <c r="AA15" s="9">
        <f t="shared" si="4"/>
        <v>0</v>
      </c>
      <c r="AF15" s="4"/>
    </row>
    <row r="16" spans="1:32" ht="14.45" x14ac:dyDescent="0.3">
      <c r="A16" s="5">
        <v>2017</v>
      </c>
      <c r="B16" s="1">
        <f>'[2]Comparison April update'!G6</f>
        <v>41932</v>
      </c>
      <c r="C16" s="1">
        <f>'[2]Comparison April update'!F6</f>
        <v>20051</v>
      </c>
      <c r="D16" s="1">
        <v>11985</v>
      </c>
      <c r="E16" s="3">
        <f>+'[1]SCH 3 '!AA51</f>
        <v>118975.63358792059</v>
      </c>
      <c r="G16" s="1">
        <f>+Duke!AJ17</f>
        <v>9395</v>
      </c>
      <c r="H16" s="1">
        <f>+TECO!Y17-TECO!AD17-TECO!AF17</f>
        <v>4233</v>
      </c>
      <c r="I16" s="1">
        <v>2491</v>
      </c>
      <c r="J16" s="1">
        <f>+'[1]SCH 3 '!C51</f>
        <v>24336.040599945238</v>
      </c>
      <c r="K16" s="1"/>
      <c r="L16" s="6">
        <v>2017</v>
      </c>
      <c r="M16" s="2">
        <f t="shared" ref="M16:P18" si="13">(B16*1000)/(G16*8760)</f>
        <v>0.50950058444572432</v>
      </c>
      <c r="N16" s="2">
        <f t="shared" si="13"/>
        <v>0.54073398077941637</v>
      </c>
      <c r="O16" s="2">
        <f t="shared" si="13"/>
        <v>0.54923752907728096</v>
      </c>
      <c r="P16" s="2">
        <f t="shared" si="13"/>
        <v>0.55808968908380963</v>
      </c>
      <c r="R16" s="6">
        <v>2017</v>
      </c>
      <c r="S16" s="2">
        <v>0.51</v>
      </c>
      <c r="T16" s="2">
        <v>0.54100000000000004</v>
      </c>
      <c r="U16" s="2">
        <v>0.54900000000000004</v>
      </c>
      <c r="V16" s="2">
        <f>'[1]SCH 3 '!AH51</f>
        <v>0.55808968908380963</v>
      </c>
      <c r="X16" s="9">
        <f t="shared" si="2"/>
        <v>0</v>
      </c>
      <c r="Y16" s="9">
        <f t="shared" si="3"/>
        <v>0</v>
      </c>
      <c r="Z16" s="9">
        <f t="shared" si="4"/>
        <v>0</v>
      </c>
      <c r="AA16" s="9">
        <f t="shared" si="4"/>
        <v>0</v>
      </c>
      <c r="AF16" s="4"/>
    </row>
    <row r="17" spans="1:32" ht="14.45" x14ac:dyDescent="0.3">
      <c r="A17" s="5">
        <v>2018</v>
      </c>
      <c r="B17" s="1">
        <f>'[2]Comparison April update'!G7</f>
        <v>42417</v>
      </c>
      <c r="C17" s="1">
        <f>'[2]Comparison April update'!F7</f>
        <v>20279</v>
      </c>
      <c r="D17" s="1">
        <v>12125</v>
      </c>
      <c r="E17" s="3">
        <f>+'[1]SCH 3 '!AA52</f>
        <v>119756.19458142036</v>
      </c>
      <c r="G17" s="1">
        <f>+Duke!AJ18</f>
        <v>9480</v>
      </c>
      <c r="H17" s="1">
        <f>+TECO!Y18-TECO!AD18-TECO!AF18</f>
        <v>4294</v>
      </c>
      <c r="I17" s="1">
        <v>2520</v>
      </c>
      <c r="J17" s="1">
        <f>+'[1]SCH 3 '!C52</f>
        <v>24606.278955403854</v>
      </c>
      <c r="K17" s="1"/>
      <c r="L17" s="6">
        <v>2018</v>
      </c>
      <c r="M17" s="2">
        <f t="shared" si="13"/>
        <v>0.51077249869949715</v>
      </c>
      <c r="N17" s="2">
        <f t="shared" si="13"/>
        <v>0.53911372564032212</v>
      </c>
      <c r="O17" s="2">
        <f t="shared" si="13"/>
        <v>0.54925889686163654</v>
      </c>
      <c r="P17" s="2">
        <f t="shared" si="13"/>
        <v>0.55558170713156074</v>
      </c>
      <c r="R17" s="6">
        <v>2018</v>
      </c>
      <c r="S17" s="2">
        <v>0.51100000000000001</v>
      </c>
      <c r="T17" s="2">
        <v>0.53900000000000003</v>
      </c>
      <c r="U17" s="2">
        <v>0.54900000000000004</v>
      </c>
      <c r="V17" s="2">
        <f>'[1]SCH 3 '!AH52</f>
        <v>0.55558170713156074</v>
      </c>
      <c r="X17" s="9">
        <f t="shared" si="2"/>
        <v>0</v>
      </c>
      <c r="Y17" s="9">
        <f t="shared" si="3"/>
        <v>0</v>
      </c>
      <c r="Z17" s="9">
        <f t="shared" si="4"/>
        <v>0</v>
      </c>
      <c r="AA17" s="9">
        <f t="shared" si="4"/>
        <v>0</v>
      </c>
      <c r="AF17" s="4"/>
    </row>
    <row r="18" spans="1:32" ht="14.45" x14ac:dyDescent="0.3">
      <c r="A18" s="5">
        <v>2019</v>
      </c>
      <c r="B18" s="1">
        <f>'[2]Comparison April update'!G8</f>
        <v>43044</v>
      </c>
      <c r="C18" s="1">
        <f>'[2]Comparison April update'!F8</f>
        <v>20455</v>
      </c>
      <c r="D18" s="1">
        <v>12263</v>
      </c>
      <c r="E18" s="3">
        <f>+'[1]SCH 3 '!AA53</f>
        <v>120521.81431110673</v>
      </c>
      <c r="G18" s="1">
        <f>+Duke!AJ19</f>
        <v>9596</v>
      </c>
      <c r="H18" s="1">
        <f>+TECO!Y19-TECO!AD19-TECO!AF19</f>
        <v>4346</v>
      </c>
      <c r="I18" s="1">
        <v>2546</v>
      </c>
      <c r="J18" s="1">
        <f>+'[1]SCH 3 '!C53</f>
        <v>24893.09445872483</v>
      </c>
      <c r="K18" s="1"/>
      <c r="L18" s="6">
        <v>2019</v>
      </c>
      <c r="M18" s="2">
        <f t="shared" si="13"/>
        <v>0.51205696437442538</v>
      </c>
      <c r="N18" s="2">
        <f t="shared" si="13"/>
        <v>0.53728616247134298</v>
      </c>
      <c r="O18" s="2">
        <f t="shared" si="13"/>
        <v>0.54983733100897814</v>
      </c>
      <c r="P18" s="2">
        <f t="shared" si="13"/>
        <v>0.55269134994576008</v>
      </c>
      <c r="R18" s="6">
        <v>2019</v>
      </c>
      <c r="S18" s="2">
        <v>0.51200000000000001</v>
      </c>
      <c r="T18" s="2">
        <v>0.53700000000000003</v>
      </c>
      <c r="U18" s="2">
        <v>0.55000000000000004</v>
      </c>
      <c r="V18" s="2">
        <f>'[1]SCH 3 '!AH53</f>
        <v>0.55269134994576008</v>
      </c>
      <c r="X18" s="9">
        <f t="shared" si="2"/>
        <v>0</v>
      </c>
      <c r="Y18" s="9">
        <f t="shared" si="3"/>
        <v>0</v>
      </c>
      <c r="Z18" s="9">
        <f t="shared" si="4"/>
        <v>0</v>
      </c>
      <c r="AA18" s="9">
        <f t="shared" si="4"/>
        <v>0</v>
      </c>
      <c r="AF18" s="4"/>
    </row>
    <row r="19" spans="1:32" ht="14.45" x14ac:dyDescent="0.3">
      <c r="A19" s="5">
        <v>2020</v>
      </c>
      <c r="B19" s="1">
        <f>'[2]Comparison April update'!G9</f>
        <v>43559</v>
      </c>
      <c r="C19" s="1">
        <f>'[2]Comparison April update'!F9</f>
        <v>20657</v>
      </c>
      <c r="D19" s="1">
        <v>12326</v>
      </c>
      <c r="E19" s="3">
        <f>+'[1]SCH 3 '!AA54</f>
        <v>121883.58296117821</v>
      </c>
      <c r="G19" s="1">
        <f>+Duke!AJ20</f>
        <v>9930</v>
      </c>
      <c r="H19" s="1">
        <f>+TECO!Y20-TECO!AD20-TECO!AF20</f>
        <v>4405</v>
      </c>
      <c r="I19" s="1">
        <v>2552</v>
      </c>
      <c r="J19" s="1">
        <f>+'[1]SCH 3 '!C54</f>
        <v>25205.928535800045</v>
      </c>
      <c r="K19" s="1"/>
      <c r="L19" s="6">
        <v>2020</v>
      </c>
      <c r="M19" s="2">
        <f>(B19*1000)/(G19*8784)</f>
        <v>0.49938595670604979</v>
      </c>
      <c r="N19" s="2">
        <f t="shared" ref="N19" si="14">(C19*1000)/(H19*8784)</f>
        <v>0.53386200066574452</v>
      </c>
      <c r="O19" s="2">
        <f t="shared" ref="O19" si="15">(D19*1000)/(I19*8784)</f>
        <v>0.54985625046393838</v>
      </c>
      <c r="P19" s="2">
        <f t="shared" ref="P19" si="16">(E19*1000)/(J19*8784)</f>
        <v>0.55049095149597416</v>
      </c>
      <c r="R19" s="6">
        <v>2020</v>
      </c>
      <c r="S19" s="2">
        <v>0.499</v>
      </c>
      <c r="T19" s="2">
        <v>0.53400000000000003</v>
      </c>
      <c r="U19" s="2">
        <v>0.55000000000000004</v>
      </c>
      <c r="V19" s="2">
        <f>'[1]SCH 3 '!AH54</f>
        <v>0.55049095149597416</v>
      </c>
      <c r="X19" s="9">
        <f t="shared" si="2"/>
        <v>0</v>
      </c>
      <c r="Y19" s="9">
        <f t="shared" si="3"/>
        <v>0</v>
      </c>
      <c r="Z19" s="9">
        <f t="shared" si="4"/>
        <v>0</v>
      </c>
      <c r="AA19" s="9">
        <f t="shared" si="4"/>
        <v>0</v>
      </c>
      <c r="AF19" s="4"/>
    </row>
    <row r="20" spans="1:32" ht="14.45" x14ac:dyDescent="0.3">
      <c r="A20" s="5">
        <v>2021</v>
      </c>
      <c r="B20" s="1">
        <f>'[2]Comparison April update'!G10</f>
        <v>43895</v>
      </c>
      <c r="C20" s="1">
        <f>'[2]Comparison April update'!F10</f>
        <v>20878</v>
      </c>
      <c r="D20" s="1">
        <v>12343</v>
      </c>
      <c r="E20" s="3">
        <f>+'[1]SCH 3 '!AA55</f>
        <v>122136.21702252582</v>
      </c>
      <c r="G20" s="1">
        <f>+Duke!AJ21</f>
        <v>9634</v>
      </c>
      <c r="H20" s="1">
        <f>+TECO!Y21-TECO!AD21-TECO!AF21</f>
        <v>4464</v>
      </c>
      <c r="I20" s="1">
        <v>2554</v>
      </c>
      <c r="J20" s="1">
        <f>+'[1]SCH 3 '!C55</f>
        <v>25316.416253234296</v>
      </c>
      <c r="K20" s="1"/>
      <c r="L20" s="6">
        <v>2021</v>
      </c>
      <c r="M20" s="2">
        <f t="shared" ref="M20:P22" si="17">(B20*1000)/(G20*8760)</f>
        <v>0.52012089981922849</v>
      </c>
      <c r="N20" s="2">
        <f t="shared" si="17"/>
        <v>0.53390083632019114</v>
      </c>
      <c r="O20" s="2">
        <f t="shared" si="17"/>
        <v>0.5516907849804944</v>
      </c>
      <c r="P20" s="2">
        <f t="shared" si="17"/>
        <v>0.55072923387821027</v>
      </c>
      <c r="R20" s="6">
        <v>2021</v>
      </c>
      <c r="S20" s="2">
        <v>0.52</v>
      </c>
      <c r="T20" s="2">
        <v>0.53400000000000003</v>
      </c>
      <c r="U20" s="2">
        <v>0.55200000000000005</v>
      </c>
      <c r="V20" s="2">
        <f>'[1]SCH 3 '!AH55</f>
        <v>0.55072923387821027</v>
      </c>
      <c r="X20" s="9">
        <f t="shared" si="2"/>
        <v>0</v>
      </c>
      <c r="Y20" s="9">
        <f t="shared" si="3"/>
        <v>0</v>
      </c>
      <c r="Z20" s="9">
        <f t="shared" si="4"/>
        <v>0</v>
      </c>
      <c r="AA20" s="9">
        <f t="shared" si="4"/>
        <v>0</v>
      </c>
      <c r="AF20" s="4"/>
    </row>
    <row r="21" spans="1:32" ht="14.45" x14ac:dyDescent="0.3">
      <c r="A21" s="5">
        <v>2022</v>
      </c>
      <c r="B21" s="1">
        <f>'[2]Comparison April update'!G11</f>
        <v>44289</v>
      </c>
      <c r="C21" s="1">
        <f>'[2]Comparison April update'!F11</f>
        <v>21152</v>
      </c>
      <c r="D21" s="1">
        <v>12371</v>
      </c>
      <c r="E21" s="3">
        <f>+'[1]SCH 3 '!AA56</f>
        <v>122378.02637475832</v>
      </c>
      <c r="G21" s="1">
        <f>+Duke!AJ22</f>
        <v>9735</v>
      </c>
      <c r="H21" s="1">
        <f>+TECO!Y22-TECO!AD22-TECO!AF22</f>
        <v>4527</v>
      </c>
      <c r="I21" s="1">
        <v>2554</v>
      </c>
      <c r="J21" s="1">
        <f>+'[1]SCH 3 '!C56</f>
        <v>25540.189209268094</v>
      </c>
      <c r="K21" s="1"/>
      <c r="L21" s="6">
        <v>2022</v>
      </c>
      <c r="M21" s="2">
        <f t="shared" si="17"/>
        <v>0.51934482976971952</v>
      </c>
      <c r="N21" s="2">
        <f t="shared" si="17"/>
        <v>0.53338013522114391</v>
      </c>
      <c r="O21" s="2">
        <f t="shared" si="17"/>
        <v>0.55294229125769234</v>
      </c>
      <c r="P21" s="2">
        <f t="shared" si="17"/>
        <v>0.54698476274203045</v>
      </c>
      <c r="R21" s="6">
        <v>2022</v>
      </c>
      <c r="S21" s="2">
        <v>0.51900000000000002</v>
      </c>
      <c r="T21" s="2">
        <v>0.53400000000000003</v>
      </c>
      <c r="U21" s="2">
        <v>0.55300000000000005</v>
      </c>
      <c r="V21" s="2">
        <f>'[1]SCH 3 '!AH56</f>
        <v>0.54698476274203045</v>
      </c>
      <c r="X21" s="9">
        <f t="shared" si="2"/>
        <v>0</v>
      </c>
      <c r="Y21" s="9">
        <f t="shared" si="3"/>
        <v>1.0000000000000009E-3</v>
      </c>
      <c r="Z21" s="9">
        <f t="shared" si="4"/>
        <v>0</v>
      </c>
      <c r="AA21" s="9">
        <f t="shared" si="4"/>
        <v>0</v>
      </c>
      <c r="AF21" s="4"/>
    </row>
    <row r="22" spans="1:32" ht="14.45" x14ac:dyDescent="0.3">
      <c r="A22" s="5">
        <v>2023</v>
      </c>
      <c r="B22" s="1">
        <f>'[2]Comparison April update'!G12</f>
        <v>44679</v>
      </c>
      <c r="C22" s="1">
        <f>'[2]Comparison April update'!F12</f>
        <v>21232</v>
      </c>
      <c r="D22" s="1">
        <v>12445</v>
      </c>
      <c r="E22" s="3">
        <f>+'[1]SCH 3 '!AA57</f>
        <v>123240.48573569411</v>
      </c>
      <c r="G22" s="1">
        <f>+Duke!AJ23</f>
        <v>9836</v>
      </c>
      <c r="H22" s="1">
        <f>+TECO!Y23-TECO!AD23-TECO!AF23</f>
        <v>4573</v>
      </c>
      <c r="I22" s="1">
        <v>2564</v>
      </c>
      <c r="J22" s="1">
        <f>+'[1]SCH 3 '!C57</f>
        <v>25832.903255827194</v>
      </c>
      <c r="K22" s="1"/>
      <c r="L22" s="6">
        <v>2023</v>
      </c>
      <c r="M22" s="2">
        <f t="shared" si="17"/>
        <v>0.51853827427342669</v>
      </c>
      <c r="N22" s="2">
        <f t="shared" si="17"/>
        <v>0.53001187234582181</v>
      </c>
      <c r="O22" s="2">
        <f t="shared" si="17"/>
        <v>0.55408038239337798</v>
      </c>
      <c r="P22" s="2">
        <f t="shared" si="17"/>
        <v>0.54459804461937911</v>
      </c>
      <c r="R22" s="6">
        <v>2023</v>
      </c>
      <c r="S22" s="2">
        <v>0.51900000000000002</v>
      </c>
      <c r="T22" s="2">
        <v>0.53</v>
      </c>
      <c r="U22" s="2">
        <v>0.55400000000000005</v>
      </c>
      <c r="V22" s="2">
        <f>'[1]SCH 3 '!AH57</f>
        <v>0.54459804461937911</v>
      </c>
      <c r="X22" s="9">
        <f t="shared" si="2"/>
        <v>0</v>
      </c>
      <c r="Y22" s="9">
        <f t="shared" si="3"/>
        <v>0</v>
      </c>
      <c r="Z22" s="9">
        <f t="shared" si="4"/>
        <v>0</v>
      </c>
      <c r="AA22" s="9">
        <f t="shared" si="4"/>
        <v>0</v>
      </c>
      <c r="AF22" s="4"/>
    </row>
    <row r="23" spans="1:32" ht="14.45" x14ac:dyDescent="0.3">
      <c r="A23" s="5">
        <v>2024</v>
      </c>
      <c r="B23" s="1">
        <f>'[2]Comparison April update'!G13</f>
        <v>44982</v>
      </c>
      <c r="C23" s="1">
        <f>'[2]Comparison April update'!F13</f>
        <v>21519</v>
      </c>
      <c r="D23" s="1">
        <v>12544</v>
      </c>
      <c r="E23" s="3">
        <f>+'[1]SCH 3 '!AA58</f>
        <v>124172.39472386542</v>
      </c>
      <c r="G23" s="1">
        <f>+Duke!AJ24</f>
        <v>9964</v>
      </c>
      <c r="H23" s="1">
        <f>+TECO!Y24-TECO!AD24-TECO!AF24</f>
        <v>4636</v>
      </c>
      <c r="I23" s="1">
        <v>2576</v>
      </c>
      <c r="J23" s="1">
        <f>+'[1]SCH 3 '!C58</f>
        <v>26180.278517781553</v>
      </c>
      <c r="K23" s="1"/>
      <c r="L23" s="6">
        <v>2024</v>
      </c>
      <c r="M23" s="2">
        <f>(B23*1000)/(G23*8784)</f>
        <v>0.51394034919151566</v>
      </c>
      <c r="N23" s="2">
        <f t="shared" ref="N23" si="18">(C23*1000)/(H23*8784)</f>
        <v>0.52842861992390278</v>
      </c>
      <c r="O23" s="2">
        <f t="shared" ref="O23" si="19">(D23*1000)/(I23*8784)</f>
        <v>0.55436762493070402</v>
      </c>
      <c r="P23" s="2">
        <f t="shared" ref="P23" si="20">(E23*1000)/(J23*8784)</f>
        <v>0.53995611908934615</v>
      </c>
      <c r="R23" s="6">
        <v>2024</v>
      </c>
      <c r="S23" s="2">
        <v>0.51400000000000001</v>
      </c>
      <c r="T23" s="2">
        <v>0.52800000000000002</v>
      </c>
      <c r="U23" s="2">
        <v>0.55400000000000005</v>
      </c>
      <c r="V23" s="2">
        <f>'[1]SCH 3 '!AH58</f>
        <v>0.53995611908934615</v>
      </c>
      <c r="X23" s="9">
        <f t="shared" si="2"/>
        <v>0</v>
      </c>
      <c r="Y23" s="9">
        <f t="shared" si="3"/>
        <v>0</v>
      </c>
      <c r="Z23" s="9">
        <f t="shared" si="4"/>
        <v>0</v>
      </c>
      <c r="AA23" s="9">
        <f t="shared" si="4"/>
        <v>0</v>
      </c>
      <c r="AF23" s="4"/>
    </row>
    <row r="24" spans="1:32" ht="14.45" x14ac:dyDescent="0.3">
      <c r="A24" s="5">
        <v>2025</v>
      </c>
      <c r="B24" s="1">
        <f>'[2]Comparison April update'!G14</f>
        <v>45227</v>
      </c>
      <c r="C24" s="1">
        <f>'[2]Comparison April update'!F14</f>
        <v>21807</v>
      </c>
      <c r="D24" s="1">
        <v>12583</v>
      </c>
      <c r="E24" s="3">
        <f>+'[1]SCH 3 '!AA59</f>
        <v>125061.83560710953</v>
      </c>
      <c r="G24" s="1">
        <f>+Duke!AJ25</f>
        <v>10062</v>
      </c>
      <c r="H24" s="1">
        <f>+TECO!Y25-TECO!AD25-TECO!AF25</f>
        <v>4701</v>
      </c>
      <c r="I24" s="1">
        <v>2586</v>
      </c>
      <c r="J24" s="1">
        <f>+'[1]SCH 3 '!C59</f>
        <v>26572.456021134902</v>
      </c>
      <c r="K24" s="1"/>
      <c r="L24" s="6">
        <v>2025</v>
      </c>
      <c r="M24" s="2">
        <f>(B24*1000)/(G24*8760)</f>
        <v>0.51310868051868375</v>
      </c>
      <c r="N24" s="2">
        <f>(C24*1000)/(H24*8760)</f>
        <v>0.52954340813525536</v>
      </c>
      <c r="O24" s="2">
        <f>(D24*1000)/(I24*8760)</f>
        <v>0.55545843971931752</v>
      </c>
      <c r="P24" s="2">
        <f>(E24*1000)/(J24*8760)</f>
        <v>0.53726555199105752</v>
      </c>
      <c r="R24" s="6">
        <v>2025</v>
      </c>
      <c r="S24" s="2">
        <v>0.51300000000000001</v>
      </c>
      <c r="T24" s="2">
        <v>0.53</v>
      </c>
      <c r="U24" s="2">
        <v>0.55500000000000005</v>
      </c>
      <c r="V24" s="2">
        <f>'[1]SCH 3 '!AH59</f>
        <v>0.53726555199105752</v>
      </c>
      <c r="X24" s="9">
        <f t="shared" si="2"/>
        <v>0</v>
      </c>
      <c r="Y24" s="9">
        <f t="shared" si="3"/>
        <v>0</v>
      </c>
      <c r="Z24" s="9">
        <f t="shared" si="4"/>
        <v>0</v>
      </c>
      <c r="AA24" s="9">
        <f t="shared" si="4"/>
        <v>0</v>
      </c>
      <c r="AF24" s="4"/>
    </row>
    <row r="25" spans="1:32" ht="14.45" x14ac:dyDescent="0.3">
      <c r="S25" s="5" t="s">
        <v>10</v>
      </c>
    </row>
    <row r="26" spans="1:32" ht="14.45" x14ac:dyDescent="0.3">
      <c r="J26" s="5"/>
      <c r="M26" s="2"/>
      <c r="N26" s="2"/>
      <c r="O26" s="2"/>
      <c r="P26" s="2"/>
      <c r="S26" t="s">
        <v>0</v>
      </c>
      <c r="T26" s="7"/>
    </row>
    <row r="27" spans="1:32" ht="14.45" x14ac:dyDescent="0.3">
      <c r="J27" s="5"/>
      <c r="M27" s="4"/>
      <c r="N27" s="4"/>
      <c r="O27" s="4"/>
      <c r="P27" s="4"/>
      <c r="S27" t="s">
        <v>1</v>
      </c>
      <c r="T27" t="s">
        <v>76</v>
      </c>
    </row>
    <row r="28" spans="1:32" x14ac:dyDescent="0.25">
      <c r="J28" s="5"/>
      <c r="M28" s="4"/>
      <c r="N28" s="4"/>
      <c r="O28" s="4"/>
      <c r="P28" s="4"/>
      <c r="S28" t="s">
        <v>2</v>
      </c>
      <c r="T28" s="7" t="s">
        <v>78</v>
      </c>
    </row>
    <row r="29" spans="1:32" x14ac:dyDescent="0.25">
      <c r="J29" s="5"/>
      <c r="M29" s="4"/>
      <c r="N29" s="4"/>
      <c r="O29" s="4"/>
      <c r="P29" s="4"/>
      <c r="S29" t="s">
        <v>3</v>
      </c>
    </row>
    <row r="30" spans="1:32" x14ac:dyDescent="0.25">
      <c r="I30" s="5"/>
    </row>
    <row r="31" spans="1:32" x14ac:dyDescent="0.25">
      <c r="J31" s="5"/>
      <c r="M31" s="2"/>
      <c r="N31" s="2"/>
      <c r="O31" s="2"/>
      <c r="P31" s="2"/>
    </row>
    <row r="32" spans="1:32" x14ac:dyDescent="0.25">
      <c r="J32" s="5"/>
      <c r="M32" s="4"/>
      <c r="N32" s="4"/>
      <c r="O32" s="4"/>
      <c r="P32" s="4"/>
    </row>
    <row r="33" spans="10:16" x14ac:dyDescent="0.25">
      <c r="J33" s="5"/>
      <c r="M33" s="4"/>
      <c r="N33" s="4"/>
      <c r="O33" s="4"/>
      <c r="P33" s="4"/>
    </row>
    <row r="34" spans="10:16" x14ac:dyDescent="0.25">
      <c r="J34" s="5"/>
      <c r="M34" s="4"/>
      <c r="N34" s="4"/>
      <c r="O34" s="4"/>
      <c r="P34" s="4"/>
    </row>
  </sheetData>
  <mergeCells count="1">
    <mergeCell ref="X3:AA3"/>
  </mergeCells>
  <conditionalFormatting sqref="X5:AA24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8"/>
  <sheetViews>
    <sheetView zoomScale="90" zoomScaleNormal="90" workbookViewId="0">
      <selection sqref="A1:A2"/>
    </sheetView>
  </sheetViews>
  <sheetFormatPr defaultRowHeight="15" x14ac:dyDescent="0.25"/>
  <cols>
    <col min="1" max="1" width="5.5703125" bestFit="1" customWidth="1"/>
    <col min="2" max="2" width="10.42578125" bestFit="1" customWidth="1"/>
    <col min="3" max="3" width="8" bestFit="1" customWidth="1"/>
    <col min="4" max="4" width="8.42578125" bestFit="1" customWidth="1"/>
    <col min="5" max="5" width="7.140625" bestFit="1" customWidth="1"/>
    <col min="6" max="6" width="7.42578125" bestFit="1" customWidth="1"/>
    <col min="7" max="7" width="11.85546875" bestFit="1" customWidth="1"/>
    <col min="8" max="8" width="7.140625" bestFit="1" customWidth="1"/>
    <col min="9" max="9" width="7.42578125" bestFit="1" customWidth="1"/>
    <col min="10" max="10" width="10.42578125" bestFit="1" customWidth="1"/>
    <col min="11" max="11" width="5.85546875" bestFit="1" customWidth="1"/>
    <col min="12" max="12" width="5.85546875" customWidth="1"/>
    <col min="13" max="13" width="5.5703125" bestFit="1" customWidth="1"/>
    <col min="14" max="14" width="6" bestFit="1" customWidth="1"/>
    <col min="15" max="15" width="6.5703125" bestFit="1" customWidth="1"/>
    <col min="16" max="16" width="6" bestFit="1" customWidth="1"/>
    <col min="17" max="17" width="5.28515625" bestFit="1" customWidth="1"/>
    <col min="18" max="18" width="7.140625" bestFit="1" customWidth="1"/>
    <col min="19" max="19" width="8.7109375" bestFit="1" customWidth="1"/>
    <col min="20" max="20" width="8" bestFit="1" customWidth="1"/>
    <col min="21" max="21" width="7.42578125" bestFit="1" customWidth="1"/>
    <col min="22" max="22" width="8.7109375" bestFit="1" customWidth="1"/>
    <col min="24" max="24" width="11.85546875" customWidth="1"/>
  </cols>
  <sheetData>
    <row r="1" spans="1:30" s="44" customFormat="1" ht="14.45" x14ac:dyDescent="0.3">
      <c r="A1" s="44" t="s">
        <v>86</v>
      </c>
    </row>
    <row r="2" spans="1:30" s="44" customFormat="1" ht="14.45" x14ac:dyDescent="0.3">
      <c r="A2" s="44" t="s">
        <v>85</v>
      </c>
    </row>
    <row r="3" spans="1:30" ht="14.45" x14ac:dyDescent="0.3">
      <c r="B3" s="12" t="s">
        <v>28</v>
      </c>
      <c r="H3" s="12" t="s">
        <v>29</v>
      </c>
      <c r="J3" s="12" t="s">
        <v>27</v>
      </c>
      <c r="N3" s="12" t="s">
        <v>30</v>
      </c>
      <c r="V3" s="12" t="s">
        <v>31</v>
      </c>
    </row>
    <row r="4" spans="1:30" ht="14.45" x14ac:dyDescent="0.3">
      <c r="B4" s="10">
        <v>1</v>
      </c>
      <c r="C4" s="11">
        <v>2</v>
      </c>
      <c r="D4" s="10">
        <v>3</v>
      </c>
      <c r="E4" s="11">
        <v>4</v>
      </c>
      <c r="F4" s="10">
        <v>5</v>
      </c>
      <c r="G4" s="11">
        <v>6</v>
      </c>
      <c r="H4" s="20">
        <v>7</v>
      </c>
      <c r="I4" s="11">
        <v>8</v>
      </c>
      <c r="N4" s="10">
        <v>9</v>
      </c>
      <c r="O4" s="11">
        <v>10</v>
      </c>
      <c r="P4" s="10">
        <v>11</v>
      </c>
      <c r="Q4" s="11">
        <v>12</v>
      </c>
      <c r="R4" s="10">
        <v>13</v>
      </c>
      <c r="S4" s="11">
        <v>14</v>
      </c>
      <c r="T4" s="10">
        <v>15</v>
      </c>
      <c r="U4" s="11">
        <v>16</v>
      </c>
      <c r="V4" s="20">
        <v>17</v>
      </c>
      <c r="X4" t="s">
        <v>32</v>
      </c>
      <c r="Z4" s="45" t="s">
        <v>36</v>
      </c>
      <c r="AA4" s="45"/>
    </row>
    <row r="5" spans="1:30" ht="14.45" x14ac:dyDescent="0.3">
      <c r="A5" s="17" t="s">
        <v>4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4</v>
      </c>
      <c r="I5" t="s">
        <v>6</v>
      </c>
      <c r="J5" s="21" t="s">
        <v>25</v>
      </c>
      <c r="K5" t="s">
        <v>26</v>
      </c>
      <c r="M5" s="17" t="s">
        <v>35</v>
      </c>
      <c r="N5" t="s">
        <v>11</v>
      </c>
      <c r="O5" t="s">
        <v>17</v>
      </c>
      <c r="P5" t="s">
        <v>18</v>
      </c>
      <c r="Q5" t="s">
        <v>19</v>
      </c>
      <c r="R5" t="s">
        <v>21</v>
      </c>
      <c r="S5" t="s">
        <v>20</v>
      </c>
      <c r="T5" t="s">
        <v>24</v>
      </c>
      <c r="U5" t="s">
        <v>22</v>
      </c>
      <c r="V5" t="s">
        <v>23</v>
      </c>
      <c r="X5" t="s">
        <v>25</v>
      </c>
      <c r="Z5" s="11" t="s">
        <v>35</v>
      </c>
      <c r="AA5" s="11" t="s">
        <v>4</v>
      </c>
    </row>
    <row r="6" spans="1:30" ht="14.45" x14ac:dyDescent="0.3">
      <c r="A6">
        <v>2006</v>
      </c>
      <c r="B6" s="1">
        <v>13273</v>
      </c>
      <c r="C6">
        <v>365</v>
      </c>
      <c r="D6">
        <v>322</v>
      </c>
      <c r="E6" s="1">
        <v>11429</v>
      </c>
      <c r="F6" s="1">
        <v>415</v>
      </c>
      <c r="G6" s="1">
        <v>743</v>
      </c>
      <c r="H6" s="1">
        <v>12586</v>
      </c>
      <c r="I6" s="2">
        <v>0.57899999999999996</v>
      </c>
      <c r="J6" s="2">
        <f>ROUND((H6*1000)/AD6/V6,3)</f>
        <v>0.57899999999999996</v>
      </c>
      <c r="K6" s="2">
        <f>+J6-I6</f>
        <v>0</v>
      </c>
      <c r="L6" s="2"/>
      <c r="M6">
        <v>2006</v>
      </c>
      <c r="N6" s="1">
        <v>2828</v>
      </c>
      <c r="O6">
        <v>93</v>
      </c>
      <c r="P6" s="1">
        <v>2734</v>
      </c>
      <c r="Q6">
        <v>0</v>
      </c>
      <c r="R6">
        <v>0</v>
      </c>
      <c r="S6">
        <v>171</v>
      </c>
      <c r="T6">
        <v>0</v>
      </c>
      <c r="U6">
        <v>173</v>
      </c>
      <c r="V6" s="1">
        <v>2483</v>
      </c>
      <c r="W6" s="1"/>
      <c r="X6" s="2">
        <f>B6*1000/8760/N6</f>
        <v>0.53577887142921732</v>
      </c>
      <c r="Z6" s="2">
        <f>(S6+U6)/N6</f>
        <v>0.12164073550212164</v>
      </c>
      <c r="AA6" s="2">
        <f>(C6+D6)/B6</f>
        <v>5.1759210427183004E-2</v>
      </c>
      <c r="AD6">
        <v>8760</v>
      </c>
    </row>
    <row r="7" spans="1:30" ht="14.45" x14ac:dyDescent="0.3">
      <c r="A7">
        <v>2007</v>
      </c>
      <c r="B7" s="1">
        <v>13373</v>
      </c>
      <c r="C7">
        <v>375</v>
      </c>
      <c r="D7">
        <v>327</v>
      </c>
      <c r="E7" s="1">
        <v>11521</v>
      </c>
      <c r="F7" s="1">
        <v>417</v>
      </c>
      <c r="G7" s="1">
        <v>733</v>
      </c>
      <c r="H7" s="1">
        <v>12671</v>
      </c>
      <c r="I7" s="2">
        <v>0.54900000000000004</v>
      </c>
      <c r="J7" s="2">
        <f>ROUND((H7*1000)/AD7/V7,3)</f>
        <v>0.54900000000000004</v>
      </c>
      <c r="K7" s="2">
        <f t="shared" ref="K7:K25" si="0">+J7-I7</f>
        <v>0</v>
      </c>
      <c r="L7" s="2"/>
      <c r="M7">
        <v>2007</v>
      </c>
      <c r="N7" s="1">
        <v>2989</v>
      </c>
      <c r="O7">
        <v>99</v>
      </c>
      <c r="P7" s="1">
        <v>2891</v>
      </c>
      <c r="Q7">
        <v>0</v>
      </c>
      <c r="R7">
        <v>0</v>
      </c>
      <c r="S7">
        <v>175</v>
      </c>
      <c r="T7">
        <v>0</v>
      </c>
      <c r="U7">
        <v>180</v>
      </c>
      <c r="V7" s="1">
        <v>2634</v>
      </c>
      <c r="W7" s="1"/>
      <c r="X7" s="2">
        <f>B7*1000/8760/N7</f>
        <v>0.51073876664970952</v>
      </c>
      <c r="Z7" s="2">
        <f t="shared" ref="Z7:Z25" si="1">(S7+U7)/N7</f>
        <v>0.11876881900301103</v>
      </c>
      <c r="AA7" s="2">
        <f t="shared" ref="AA7:AA25" si="2">(C7+D7)/B7</f>
        <v>5.2493830853211694E-2</v>
      </c>
      <c r="AD7">
        <v>8760</v>
      </c>
    </row>
    <row r="8" spans="1:30" ht="14.45" x14ac:dyDescent="0.3">
      <c r="A8">
        <v>2008</v>
      </c>
      <c r="B8" s="1">
        <v>13326</v>
      </c>
      <c r="C8">
        <v>378</v>
      </c>
      <c r="D8">
        <v>331</v>
      </c>
      <c r="E8" s="1">
        <v>11543</v>
      </c>
      <c r="F8" s="1">
        <v>398</v>
      </c>
      <c r="G8" s="1">
        <v>676</v>
      </c>
      <c r="H8" s="1">
        <v>12617</v>
      </c>
      <c r="I8" s="2">
        <v>0.56499999999999995</v>
      </c>
      <c r="J8" s="2">
        <f>ROUND((H8*1000)/AD8/V8,3)</f>
        <v>0.56499999999999995</v>
      </c>
      <c r="K8" s="2">
        <f t="shared" si="0"/>
        <v>0</v>
      </c>
      <c r="L8" s="2"/>
      <c r="M8">
        <v>2008</v>
      </c>
      <c r="N8" s="1">
        <v>2898</v>
      </c>
      <c r="O8">
        <v>91</v>
      </c>
      <c r="P8" s="1">
        <v>2807</v>
      </c>
      <c r="Q8">
        <v>0</v>
      </c>
      <c r="R8">
        <v>0</v>
      </c>
      <c r="S8">
        <v>176</v>
      </c>
      <c r="T8">
        <v>0</v>
      </c>
      <c r="U8">
        <v>182</v>
      </c>
      <c r="V8" s="1">
        <v>2541</v>
      </c>
      <c r="W8" s="1"/>
      <c r="X8" s="2">
        <f>B8*1000/8784/N8</f>
        <v>0.52349085670539697</v>
      </c>
      <c r="Z8" s="2">
        <f t="shared" si="1"/>
        <v>0.12353347135955832</v>
      </c>
      <c r="AA8" s="2">
        <f t="shared" si="2"/>
        <v>5.3204262344289356E-2</v>
      </c>
      <c r="AD8">
        <v>8784</v>
      </c>
    </row>
    <row r="9" spans="1:30" ht="14.45" x14ac:dyDescent="0.3">
      <c r="A9">
        <v>2009</v>
      </c>
      <c r="B9" s="1">
        <v>12704</v>
      </c>
      <c r="C9">
        <v>384</v>
      </c>
      <c r="D9">
        <v>345</v>
      </c>
      <c r="E9" s="1">
        <v>10903</v>
      </c>
      <c r="F9" s="1">
        <v>390</v>
      </c>
      <c r="G9" s="1">
        <v>682</v>
      </c>
      <c r="H9" s="1">
        <v>11975</v>
      </c>
      <c r="I9" s="2">
        <v>0.53700000000000003</v>
      </c>
      <c r="J9" s="2">
        <f>ROUND((H9*1000)/AD9/V9,3)</f>
        <v>0.53700000000000003</v>
      </c>
      <c r="K9" s="2">
        <f t="shared" si="0"/>
        <v>0</v>
      </c>
      <c r="L9" s="2"/>
      <c r="M9">
        <v>2009</v>
      </c>
      <c r="N9" s="1">
        <v>2909</v>
      </c>
      <c r="O9">
        <v>92</v>
      </c>
      <c r="P9" s="1">
        <v>2817</v>
      </c>
      <c r="Q9">
        <v>0</v>
      </c>
      <c r="R9">
        <v>0</v>
      </c>
      <c r="S9">
        <v>177</v>
      </c>
      <c r="T9">
        <v>0</v>
      </c>
      <c r="U9">
        <v>186</v>
      </c>
      <c r="V9" s="1">
        <v>2546</v>
      </c>
      <c r="W9" s="1"/>
      <c r="X9" s="2">
        <f t="shared" ref="X9:X25" si="3">B9*1000/8760/N9</f>
        <v>0.49853156084643629</v>
      </c>
      <c r="Z9" s="2">
        <f t="shared" si="1"/>
        <v>0.124785149535923</v>
      </c>
      <c r="AA9" s="2">
        <f t="shared" si="2"/>
        <v>5.7383501259445843E-2</v>
      </c>
      <c r="AD9">
        <v>8760</v>
      </c>
    </row>
    <row r="10" spans="1:30" ht="14.45" x14ac:dyDescent="0.3">
      <c r="A10">
        <v>2010</v>
      </c>
      <c r="B10" s="1">
        <v>13256</v>
      </c>
      <c r="C10">
        <v>388</v>
      </c>
      <c r="D10">
        <v>350</v>
      </c>
      <c r="E10" s="1">
        <v>11359</v>
      </c>
      <c r="F10" s="1">
        <v>409</v>
      </c>
      <c r="G10" s="1">
        <v>750</v>
      </c>
      <c r="H10" s="1">
        <v>12518</v>
      </c>
      <c r="I10" s="2">
        <v>0.56000000000000005</v>
      </c>
      <c r="J10" s="2">
        <f>ROUND((H10*1000)/AD10/2553,3)</f>
        <v>0.56000000000000005</v>
      </c>
      <c r="K10" s="24">
        <f t="shared" si="0"/>
        <v>0</v>
      </c>
      <c r="L10" s="2"/>
      <c r="M10">
        <v>2010</v>
      </c>
      <c r="N10" s="1">
        <v>2896</v>
      </c>
      <c r="O10">
        <v>88</v>
      </c>
      <c r="P10" s="1">
        <v>2807</v>
      </c>
      <c r="Q10">
        <v>0</v>
      </c>
      <c r="R10">
        <v>0</v>
      </c>
      <c r="S10">
        <v>178</v>
      </c>
      <c r="T10">
        <v>0</v>
      </c>
      <c r="U10">
        <v>192</v>
      </c>
      <c r="V10" s="1">
        <v>2525</v>
      </c>
      <c r="W10" s="1"/>
      <c r="X10" s="2">
        <f>B10*1000/8760/N10</f>
        <v>0.52252831807058697</v>
      </c>
      <c r="Z10" s="2">
        <f t="shared" si="1"/>
        <v>0.12776243093922651</v>
      </c>
      <c r="AA10" s="2">
        <f t="shared" si="2"/>
        <v>5.5672902836451418E-2</v>
      </c>
      <c r="AD10">
        <v>8760</v>
      </c>
    </row>
    <row r="11" spans="1:30" ht="14.45" x14ac:dyDescent="0.3">
      <c r="A11">
        <v>2011</v>
      </c>
      <c r="B11" s="1">
        <v>12864</v>
      </c>
      <c r="C11">
        <v>417</v>
      </c>
      <c r="D11">
        <v>361</v>
      </c>
      <c r="E11" s="1">
        <v>11040</v>
      </c>
      <c r="F11" s="1">
        <v>382</v>
      </c>
      <c r="G11" s="1">
        <v>663</v>
      </c>
      <c r="H11" s="1">
        <v>12086</v>
      </c>
      <c r="I11" s="2">
        <v>0.54400000000000004</v>
      </c>
      <c r="J11" s="2">
        <f>ROUND((H11*1000)/AD11/V11,3)</f>
        <v>0.54400000000000004</v>
      </c>
      <c r="K11" s="24">
        <f t="shared" si="0"/>
        <v>0</v>
      </c>
      <c r="L11" s="2"/>
      <c r="M11">
        <v>2011</v>
      </c>
      <c r="N11" s="1">
        <v>2919</v>
      </c>
      <c r="O11">
        <v>89</v>
      </c>
      <c r="P11" s="1">
        <v>2830</v>
      </c>
      <c r="Q11">
        <v>0</v>
      </c>
      <c r="R11">
        <v>0</v>
      </c>
      <c r="S11">
        <v>186</v>
      </c>
      <c r="T11">
        <v>0</v>
      </c>
      <c r="U11">
        <v>198</v>
      </c>
      <c r="V11" s="1">
        <v>2535</v>
      </c>
      <c r="W11" s="1"/>
      <c r="X11" s="2">
        <f t="shared" si="3"/>
        <v>0.50308090122813687</v>
      </c>
      <c r="Z11" s="2">
        <f t="shared" si="1"/>
        <v>0.131551901336074</v>
      </c>
      <c r="AA11" s="2">
        <f t="shared" si="2"/>
        <v>6.0478855721393034E-2</v>
      </c>
      <c r="AD11">
        <v>8760</v>
      </c>
    </row>
    <row r="12" spans="1:30" ht="14.45" x14ac:dyDescent="0.3">
      <c r="A12">
        <v>2012</v>
      </c>
      <c r="B12" s="1">
        <v>12453</v>
      </c>
      <c r="C12">
        <v>482</v>
      </c>
      <c r="D12">
        <v>374</v>
      </c>
      <c r="E12" s="1">
        <v>10663</v>
      </c>
      <c r="F12" s="1">
        <v>339</v>
      </c>
      <c r="G12" s="1">
        <v>597</v>
      </c>
      <c r="H12" s="1">
        <v>11598</v>
      </c>
      <c r="I12" s="2">
        <v>0.56200000000000006</v>
      </c>
      <c r="J12" s="2">
        <f>ROUND((H12*1000)/AD12/V12,3)</f>
        <v>0.56200000000000006</v>
      </c>
      <c r="K12" s="24">
        <f t="shared" si="0"/>
        <v>0</v>
      </c>
      <c r="L12" s="2"/>
      <c r="M12">
        <v>2012</v>
      </c>
      <c r="N12" s="1">
        <v>2769</v>
      </c>
      <c r="O12">
        <v>76</v>
      </c>
      <c r="P12" s="1">
        <v>2693</v>
      </c>
      <c r="Q12">
        <v>0</v>
      </c>
      <c r="R12">
        <v>0</v>
      </c>
      <c r="S12">
        <v>206</v>
      </c>
      <c r="T12">
        <v>0</v>
      </c>
      <c r="U12">
        <v>212</v>
      </c>
      <c r="V12" s="1">
        <v>2351</v>
      </c>
      <c r="W12" s="1"/>
      <c r="X12" s="2">
        <f>B12*1000/8784/N12</f>
        <v>0.51198673052748322</v>
      </c>
      <c r="Z12" s="2">
        <f t="shared" si="1"/>
        <v>0.15095702419646082</v>
      </c>
      <c r="AA12" s="2">
        <f t="shared" si="2"/>
        <v>6.8738456596803985E-2</v>
      </c>
      <c r="AD12">
        <v>8784</v>
      </c>
    </row>
    <row r="13" spans="1:30" ht="14.45" x14ac:dyDescent="0.3">
      <c r="A13">
        <v>2013</v>
      </c>
      <c r="B13" s="1">
        <v>12502</v>
      </c>
      <c r="C13">
        <v>551</v>
      </c>
      <c r="D13">
        <v>399</v>
      </c>
      <c r="E13" s="1">
        <v>10620</v>
      </c>
      <c r="F13" s="1">
        <v>330</v>
      </c>
      <c r="G13" s="1">
        <v>602</v>
      </c>
      <c r="H13" s="1">
        <v>11552</v>
      </c>
      <c r="I13" s="2">
        <v>0.55800000000000005</v>
      </c>
      <c r="J13" s="2">
        <f t="shared" ref="J13:J25" si="4">ROUND((H13*1000)/AD13/V13,3)</f>
        <v>0.55800000000000005</v>
      </c>
      <c r="K13" s="24">
        <f t="shared" si="0"/>
        <v>0</v>
      </c>
      <c r="L13" s="2"/>
      <c r="M13">
        <v>2013</v>
      </c>
      <c r="N13" s="1">
        <v>2810</v>
      </c>
      <c r="O13">
        <v>74</v>
      </c>
      <c r="P13" s="1">
        <v>2736</v>
      </c>
      <c r="Q13">
        <v>0</v>
      </c>
      <c r="R13">
        <v>0</v>
      </c>
      <c r="S13">
        <v>229</v>
      </c>
      <c r="T13">
        <v>0</v>
      </c>
      <c r="U13">
        <v>220</v>
      </c>
      <c r="V13" s="1">
        <v>2362</v>
      </c>
      <c r="W13" s="1"/>
      <c r="X13" s="2">
        <f t="shared" si="3"/>
        <v>0.50788930596857274</v>
      </c>
      <c r="Z13" s="2">
        <f t="shared" si="1"/>
        <v>0.15978647686832739</v>
      </c>
      <c r="AA13" s="2">
        <f t="shared" si="2"/>
        <v>7.598784194528875E-2</v>
      </c>
      <c r="AD13">
        <v>8760</v>
      </c>
    </row>
    <row r="14" spans="1:30" ht="14.45" x14ac:dyDescent="0.3">
      <c r="A14">
        <v>2014</v>
      </c>
      <c r="B14" s="1">
        <v>13064</v>
      </c>
      <c r="C14">
        <v>595</v>
      </c>
      <c r="D14">
        <v>416</v>
      </c>
      <c r="E14" s="1">
        <v>11075</v>
      </c>
      <c r="F14" s="1">
        <v>332</v>
      </c>
      <c r="G14" s="1">
        <v>645</v>
      </c>
      <c r="H14" s="1">
        <v>12052</v>
      </c>
      <c r="I14" s="2">
        <v>0.51100000000000001</v>
      </c>
      <c r="J14" s="2">
        <f>ROUND((H14*1000)/AD14/2694,3)</f>
        <v>0.51100000000000001</v>
      </c>
      <c r="K14" s="24">
        <f t="shared" si="0"/>
        <v>0</v>
      </c>
      <c r="L14" s="2"/>
      <c r="M14">
        <v>2014</v>
      </c>
      <c r="N14" s="1">
        <v>2905</v>
      </c>
      <c r="O14">
        <v>75</v>
      </c>
      <c r="P14" s="1">
        <v>2830</v>
      </c>
      <c r="Q14">
        <v>0</v>
      </c>
      <c r="R14">
        <v>0</v>
      </c>
      <c r="S14">
        <v>243</v>
      </c>
      <c r="T14">
        <v>0</v>
      </c>
      <c r="U14">
        <v>224</v>
      </c>
      <c r="V14" s="1">
        <v>2437</v>
      </c>
      <c r="W14" s="1"/>
      <c r="X14" s="2">
        <f>B14*1000/8760/N14</f>
        <v>0.51336461305102998</v>
      </c>
      <c r="Z14" s="2">
        <f t="shared" si="1"/>
        <v>0.16075731497418244</v>
      </c>
      <c r="AA14" s="2">
        <f t="shared" si="2"/>
        <v>7.7388242498469081E-2</v>
      </c>
      <c r="AD14">
        <v>8760</v>
      </c>
    </row>
    <row r="15" spans="1:30" ht="14.45" x14ac:dyDescent="0.3">
      <c r="A15" s="14">
        <v>2015</v>
      </c>
      <c r="B15" s="15">
        <v>13066</v>
      </c>
      <c r="C15" s="14">
        <v>642</v>
      </c>
      <c r="D15" s="14">
        <v>427</v>
      </c>
      <c r="E15" s="15">
        <v>11086</v>
      </c>
      <c r="F15" s="15">
        <v>330</v>
      </c>
      <c r="G15" s="15">
        <v>580</v>
      </c>
      <c r="H15" s="15">
        <v>11996</v>
      </c>
      <c r="I15" s="16">
        <v>0.54900000000000004</v>
      </c>
      <c r="J15" s="16">
        <f>ROUND((H15*1000)/AD15/V15,3)</f>
        <v>0.54900000000000004</v>
      </c>
      <c r="K15" s="16">
        <f t="shared" si="0"/>
        <v>0</v>
      </c>
      <c r="L15" s="16"/>
      <c r="M15" s="14">
        <v>2015</v>
      </c>
      <c r="N15" s="15">
        <v>2982</v>
      </c>
      <c r="O15" s="14">
        <v>78</v>
      </c>
      <c r="P15" s="15">
        <v>2904</v>
      </c>
      <c r="Q15" s="14">
        <v>0</v>
      </c>
      <c r="R15" s="14">
        <v>0</v>
      </c>
      <c r="S15" s="14">
        <v>259</v>
      </c>
      <c r="T15" s="14">
        <v>0</v>
      </c>
      <c r="U15" s="14">
        <v>228</v>
      </c>
      <c r="V15" s="15">
        <v>2495</v>
      </c>
      <c r="W15" s="15"/>
      <c r="X15" s="16">
        <f t="shared" si="3"/>
        <v>0.50018528216483071</v>
      </c>
      <c r="Z15" s="2">
        <f t="shared" si="1"/>
        <v>0.16331321260898726</v>
      </c>
      <c r="AA15" s="2">
        <f t="shared" si="2"/>
        <v>8.1815398744833914E-2</v>
      </c>
      <c r="AD15">
        <v>8760</v>
      </c>
    </row>
    <row r="16" spans="1:30" ht="14.45" x14ac:dyDescent="0.3">
      <c r="A16">
        <v>2016</v>
      </c>
      <c r="B16" s="1">
        <v>12931</v>
      </c>
      <c r="C16">
        <v>648</v>
      </c>
      <c r="D16">
        <v>430</v>
      </c>
      <c r="E16" s="1">
        <v>10907</v>
      </c>
      <c r="F16" s="1">
        <v>330</v>
      </c>
      <c r="G16" s="1">
        <v>616</v>
      </c>
      <c r="H16" s="1">
        <v>11854</v>
      </c>
      <c r="I16" s="2">
        <v>0.55100000000000005</v>
      </c>
      <c r="J16" s="2">
        <f t="shared" si="4"/>
        <v>0.55100000000000005</v>
      </c>
      <c r="K16" s="2">
        <f t="shared" si="0"/>
        <v>0</v>
      </c>
      <c r="L16" s="2"/>
      <c r="M16">
        <v>2016</v>
      </c>
      <c r="N16" s="1">
        <v>2943</v>
      </c>
      <c r="O16">
        <v>69</v>
      </c>
      <c r="P16" s="1">
        <v>2874</v>
      </c>
      <c r="Q16">
        <v>0</v>
      </c>
      <c r="R16">
        <v>0</v>
      </c>
      <c r="S16">
        <v>264</v>
      </c>
      <c r="T16">
        <v>0</v>
      </c>
      <c r="U16">
        <v>229</v>
      </c>
      <c r="V16" s="1">
        <v>2450</v>
      </c>
      <c r="W16" s="1"/>
      <c r="X16" s="2">
        <f>B16*1000/8784/N16</f>
        <v>0.50020672064922667</v>
      </c>
      <c r="Z16" s="2">
        <f t="shared" si="1"/>
        <v>0.16751613999320422</v>
      </c>
      <c r="AA16" s="2">
        <f t="shared" si="2"/>
        <v>8.3365555641481709E-2</v>
      </c>
      <c r="AD16">
        <v>8784</v>
      </c>
    </row>
    <row r="17" spans="1:30" ht="14.45" x14ac:dyDescent="0.3">
      <c r="A17">
        <v>2017</v>
      </c>
      <c r="B17" s="1">
        <v>13071</v>
      </c>
      <c r="C17">
        <v>654</v>
      </c>
      <c r="D17">
        <v>432</v>
      </c>
      <c r="E17" s="1">
        <v>11023</v>
      </c>
      <c r="F17" s="1">
        <v>339</v>
      </c>
      <c r="G17" s="1">
        <v>623</v>
      </c>
      <c r="H17" s="1">
        <v>11985</v>
      </c>
      <c r="I17" s="2">
        <v>0.54900000000000004</v>
      </c>
      <c r="J17" s="2">
        <f t="shared" ref="J17:J22" si="5">ROUND((H17*1000)/AD17/V17,3)</f>
        <v>0.54900000000000004</v>
      </c>
      <c r="K17" s="2">
        <f t="shared" si="0"/>
        <v>0</v>
      </c>
      <c r="L17" s="2"/>
      <c r="M17">
        <v>2017</v>
      </c>
      <c r="N17" s="1">
        <v>2990</v>
      </c>
      <c r="O17">
        <v>71</v>
      </c>
      <c r="P17" s="1">
        <v>2919</v>
      </c>
      <c r="Q17">
        <v>0</v>
      </c>
      <c r="R17">
        <v>0</v>
      </c>
      <c r="S17">
        <v>269</v>
      </c>
      <c r="T17">
        <v>0</v>
      </c>
      <c r="U17">
        <v>230</v>
      </c>
      <c r="V17" s="1">
        <v>2491</v>
      </c>
      <c r="W17" s="1"/>
      <c r="X17" s="2">
        <f t="shared" si="3"/>
        <v>0.49903788885325517</v>
      </c>
      <c r="Z17" s="2">
        <f t="shared" si="1"/>
        <v>0.1668896321070234</v>
      </c>
      <c r="AA17" s="2">
        <f t="shared" si="2"/>
        <v>8.3084691301354138E-2</v>
      </c>
      <c r="AD17">
        <v>8760</v>
      </c>
    </row>
    <row r="18" spans="1:30" ht="14.45" x14ac:dyDescent="0.3">
      <c r="A18">
        <v>2018</v>
      </c>
      <c r="B18" s="1">
        <v>13220</v>
      </c>
      <c r="C18">
        <v>661</v>
      </c>
      <c r="D18">
        <v>434</v>
      </c>
      <c r="E18" s="1">
        <v>11147</v>
      </c>
      <c r="F18" s="1">
        <v>348</v>
      </c>
      <c r="G18" s="1">
        <v>630</v>
      </c>
      <c r="H18" s="1">
        <v>12125</v>
      </c>
      <c r="I18" s="2">
        <v>0.54900000000000004</v>
      </c>
      <c r="J18" s="2">
        <f t="shared" si="5"/>
        <v>0.54900000000000004</v>
      </c>
      <c r="K18" s="2">
        <f t="shared" si="0"/>
        <v>0</v>
      </c>
      <c r="L18" s="2"/>
      <c r="M18">
        <v>2018</v>
      </c>
      <c r="N18" s="1">
        <v>3026</v>
      </c>
      <c r="O18">
        <v>72</v>
      </c>
      <c r="P18" s="1">
        <v>2954</v>
      </c>
      <c r="Q18">
        <v>0</v>
      </c>
      <c r="R18">
        <v>0</v>
      </c>
      <c r="S18">
        <v>275</v>
      </c>
      <c r="T18">
        <v>0</v>
      </c>
      <c r="U18">
        <v>231</v>
      </c>
      <c r="V18" s="1">
        <v>2520</v>
      </c>
      <c r="W18" s="1"/>
      <c r="X18" s="2">
        <f>B18*1000/8760/N18</f>
        <v>0.49872188370499804</v>
      </c>
      <c r="Z18" s="2">
        <f t="shared" si="1"/>
        <v>0.16721744877726372</v>
      </c>
      <c r="AA18" s="2">
        <f t="shared" si="2"/>
        <v>8.2829046898638431E-2</v>
      </c>
      <c r="AD18">
        <v>8760</v>
      </c>
    </row>
    <row r="19" spans="1:30" ht="14.45" x14ac:dyDescent="0.3">
      <c r="A19">
        <v>2019</v>
      </c>
      <c r="B19" s="1">
        <v>13369</v>
      </c>
      <c r="C19">
        <v>669</v>
      </c>
      <c r="D19">
        <v>436</v>
      </c>
      <c r="E19" s="1">
        <v>11272</v>
      </c>
      <c r="F19" s="1">
        <v>354</v>
      </c>
      <c r="G19" s="1">
        <v>637</v>
      </c>
      <c r="H19" s="1">
        <v>12263</v>
      </c>
      <c r="I19" s="2">
        <v>0.55000000000000004</v>
      </c>
      <c r="J19" s="2">
        <f t="shared" si="5"/>
        <v>0.55000000000000004</v>
      </c>
      <c r="K19" s="2">
        <f t="shared" si="0"/>
        <v>0</v>
      </c>
      <c r="L19" s="2"/>
      <c r="M19">
        <v>2019</v>
      </c>
      <c r="N19" s="1">
        <v>3059</v>
      </c>
      <c r="O19">
        <v>73</v>
      </c>
      <c r="P19" s="1">
        <v>2986</v>
      </c>
      <c r="Q19">
        <v>0</v>
      </c>
      <c r="R19">
        <v>0</v>
      </c>
      <c r="S19">
        <v>281</v>
      </c>
      <c r="T19">
        <v>0</v>
      </c>
      <c r="U19">
        <v>232</v>
      </c>
      <c r="V19" s="1">
        <v>2546</v>
      </c>
      <c r="X19" s="2">
        <f t="shared" si="3"/>
        <v>0.4989021093531924</v>
      </c>
      <c r="Z19" s="2">
        <f t="shared" si="1"/>
        <v>0.16770186335403728</v>
      </c>
      <c r="AA19" s="2">
        <f t="shared" si="2"/>
        <v>8.2653900815319023E-2</v>
      </c>
      <c r="AD19">
        <v>8760</v>
      </c>
    </row>
    <row r="20" spans="1:30" ht="14.45" x14ac:dyDescent="0.3">
      <c r="A20">
        <v>2020</v>
      </c>
      <c r="B20" s="1">
        <v>13444</v>
      </c>
      <c r="C20">
        <v>679</v>
      </c>
      <c r="D20">
        <v>439</v>
      </c>
      <c r="E20" s="1">
        <v>11326</v>
      </c>
      <c r="F20" s="1">
        <v>360</v>
      </c>
      <c r="G20" s="1">
        <v>640</v>
      </c>
      <c r="H20" s="1">
        <v>12326</v>
      </c>
      <c r="I20" s="2">
        <v>0.55000000000000004</v>
      </c>
      <c r="J20" s="2">
        <f t="shared" si="5"/>
        <v>0.55000000000000004</v>
      </c>
      <c r="K20" s="2">
        <f t="shared" si="0"/>
        <v>0</v>
      </c>
      <c r="L20" s="2"/>
      <c r="M20">
        <v>2020</v>
      </c>
      <c r="N20" s="1">
        <v>3073</v>
      </c>
      <c r="O20">
        <v>74</v>
      </c>
      <c r="P20" s="1">
        <v>2999</v>
      </c>
      <c r="Q20">
        <v>0</v>
      </c>
      <c r="R20">
        <v>0</v>
      </c>
      <c r="S20">
        <v>287</v>
      </c>
      <c r="T20">
        <v>0</v>
      </c>
      <c r="U20">
        <v>234</v>
      </c>
      <c r="V20" s="1">
        <v>2552</v>
      </c>
      <c r="X20" s="2">
        <f>B20*1000/8784/N20</f>
        <v>0.49805077065243614</v>
      </c>
      <c r="Z20" s="2">
        <f t="shared" si="1"/>
        <v>0.16954116498535632</v>
      </c>
      <c r="AA20" s="2">
        <f t="shared" si="2"/>
        <v>8.3159773876822371E-2</v>
      </c>
      <c r="AD20">
        <v>8784</v>
      </c>
    </row>
    <row r="21" spans="1:30" ht="14.45" x14ac:dyDescent="0.3">
      <c r="A21">
        <v>2021</v>
      </c>
      <c r="B21" s="1">
        <v>13473</v>
      </c>
      <c r="C21">
        <v>689</v>
      </c>
      <c r="D21">
        <v>442</v>
      </c>
      <c r="E21" s="1">
        <v>11339</v>
      </c>
      <c r="F21" s="1">
        <v>363</v>
      </c>
      <c r="G21" s="1">
        <v>641</v>
      </c>
      <c r="H21" s="1">
        <v>12343</v>
      </c>
      <c r="I21" s="2">
        <v>0.55200000000000005</v>
      </c>
      <c r="J21" s="2">
        <f t="shared" si="5"/>
        <v>0.55200000000000005</v>
      </c>
      <c r="K21" s="2">
        <f t="shared" si="0"/>
        <v>0</v>
      </c>
      <c r="L21" s="2"/>
      <c r="M21">
        <v>2021</v>
      </c>
      <c r="N21" s="1">
        <v>3084</v>
      </c>
      <c r="O21">
        <v>75</v>
      </c>
      <c r="P21" s="1">
        <v>3009</v>
      </c>
      <c r="Q21">
        <v>0</v>
      </c>
      <c r="R21">
        <v>0</v>
      </c>
      <c r="S21">
        <v>295</v>
      </c>
      <c r="T21">
        <v>0</v>
      </c>
      <c r="U21">
        <v>235</v>
      </c>
      <c r="V21" s="1">
        <v>2554</v>
      </c>
      <c r="X21" s="2">
        <f t="shared" si="3"/>
        <v>0.49870742497734666</v>
      </c>
      <c r="Z21" s="2">
        <f t="shared" si="1"/>
        <v>0.17185473411154345</v>
      </c>
      <c r="AA21" s="2">
        <f t="shared" si="2"/>
        <v>8.39456691160098E-2</v>
      </c>
      <c r="AD21">
        <v>8760</v>
      </c>
    </row>
    <row r="22" spans="1:30" ht="14.45" x14ac:dyDescent="0.3">
      <c r="A22">
        <v>2022</v>
      </c>
      <c r="B22" s="1">
        <v>13515</v>
      </c>
      <c r="C22">
        <v>700</v>
      </c>
      <c r="D22">
        <v>445</v>
      </c>
      <c r="E22" s="1">
        <v>11361</v>
      </c>
      <c r="F22" s="1">
        <v>367</v>
      </c>
      <c r="G22" s="1">
        <v>642</v>
      </c>
      <c r="H22" s="1">
        <v>12371</v>
      </c>
      <c r="I22" s="2">
        <v>0.55300000000000005</v>
      </c>
      <c r="J22" s="2">
        <f t="shared" si="5"/>
        <v>0.55300000000000005</v>
      </c>
      <c r="K22" s="2">
        <f t="shared" si="0"/>
        <v>0</v>
      </c>
      <c r="L22" s="2"/>
      <c r="M22">
        <v>2022</v>
      </c>
      <c r="N22" s="1">
        <v>3093</v>
      </c>
      <c r="O22">
        <v>76</v>
      </c>
      <c r="P22" s="1">
        <v>3018</v>
      </c>
      <c r="Q22">
        <v>0</v>
      </c>
      <c r="R22">
        <v>0</v>
      </c>
      <c r="S22">
        <v>303</v>
      </c>
      <c r="T22">
        <v>0</v>
      </c>
      <c r="U22">
        <v>236</v>
      </c>
      <c r="V22" s="1">
        <v>2554</v>
      </c>
      <c r="X22" s="2">
        <f>B22*1000/8760/N22</f>
        <v>0.49880640775237062</v>
      </c>
      <c r="Z22" s="2">
        <f t="shared" si="1"/>
        <v>0.1742644681538959</v>
      </c>
      <c r="AA22" s="2">
        <f t="shared" si="2"/>
        <v>8.4720680725120234E-2</v>
      </c>
      <c r="AD22">
        <v>8760</v>
      </c>
    </row>
    <row r="23" spans="1:30" ht="14.45" x14ac:dyDescent="0.3">
      <c r="A23">
        <v>2023</v>
      </c>
      <c r="B23" s="1">
        <v>13604</v>
      </c>
      <c r="C23">
        <v>711</v>
      </c>
      <c r="D23">
        <v>448</v>
      </c>
      <c r="E23" s="1">
        <v>11428</v>
      </c>
      <c r="F23" s="1">
        <v>370</v>
      </c>
      <c r="G23" s="1">
        <v>646</v>
      </c>
      <c r="H23" s="1">
        <v>12445</v>
      </c>
      <c r="I23" s="2">
        <v>0.55400000000000005</v>
      </c>
      <c r="J23" s="2">
        <f t="shared" si="4"/>
        <v>0.55400000000000005</v>
      </c>
      <c r="K23" s="2">
        <f t="shared" si="0"/>
        <v>0</v>
      </c>
      <c r="L23" s="2"/>
      <c r="M23">
        <v>2023</v>
      </c>
      <c r="N23" s="1">
        <v>3114</v>
      </c>
      <c r="O23">
        <v>76</v>
      </c>
      <c r="P23" s="1">
        <v>3038</v>
      </c>
      <c r="Q23">
        <v>0</v>
      </c>
      <c r="R23">
        <v>0</v>
      </c>
      <c r="S23">
        <v>312</v>
      </c>
      <c r="T23">
        <v>0</v>
      </c>
      <c r="U23">
        <v>238</v>
      </c>
      <c r="V23" s="1">
        <v>2564</v>
      </c>
      <c r="X23" s="2">
        <f t="shared" si="3"/>
        <v>0.49870521404292883</v>
      </c>
      <c r="Z23" s="2">
        <f t="shared" si="1"/>
        <v>0.17662170841361594</v>
      </c>
      <c r="AA23" s="2">
        <f t="shared" si="2"/>
        <v>8.5195530726256977E-2</v>
      </c>
      <c r="AD23">
        <v>8760</v>
      </c>
    </row>
    <row r="24" spans="1:30" ht="14.45" x14ac:dyDescent="0.3">
      <c r="A24">
        <v>2024</v>
      </c>
      <c r="B24" s="1">
        <v>13718</v>
      </c>
      <c r="C24">
        <v>723</v>
      </c>
      <c r="D24">
        <v>451</v>
      </c>
      <c r="E24" s="1">
        <v>11518</v>
      </c>
      <c r="F24" s="1">
        <v>375</v>
      </c>
      <c r="G24" s="1">
        <v>651</v>
      </c>
      <c r="H24" s="1">
        <v>12544</v>
      </c>
      <c r="I24" s="2">
        <v>0.55400000000000005</v>
      </c>
      <c r="J24" s="2">
        <f t="shared" si="4"/>
        <v>0.55400000000000005</v>
      </c>
      <c r="K24" s="2">
        <f t="shared" si="0"/>
        <v>0</v>
      </c>
      <c r="L24" s="2"/>
      <c r="M24">
        <v>2024</v>
      </c>
      <c r="N24" s="1">
        <v>3137</v>
      </c>
      <c r="O24">
        <v>77</v>
      </c>
      <c r="P24" s="1">
        <v>3060</v>
      </c>
      <c r="Q24">
        <v>0</v>
      </c>
      <c r="R24">
        <v>0</v>
      </c>
      <c r="S24">
        <v>321</v>
      </c>
      <c r="T24">
        <v>0</v>
      </c>
      <c r="U24">
        <v>239</v>
      </c>
      <c r="V24" s="1">
        <v>2576</v>
      </c>
      <c r="X24" s="2">
        <f>B24*1000/8784/N24</f>
        <v>0.49783331097837491</v>
      </c>
      <c r="Z24" s="2">
        <f t="shared" si="1"/>
        <v>0.17851450430347465</v>
      </c>
      <c r="AA24" s="2">
        <f t="shared" si="2"/>
        <v>8.5580988482286041E-2</v>
      </c>
      <c r="AD24">
        <v>8784</v>
      </c>
    </row>
    <row r="25" spans="1:30" ht="14.45" x14ac:dyDescent="0.3">
      <c r="A25">
        <v>2025</v>
      </c>
      <c r="B25" s="1">
        <v>13773</v>
      </c>
      <c r="C25">
        <v>735</v>
      </c>
      <c r="D25">
        <v>455</v>
      </c>
      <c r="E25" s="1">
        <v>11553</v>
      </c>
      <c r="F25" s="1">
        <v>377</v>
      </c>
      <c r="G25" s="1">
        <v>653</v>
      </c>
      <c r="H25" s="1">
        <v>12583</v>
      </c>
      <c r="I25" s="2">
        <v>0.55500000000000005</v>
      </c>
      <c r="J25" s="2">
        <f t="shared" si="4"/>
        <v>0.55500000000000005</v>
      </c>
      <c r="K25" s="2">
        <f t="shared" si="0"/>
        <v>0</v>
      </c>
      <c r="L25" s="2"/>
      <c r="M25">
        <v>2025</v>
      </c>
      <c r="N25" s="1">
        <v>3158</v>
      </c>
      <c r="O25">
        <v>77</v>
      </c>
      <c r="P25" s="1">
        <v>3080</v>
      </c>
      <c r="Q25">
        <v>0</v>
      </c>
      <c r="R25">
        <v>0</v>
      </c>
      <c r="S25">
        <v>331</v>
      </c>
      <c r="T25">
        <v>0</v>
      </c>
      <c r="U25">
        <v>241</v>
      </c>
      <c r="V25" s="1">
        <v>2586</v>
      </c>
      <c r="X25" s="2">
        <f t="shared" si="3"/>
        <v>0.49786582456383877</v>
      </c>
      <c r="Z25" s="2">
        <f t="shared" si="1"/>
        <v>0.18112729575680811</v>
      </c>
      <c r="AA25" s="2">
        <f t="shared" si="2"/>
        <v>8.6400929354534237E-2</v>
      </c>
      <c r="AD25">
        <v>8760</v>
      </c>
    </row>
    <row r="26" spans="1:30" ht="14.45" x14ac:dyDescent="0.3">
      <c r="G26">
        <f>948+896+830+874+1053+1184+1326+1267+1074+893+820+831</f>
        <v>11996</v>
      </c>
      <c r="K26" s="2"/>
      <c r="L26" s="2"/>
    </row>
    <row r="27" spans="1:30" ht="14.45" x14ac:dyDescent="0.3">
      <c r="A27" t="s">
        <v>33</v>
      </c>
      <c r="B27" s="9"/>
      <c r="C27" s="9"/>
      <c r="H27" s="1"/>
      <c r="K27" s="2"/>
      <c r="L27" s="2"/>
      <c r="M27" s="8"/>
      <c r="V27" s="1"/>
    </row>
    <row r="28" spans="1:30" x14ac:dyDescent="0.25">
      <c r="A28" s="13" t="s">
        <v>34</v>
      </c>
    </row>
  </sheetData>
  <mergeCells count="1">
    <mergeCell ref="Z4:AA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32"/>
  <sheetViews>
    <sheetView zoomScale="90" zoomScaleNormal="90" workbookViewId="0">
      <selection activeCell="A2" sqref="A2"/>
    </sheetView>
  </sheetViews>
  <sheetFormatPr defaultRowHeight="15" x14ac:dyDescent="0.25"/>
  <cols>
    <col min="1" max="1" width="5.5703125" bestFit="1" customWidth="1"/>
    <col min="2" max="2" width="8.42578125" bestFit="1" customWidth="1"/>
    <col min="3" max="3" width="8.85546875" bestFit="1" customWidth="1"/>
    <col min="4" max="4" width="8.42578125" bestFit="1" customWidth="1"/>
    <col min="5" max="5" width="10" bestFit="1" customWidth="1"/>
    <col min="6" max="6" width="7.140625" bestFit="1" customWidth="1"/>
    <col min="7" max="7" width="6.7109375" bestFit="1" customWidth="1"/>
    <col min="8" max="8" width="6.85546875" bestFit="1" customWidth="1"/>
    <col min="9" max="9" width="7.140625" bestFit="1" customWidth="1"/>
    <col min="10" max="10" width="8.140625" bestFit="1" customWidth="1"/>
    <col min="11" max="11" width="7.140625" bestFit="1" customWidth="1"/>
    <col min="12" max="12" width="6.85546875" customWidth="1"/>
    <col min="13" max="13" width="9.140625" customWidth="1"/>
    <col min="14" max="14" width="5.5703125" bestFit="1" customWidth="1"/>
    <col min="15" max="15" width="7.140625" bestFit="1" customWidth="1"/>
    <col min="16" max="16" width="6.7109375" bestFit="1" customWidth="1"/>
    <col min="17" max="17" width="7.140625" bestFit="1" customWidth="1"/>
    <col min="18" max="18" width="5.28515625" bestFit="1" customWidth="1"/>
    <col min="19" max="19" width="7.140625" bestFit="1" customWidth="1"/>
    <col min="20" max="20" width="8.7109375" bestFit="1" customWidth="1"/>
    <col min="21" max="21" width="6.7109375" bestFit="1" customWidth="1"/>
    <col min="22" max="22" width="8.42578125" bestFit="1" customWidth="1"/>
    <col min="23" max="23" width="11.7109375" bestFit="1" customWidth="1"/>
    <col min="24" max="24" width="11.42578125" bestFit="1" customWidth="1"/>
    <col min="25" max="25" width="5.28515625" customWidth="1"/>
    <col min="26" max="26" width="8.5703125" bestFit="1" customWidth="1"/>
    <col min="27" max="27" width="7.140625" bestFit="1" customWidth="1"/>
    <col min="28" max="28" width="6.7109375" bestFit="1" customWidth="1"/>
    <col min="29" max="29" width="7.140625" bestFit="1" customWidth="1"/>
    <col min="30" max="30" width="5.28515625" bestFit="1" customWidth="1"/>
    <col min="31" max="31" width="7.140625" bestFit="1" customWidth="1"/>
    <col min="32" max="32" width="8.7109375" bestFit="1" customWidth="1"/>
    <col min="33" max="33" width="6.7109375" bestFit="1" customWidth="1"/>
    <col min="34" max="34" width="8.42578125" bestFit="1" customWidth="1"/>
    <col min="35" max="35" width="11.7109375" bestFit="1" customWidth="1"/>
    <col min="36" max="36" width="8.7109375" bestFit="1" customWidth="1"/>
  </cols>
  <sheetData>
    <row r="1" spans="1:40" s="44" customFormat="1" ht="14.45" x14ac:dyDescent="0.3">
      <c r="A1" s="44" t="s">
        <v>87</v>
      </c>
    </row>
    <row r="2" spans="1:40" s="44" customFormat="1" ht="14.45" x14ac:dyDescent="0.3">
      <c r="A2" s="44" t="s">
        <v>85</v>
      </c>
    </row>
    <row r="3" spans="1:40" ht="14.45" x14ac:dyDescent="0.3">
      <c r="B3" s="12" t="s">
        <v>49</v>
      </c>
      <c r="I3" s="12" t="s">
        <v>48</v>
      </c>
      <c r="X3" s="12" t="s">
        <v>47</v>
      </c>
      <c r="Z3">
        <v>1</v>
      </c>
      <c r="AA3">
        <v>2</v>
      </c>
      <c r="AB3">
        <v>3</v>
      </c>
      <c r="AC3">
        <v>4</v>
      </c>
      <c r="AD3">
        <v>5</v>
      </c>
      <c r="AE3">
        <v>6</v>
      </c>
      <c r="AF3">
        <v>7</v>
      </c>
      <c r="AG3">
        <v>8</v>
      </c>
      <c r="AH3">
        <v>9</v>
      </c>
      <c r="AI3">
        <v>10</v>
      </c>
      <c r="AJ3">
        <v>11</v>
      </c>
    </row>
    <row r="4" spans="1:40" ht="14.45" x14ac:dyDescent="0.3">
      <c r="A4" s="17" t="s">
        <v>4</v>
      </c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N4" s="17" t="s">
        <v>35</v>
      </c>
      <c r="O4" s="11">
        <v>10</v>
      </c>
      <c r="P4" s="11">
        <v>11</v>
      </c>
      <c r="Q4" s="11">
        <v>12</v>
      </c>
      <c r="R4" s="11">
        <v>13</v>
      </c>
      <c r="S4" s="11">
        <v>14</v>
      </c>
      <c r="T4" s="11">
        <v>15</v>
      </c>
      <c r="U4" s="11">
        <v>16</v>
      </c>
      <c r="V4" s="11">
        <v>17</v>
      </c>
      <c r="W4" s="11">
        <v>18</v>
      </c>
      <c r="X4" s="11">
        <v>19</v>
      </c>
      <c r="Z4" s="17" t="s">
        <v>75</v>
      </c>
      <c r="AA4" s="22">
        <v>20</v>
      </c>
      <c r="AB4" s="22">
        <v>21</v>
      </c>
      <c r="AC4" s="22">
        <v>22</v>
      </c>
      <c r="AD4" s="22">
        <v>23</v>
      </c>
      <c r="AE4" s="22">
        <v>24</v>
      </c>
      <c r="AF4" s="22">
        <v>25</v>
      </c>
      <c r="AG4" s="22">
        <v>26</v>
      </c>
      <c r="AH4" s="22">
        <v>27</v>
      </c>
      <c r="AI4" s="22">
        <v>28</v>
      </c>
      <c r="AJ4" s="22">
        <v>29</v>
      </c>
    </row>
    <row r="5" spans="1:40" ht="14.45" x14ac:dyDescent="0.3">
      <c r="A5" t="s">
        <v>37</v>
      </c>
      <c r="B5" t="s">
        <v>38</v>
      </c>
      <c r="C5" t="s">
        <v>43</v>
      </c>
      <c r="D5" t="s">
        <v>13</v>
      </c>
      <c r="E5" t="s">
        <v>46</v>
      </c>
      <c r="F5" t="s">
        <v>39</v>
      </c>
      <c r="G5" t="s">
        <v>40</v>
      </c>
      <c r="H5" t="s">
        <v>45</v>
      </c>
      <c r="I5" t="s">
        <v>4</v>
      </c>
      <c r="J5" t="s">
        <v>44</v>
      </c>
      <c r="K5" t="s">
        <v>25</v>
      </c>
      <c r="L5" t="s">
        <v>26</v>
      </c>
      <c r="N5" t="s">
        <v>37</v>
      </c>
      <c r="O5" t="s">
        <v>38</v>
      </c>
      <c r="P5" t="s">
        <v>40</v>
      </c>
      <c r="Q5" t="s">
        <v>39</v>
      </c>
      <c r="R5" t="s">
        <v>19</v>
      </c>
      <c r="S5" s="7" t="s">
        <v>21</v>
      </c>
      <c r="T5" t="s">
        <v>20</v>
      </c>
      <c r="U5" t="s">
        <v>42</v>
      </c>
      <c r="V5" t="s">
        <v>13</v>
      </c>
      <c r="W5" t="s">
        <v>41</v>
      </c>
      <c r="X5" t="s">
        <v>23</v>
      </c>
      <c r="Z5" t="s">
        <v>37</v>
      </c>
      <c r="AA5" t="s">
        <v>38</v>
      </c>
      <c r="AB5" t="s">
        <v>40</v>
      </c>
      <c r="AC5" t="s">
        <v>39</v>
      </c>
      <c r="AD5" t="s">
        <v>19</v>
      </c>
      <c r="AE5" s="7" t="s">
        <v>21</v>
      </c>
      <c r="AF5" t="s">
        <v>20</v>
      </c>
      <c r="AG5" t="s">
        <v>42</v>
      </c>
      <c r="AH5" t="s">
        <v>13</v>
      </c>
      <c r="AI5" t="s">
        <v>41</v>
      </c>
      <c r="AJ5" t="s">
        <v>23</v>
      </c>
      <c r="AL5" s="1"/>
    </row>
    <row r="6" spans="1:40" ht="14.45" x14ac:dyDescent="0.3">
      <c r="A6">
        <v>2006</v>
      </c>
      <c r="B6" s="1">
        <v>47399</v>
      </c>
      <c r="C6">
        <v>484</v>
      </c>
      <c r="D6">
        <v>365</v>
      </c>
      <c r="E6">
        <v>509</v>
      </c>
      <c r="F6" s="1">
        <v>39432</v>
      </c>
      <c r="G6" s="1">
        <v>4220</v>
      </c>
      <c r="H6" s="1">
        <v>2389</v>
      </c>
      <c r="I6" s="1">
        <v>46041</v>
      </c>
      <c r="J6" s="18">
        <v>52.1</v>
      </c>
      <c r="K6" s="2">
        <f>((I6-C6-D6-E6)*1000)/AM6/(MAX(X6,AJ6))</f>
        <v>0.56574967688087741</v>
      </c>
      <c r="L6" s="2">
        <f>+K6-J6/100</f>
        <v>4.4749676880877387E-2</v>
      </c>
      <c r="N6">
        <v>2006</v>
      </c>
      <c r="O6" s="1">
        <v>10147</v>
      </c>
      <c r="P6" s="1">
        <v>1257</v>
      </c>
      <c r="Q6" s="1">
        <v>8890</v>
      </c>
      <c r="R6">
        <v>329</v>
      </c>
      <c r="S6">
        <v>307</v>
      </c>
      <c r="T6">
        <v>222</v>
      </c>
      <c r="U6">
        <v>37</v>
      </c>
      <c r="V6">
        <v>170</v>
      </c>
      <c r="W6">
        <v>66</v>
      </c>
      <c r="X6" s="35">
        <v>9016</v>
      </c>
      <c r="Y6" s="1"/>
      <c r="Z6" t="s">
        <v>55</v>
      </c>
      <c r="AA6" s="1">
        <v>10653</v>
      </c>
      <c r="AB6" s="1">
        <v>1467</v>
      </c>
      <c r="AC6" s="1">
        <v>9186</v>
      </c>
      <c r="AD6">
        <v>298</v>
      </c>
      <c r="AE6">
        <v>779</v>
      </c>
      <c r="AF6">
        <v>368</v>
      </c>
      <c r="AG6">
        <v>26</v>
      </c>
      <c r="AH6">
        <v>124</v>
      </c>
      <c r="AI6">
        <v>283</v>
      </c>
      <c r="AJ6" s="1">
        <v>8775</v>
      </c>
      <c r="AK6" s="1"/>
      <c r="AL6" s="1"/>
      <c r="AM6">
        <v>8760</v>
      </c>
      <c r="AN6" s="1"/>
    </row>
    <row r="7" spans="1:40" ht="14.45" x14ac:dyDescent="0.3">
      <c r="A7">
        <v>2007</v>
      </c>
      <c r="B7" s="1">
        <v>49310</v>
      </c>
      <c r="C7">
        <v>511</v>
      </c>
      <c r="D7">
        <v>387</v>
      </c>
      <c r="E7">
        <v>779</v>
      </c>
      <c r="F7" s="1">
        <v>39282</v>
      </c>
      <c r="G7" s="1">
        <v>5598</v>
      </c>
      <c r="H7" s="1">
        <v>2753</v>
      </c>
      <c r="I7" s="1">
        <v>47633</v>
      </c>
      <c r="J7" s="18">
        <v>52.3</v>
      </c>
      <c r="K7" s="2">
        <f t="shared" ref="K7:K11" si="0">((I7-E7)*1000)/AM7/(MAX(X7,AJ7))</f>
        <v>0.5494227156637187</v>
      </c>
      <c r="L7" s="2">
        <f t="shared" ref="L7:L25" si="1">+K7-J7/100</f>
        <v>2.6422715663718677E-2</v>
      </c>
      <c r="N7">
        <v>2007</v>
      </c>
      <c r="O7" s="1">
        <v>10931</v>
      </c>
      <c r="P7" s="1">
        <v>1544</v>
      </c>
      <c r="Q7" s="1">
        <v>9387</v>
      </c>
      <c r="R7">
        <v>334</v>
      </c>
      <c r="S7">
        <v>291</v>
      </c>
      <c r="T7">
        <v>239</v>
      </c>
      <c r="U7">
        <v>45</v>
      </c>
      <c r="V7">
        <v>177</v>
      </c>
      <c r="W7">
        <v>110</v>
      </c>
      <c r="X7" s="35">
        <v>9735</v>
      </c>
      <c r="Y7" s="1"/>
      <c r="Z7" t="s">
        <v>56</v>
      </c>
      <c r="AA7" s="1">
        <v>9894</v>
      </c>
      <c r="AB7" s="1">
        <v>1576</v>
      </c>
      <c r="AC7" s="1">
        <v>8318</v>
      </c>
      <c r="AD7">
        <v>304</v>
      </c>
      <c r="AE7">
        <v>671</v>
      </c>
      <c r="AF7">
        <v>450</v>
      </c>
      <c r="AG7">
        <v>26</v>
      </c>
      <c r="AH7">
        <v>127</v>
      </c>
      <c r="AI7">
        <v>262</v>
      </c>
      <c r="AJ7" s="1">
        <v>8055</v>
      </c>
      <c r="AL7" s="1"/>
      <c r="AM7">
        <v>8760</v>
      </c>
      <c r="AN7" s="1"/>
    </row>
    <row r="8" spans="1:40" ht="14.45" x14ac:dyDescent="0.3">
      <c r="A8">
        <v>2008</v>
      </c>
      <c r="B8" s="1">
        <v>49208</v>
      </c>
      <c r="C8">
        <v>543</v>
      </c>
      <c r="D8">
        <v>442</v>
      </c>
      <c r="E8">
        <v>565</v>
      </c>
      <c r="F8" s="1">
        <v>38556</v>
      </c>
      <c r="G8" s="1">
        <v>6619</v>
      </c>
      <c r="H8" s="1">
        <v>2483</v>
      </c>
      <c r="I8" s="1">
        <v>47658</v>
      </c>
      <c r="J8" s="18">
        <v>53.1</v>
      </c>
      <c r="K8" s="2">
        <f t="shared" si="0"/>
        <v>0.58362997544770945</v>
      </c>
      <c r="L8" s="2">
        <f t="shared" si="1"/>
        <v>5.2629975447709421E-2</v>
      </c>
      <c r="N8">
        <v>2008</v>
      </c>
      <c r="O8" s="1">
        <v>10592</v>
      </c>
      <c r="P8" s="1">
        <v>1512</v>
      </c>
      <c r="Q8" s="1">
        <v>9080</v>
      </c>
      <c r="R8">
        <v>500</v>
      </c>
      <c r="S8">
        <v>284</v>
      </c>
      <c r="T8">
        <v>255</v>
      </c>
      <c r="U8">
        <v>66</v>
      </c>
      <c r="V8">
        <v>192</v>
      </c>
      <c r="W8">
        <v>110</v>
      </c>
      <c r="X8" s="35">
        <v>9186</v>
      </c>
      <c r="Y8" s="1"/>
      <c r="Z8" t="s">
        <v>57</v>
      </c>
      <c r="AA8" s="1">
        <v>10962</v>
      </c>
      <c r="AB8" s="1">
        <v>1828</v>
      </c>
      <c r="AC8" s="1">
        <v>9134</v>
      </c>
      <c r="AD8">
        <v>234</v>
      </c>
      <c r="AE8">
        <v>763</v>
      </c>
      <c r="AF8">
        <v>483</v>
      </c>
      <c r="AG8">
        <v>34</v>
      </c>
      <c r="AH8">
        <v>133</v>
      </c>
      <c r="AI8">
        <v>278</v>
      </c>
      <c r="AJ8" s="1">
        <v>9036</v>
      </c>
      <c r="AM8">
        <v>8784</v>
      </c>
    </row>
    <row r="9" spans="1:40" ht="14.45" x14ac:dyDescent="0.3">
      <c r="A9">
        <v>2009</v>
      </c>
      <c r="B9" s="1">
        <v>45978</v>
      </c>
      <c r="C9">
        <v>583</v>
      </c>
      <c r="D9">
        <v>492</v>
      </c>
      <c r="E9">
        <v>779</v>
      </c>
      <c r="F9" s="1">
        <v>37824</v>
      </c>
      <c r="G9" s="1">
        <v>3696</v>
      </c>
      <c r="H9" s="1">
        <v>2604</v>
      </c>
      <c r="I9" s="1">
        <v>44124</v>
      </c>
      <c r="J9" s="18">
        <v>44.5</v>
      </c>
      <c r="K9" s="2">
        <f t="shared" si="0"/>
        <v>0.49312929646507808</v>
      </c>
      <c r="L9" s="2">
        <f t="shared" si="1"/>
        <v>4.8129296465078075E-2</v>
      </c>
      <c r="N9">
        <v>2009</v>
      </c>
      <c r="O9" s="1">
        <v>10853</v>
      </c>
      <c r="P9" s="1">
        <v>1618</v>
      </c>
      <c r="Q9" s="1">
        <v>9235</v>
      </c>
      <c r="R9">
        <v>262</v>
      </c>
      <c r="S9">
        <v>291</v>
      </c>
      <c r="T9">
        <v>271</v>
      </c>
      <c r="U9">
        <v>84</v>
      </c>
      <c r="V9">
        <v>211</v>
      </c>
      <c r="W9">
        <v>110</v>
      </c>
      <c r="X9" s="1">
        <v>9624</v>
      </c>
      <c r="Y9" s="1"/>
      <c r="Z9" t="s">
        <v>58</v>
      </c>
      <c r="AA9" s="1">
        <v>12089</v>
      </c>
      <c r="AB9" s="1">
        <v>2229</v>
      </c>
      <c r="AC9" s="1">
        <v>9860</v>
      </c>
      <c r="AD9">
        <v>268</v>
      </c>
      <c r="AE9">
        <v>759</v>
      </c>
      <c r="AF9">
        <v>518</v>
      </c>
      <c r="AG9">
        <v>71</v>
      </c>
      <c r="AH9">
        <v>148</v>
      </c>
      <c r="AI9">
        <v>291</v>
      </c>
      <c r="AJ9" s="35">
        <v>10034</v>
      </c>
      <c r="AM9">
        <v>8760</v>
      </c>
    </row>
    <row r="10" spans="1:40" ht="14.45" x14ac:dyDescent="0.3">
      <c r="A10">
        <v>2010</v>
      </c>
      <c r="B10" s="1">
        <v>48135</v>
      </c>
      <c r="C10">
        <v>638</v>
      </c>
      <c r="D10">
        <v>558</v>
      </c>
      <c r="E10">
        <v>779</v>
      </c>
      <c r="F10" s="1">
        <v>38925</v>
      </c>
      <c r="G10" s="1">
        <v>3493</v>
      </c>
      <c r="H10" s="1">
        <v>3742</v>
      </c>
      <c r="I10" s="1">
        <v>46160</v>
      </c>
      <c r="J10" s="18">
        <v>45.3</v>
      </c>
      <c r="K10" s="2">
        <f t="shared" si="0"/>
        <v>0.44391426324376992</v>
      </c>
      <c r="L10" s="2">
        <f t="shared" si="1"/>
        <v>-9.085736756230034E-3</v>
      </c>
      <c r="N10">
        <v>2010</v>
      </c>
      <c r="O10" s="1">
        <v>10242</v>
      </c>
      <c r="P10" s="1">
        <v>1272</v>
      </c>
      <c r="Q10" s="1">
        <v>8970</v>
      </c>
      <c r="R10">
        <v>271</v>
      </c>
      <c r="S10">
        <v>304</v>
      </c>
      <c r="T10">
        <v>298</v>
      </c>
      <c r="U10">
        <v>96</v>
      </c>
      <c r="V10">
        <v>234</v>
      </c>
      <c r="W10">
        <v>110</v>
      </c>
      <c r="X10" s="1">
        <v>8929</v>
      </c>
      <c r="Y10" s="1"/>
      <c r="Z10" t="s">
        <v>59</v>
      </c>
      <c r="AA10" s="1">
        <v>13694</v>
      </c>
      <c r="AB10" s="1">
        <v>2189</v>
      </c>
      <c r="AC10" s="1">
        <v>11505</v>
      </c>
      <c r="AD10">
        <v>246</v>
      </c>
      <c r="AE10">
        <v>651</v>
      </c>
      <c r="AF10">
        <v>563</v>
      </c>
      <c r="AG10">
        <v>80</v>
      </c>
      <c r="AH10">
        <v>163</v>
      </c>
      <c r="AI10">
        <v>322</v>
      </c>
      <c r="AJ10" s="35">
        <v>11670</v>
      </c>
      <c r="AM10">
        <v>8760</v>
      </c>
    </row>
    <row r="11" spans="1:40" ht="14.45" x14ac:dyDescent="0.3">
      <c r="A11">
        <v>2011</v>
      </c>
      <c r="B11" s="1">
        <v>44580</v>
      </c>
      <c r="C11">
        <v>687</v>
      </c>
      <c r="D11">
        <v>624</v>
      </c>
      <c r="E11">
        <v>779</v>
      </c>
      <c r="F11" s="1">
        <v>37597</v>
      </c>
      <c r="G11" s="1">
        <v>2712</v>
      </c>
      <c r="H11" s="1">
        <v>2181</v>
      </c>
      <c r="I11" s="1">
        <v>42490</v>
      </c>
      <c r="J11" s="18">
        <v>46.7</v>
      </c>
      <c r="K11" s="2">
        <f t="shared" si="0"/>
        <v>0.51265392768790874</v>
      </c>
      <c r="L11" s="2">
        <f t="shared" si="1"/>
        <v>4.5653927687908713E-2</v>
      </c>
      <c r="N11">
        <v>2011</v>
      </c>
      <c r="O11" s="1">
        <v>9972</v>
      </c>
      <c r="P11">
        <v>934</v>
      </c>
      <c r="Q11" s="1">
        <v>9038</v>
      </c>
      <c r="R11">
        <v>227</v>
      </c>
      <c r="S11">
        <v>317</v>
      </c>
      <c r="T11">
        <v>329</v>
      </c>
      <c r="U11">
        <v>97</v>
      </c>
      <c r="V11">
        <v>256</v>
      </c>
      <c r="W11">
        <v>110</v>
      </c>
      <c r="X11" s="1">
        <v>8636</v>
      </c>
      <c r="Y11" s="1"/>
      <c r="Z11" t="s">
        <v>60</v>
      </c>
      <c r="AA11" s="1">
        <v>11343</v>
      </c>
      <c r="AB11" s="1">
        <v>1625</v>
      </c>
      <c r="AC11" s="1">
        <v>9718</v>
      </c>
      <c r="AD11">
        <v>271</v>
      </c>
      <c r="AE11">
        <v>661</v>
      </c>
      <c r="AF11">
        <v>628</v>
      </c>
      <c r="AG11">
        <v>94</v>
      </c>
      <c r="AH11">
        <v>180</v>
      </c>
      <c r="AI11">
        <v>221</v>
      </c>
      <c r="AJ11" s="35">
        <v>9288</v>
      </c>
      <c r="AM11">
        <v>8760</v>
      </c>
    </row>
    <row r="12" spans="1:40" ht="14.45" x14ac:dyDescent="0.3">
      <c r="A12">
        <v>2012</v>
      </c>
      <c r="B12" s="1">
        <v>43396</v>
      </c>
      <c r="C12">
        <v>733</v>
      </c>
      <c r="D12">
        <v>669</v>
      </c>
      <c r="E12">
        <v>780</v>
      </c>
      <c r="F12" s="1">
        <v>36381</v>
      </c>
      <c r="G12" s="1">
        <v>1768</v>
      </c>
      <c r="H12" s="1">
        <v>3065</v>
      </c>
      <c r="I12" s="1">
        <v>41214</v>
      </c>
      <c r="J12" s="18">
        <v>52</v>
      </c>
      <c r="K12" s="2">
        <f>((I12-E12)*1000)/AM12/(MAX(X12,AJ12))</f>
        <v>0.55213411017185232</v>
      </c>
      <c r="L12" s="2">
        <f t="shared" si="1"/>
        <v>3.2134110171852304E-2</v>
      </c>
      <c r="N12">
        <v>2012</v>
      </c>
      <c r="O12" s="1">
        <v>9788</v>
      </c>
      <c r="P12">
        <v>1080</v>
      </c>
      <c r="Q12" s="1">
        <v>8708</v>
      </c>
      <c r="R12">
        <v>262</v>
      </c>
      <c r="S12">
        <v>328</v>
      </c>
      <c r="T12">
        <v>358</v>
      </c>
      <c r="U12">
        <v>98</v>
      </c>
      <c r="V12">
        <v>280</v>
      </c>
      <c r="W12">
        <v>124</v>
      </c>
      <c r="X12" s="35">
        <v>8337</v>
      </c>
      <c r="Y12" s="1"/>
      <c r="Z12" t="s">
        <v>61</v>
      </c>
      <c r="AA12" s="1">
        <v>9721</v>
      </c>
      <c r="AB12">
        <v>905</v>
      </c>
      <c r="AC12" s="1">
        <v>8816</v>
      </c>
      <c r="AD12">
        <v>186</v>
      </c>
      <c r="AE12">
        <v>643</v>
      </c>
      <c r="AF12">
        <v>686</v>
      </c>
      <c r="AG12">
        <v>96</v>
      </c>
      <c r="AH12">
        <v>203</v>
      </c>
      <c r="AI12">
        <v>206</v>
      </c>
      <c r="AJ12" s="1">
        <v>7701</v>
      </c>
      <c r="AM12">
        <v>8784</v>
      </c>
    </row>
    <row r="13" spans="1:40" ht="14.45" x14ac:dyDescent="0.3">
      <c r="A13">
        <v>2013</v>
      </c>
      <c r="B13" s="1">
        <v>43142</v>
      </c>
      <c r="C13">
        <v>772</v>
      </c>
      <c r="D13">
        <v>734</v>
      </c>
      <c r="E13">
        <v>864</v>
      </c>
      <c r="F13" s="1">
        <v>36616</v>
      </c>
      <c r="G13" s="1">
        <v>1488</v>
      </c>
      <c r="H13" s="1">
        <v>2668</v>
      </c>
      <c r="I13" s="1">
        <v>40772</v>
      </c>
      <c r="J13" s="18">
        <v>53</v>
      </c>
      <c r="K13" s="2">
        <f>((I13-E13)*1000)/AM13/(MAX(X13,AJ13))</f>
        <v>0.56825592647587342</v>
      </c>
      <c r="L13" s="2">
        <f t="shared" si="1"/>
        <v>3.8255926475873392E-2</v>
      </c>
      <c r="N13">
        <v>2013</v>
      </c>
      <c r="O13" s="1">
        <v>9581</v>
      </c>
      <c r="P13">
        <v>581</v>
      </c>
      <c r="Q13" s="1">
        <v>9000</v>
      </c>
      <c r="R13">
        <v>317</v>
      </c>
      <c r="S13">
        <v>341</v>
      </c>
      <c r="T13">
        <v>382</v>
      </c>
      <c r="U13">
        <v>101</v>
      </c>
      <c r="V13">
        <v>298</v>
      </c>
      <c r="W13">
        <v>124</v>
      </c>
      <c r="X13" s="35">
        <v>8017</v>
      </c>
      <c r="Y13" s="1"/>
      <c r="Z13" t="s">
        <v>62</v>
      </c>
      <c r="AA13" s="1">
        <v>9109</v>
      </c>
      <c r="AB13">
        <v>831</v>
      </c>
      <c r="AC13" s="1">
        <v>8278</v>
      </c>
      <c r="AD13">
        <v>287</v>
      </c>
      <c r="AE13">
        <v>652</v>
      </c>
      <c r="AF13">
        <v>747</v>
      </c>
      <c r="AG13">
        <v>97</v>
      </c>
      <c r="AH13">
        <v>220</v>
      </c>
      <c r="AI13">
        <v>213</v>
      </c>
      <c r="AJ13" s="1">
        <v>6893</v>
      </c>
      <c r="AM13">
        <v>8760</v>
      </c>
    </row>
    <row r="14" spans="1:40" ht="14.45" x14ac:dyDescent="0.3">
      <c r="A14">
        <v>2014</v>
      </c>
      <c r="B14" s="1">
        <v>43442</v>
      </c>
      <c r="C14">
        <v>812</v>
      </c>
      <c r="D14">
        <v>791</v>
      </c>
      <c r="E14">
        <v>864</v>
      </c>
      <c r="F14" s="1">
        <v>37240</v>
      </c>
      <c r="G14" s="1">
        <v>1333</v>
      </c>
      <c r="H14" s="1">
        <v>2402</v>
      </c>
      <c r="I14" s="1">
        <v>40975</v>
      </c>
      <c r="J14" s="18">
        <v>50.7</v>
      </c>
      <c r="K14" s="2">
        <f>((I14-E14)*1000)/AM14/(MAX(X14,AJ14))</f>
        <v>0.53723821172577879</v>
      </c>
      <c r="L14" s="2">
        <f t="shared" si="1"/>
        <v>3.0238211725778785E-2</v>
      </c>
      <c r="N14">
        <v>2014</v>
      </c>
      <c r="O14" s="1">
        <v>10067</v>
      </c>
      <c r="P14">
        <v>814</v>
      </c>
      <c r="Q14" s="1">
        <v>9253</v>
      </c>
      <c r="R14">
        <v>232</v>
      </c>
      <c r="S14">
        <v>355</v>
      </c>
      <c r="T14">
        <v>404</v>
      </c>
      <c r="U14">
        <v>108</v>
      </c>
      <c r="V14">
        <v>313</v>
      </c>
      <c r="W14">
        <v>132</v>
      </c>
      <c r="X14" s="35">
        <v>8523</v>
      </c>
      <c r="Y14" s="1"/>
      <c r="Z14" t="s">
        <v>63</v>
      </c>
      <c r="AA14" s="1">
        <v>9467</v>
      </c>
      <c r="AB14">
        <v>658</v>
      </c>
      <c r="AC14" s="1">
        <v>8809</v>
      </c>
      <c r="AD14">
        <v>257</v>
      </c>
      <c r="AE14">
        <v>654</v>
      </c>
      <c r="AF14">
        <v>785</v>
      </c>
      <c r="AG14">
        <v>101</v>
      </c>
      <c r="AH14">
        <v>229</v>
      </c>
      <c r="AI14">
        <v>219</v>
      </c>
      <c r="AJ14" s="1">
        <v>7222</v>
      </c>
      <c r="AM14">
        <v>8760</v>
      </c>
    </row>
    <row r="15" spans="1:40" ht="14.45" x14ac:dyDescent="0.3">
      <c r="A15" s="14">
        <v>2015</v>
      </c>
      <c r="B15" s="15">
        <v>44837</v>
      </c>
      <c r="C15" s="14">
        <v>836</v>
      </c>
      <c r="D15" s="14">
        <v>808</v>
      </c>
      <c r="E15" s="14">
        <v>913</v>
      </c>
      <c r="F15" s="15">
        <v>38553</v>
      </c>
      <c r="G15" s="15">
        <v>1243</v>
      </c>
      <c r="H15" s="15">
        <v>2484</v>
      </c>
      <c r="I15" s="15">
        <v>42280</v>
      </c>
      <c r="J15" s="19">
        <v>50.9</v>
      </c>
      <c r="K15" s="16">
        <f>(I15*1000)/AM15/9473</f>
        <v>0.50949899907788876</v>
      </c>
      <c r="L15" s="16">
        <f t="shared" si="1"/>
        <v>4.9899907788875097E-4</v>
      </c>
      <c r="M15" s="15"/>
      <c r="N15" s="14">
        <v>2015</v>
      </c>
      <c r="O15" s="15">
        <v>10107</v>
      </c>
      <c r="P15" s="14">
        <v>772</v>
      </c>
      <c r="Q15" s="15">
        <v>9335</v>
      </c>
      <c r="R15" s="14">
        <v>303</v>
      </c>
      <c r="S15" s="14">
        <v>363</v>
      </c>
      <c r="T15" s="14">
        <v>435</v>
      </c>
      <c r="U15" s="14">
        <v>113</v>
      </c>
      <c r="V15" s="14">
        <v>322</v>
      </c>
      <c r="W15" s="14">
        <v>132</v>
      </c>
      <c r="X15" s="36">
        <v>8438</v>
      </c>
      <c r="Z15" s="14" t="s">
        <v>64</v>
      </c>
      <c r="AA15" s="15">
        <v>10648</v>
      </c>
      <c r="AB15" s="15">
        <v>1035</v>
      </c>
      <c r="AC15" s="15">
        <v>9613</v>
      </c>
      <c r="AD15" s="14">
        <v>273</v>
      </c>
      <c r="AE15" s="14">
        <v>669</v>
      </c>
      <c r="AF15" s="14">
        <v>815</v>
      </c>
      <c r="AG15" s="14">
        <v>109</v>
      </c>
      <c r="AH15" s="14">
        <v>236</v>
      </c>
      <c r="AI15" s="14">
        <v>237</v>
      </c>
      <c r="AJ15" s="15">
        <v>8309</v>
      </c>
      <c r="AK15" s="1"/>
      <c r="AL15" s="1"/>
      <c r="AM15">
        <v>8760</v>
      </c>
    </row>
    <row r="16" spans="1:40" ht="14.45" x14ac:dyDescent="0.3">
      <c r="A16">
        <v>2016</v>
      </c>
      <c r="B16" s="1">
        <v>43876</v>
      </c>
      <c r="C16">
        <v>859</v>
      </c>
      <c r="D16">
        <v>823</v>
      </c>
      <c r="E16">
        <v>916</v>
      </c>
      <c r="F16" s="1">
        <v>38014</v>
      </c>
      <c r="G16" s="1">
        <v>1064</v>
      </c>
      <c r="H16" s="1">
        <v>2199</v>
      </c>
      <c r="I16" s="1">
        <v>41277</v>
      </c>
      <c r="J16" s="18">
        <v>49.8</v>
      </c>
      <c r="K16" s="2">
        <f>(I16*1000)/AM16/AJ16</f>
        <v>0.49794553585439477</v>
      </c>
      <c r="L16" s="2">
        <f t="shared" si="1"/>
        <v>-5.4464145605226388E-5</v>
      </c>
      <c r="N16">
        <v>2016</v>
      </c>
      <c r="O16" s="1">
        <v>10440</v>
      </c>
      <c r="P16">
        <v>647</v>
      </c>
      <c r="Q16" s="1">
        <v>9793</v>
      </c>
      <c r="R16">
        <v>248</v>
      </c>
      <c r="S16">
        <v>352</v>
      </c>
      <c r="T16">
        <v>460</v>
      </c>
      <c r="U16">
        <v>117</v>
      </c>
      <c r="V16">
        <v>316</v>
      </c>
      <c r="W16">
        <v>132</v>
      </c>
      <c r="X16" s="1">
        <v>8815</v>
      </c>
      <c r="Z16" t="s">
        <v>65</v>
      </c>
      <c r="AA16" s="1">
        <v>11791</v>
      </c>
      <c r="AB16" s="1">
        <v>1344</v>
      </c>
      <c r="AC16" s="1">
        <v>10447</v>
      </c>
      <c r="AD16">
        <v>225</v>
      </c>
      <c r="AE16">
        <v>681</v>
      </c>
      <c r="AF16">
        <v>851</v>
      </c>
      <c r="AG16">
        <v>113</v>
      </c>
      <c r="AH16">
        <v>237</v>
      </c>
      <c r="AI16">
        <v>247</v>
      </c>
      <c r="AJ16" s="35">
        <v>9437</v>
      </c>
      <c r="AK16" s="1"/>
      <c r="AM16">
        <v>8784</v>
      </c>
    </row>
    <row r="17" spans="1:39" ht="14.45" x14ac:dyDescent="0.3">
      <c r="A17">
        <v>2017</v>
      </c>
      <c r="B17" s="1">
        <v>44561</v>
      </c>
      <c r="C17">
        <v>879</v>
      </c>
      <c r="D17">
        <v>837</v>
      </c>
      <c r="E17">
        <v>913</v>
      </c>
      <c r="F17" s="1">
        <v>38921</v>
      </c>
      <c r="G17" s="1">
        <v>1167</v>
      </c>
      <c r="H17" s="1">
        <v>1844</v>
      </c>
      <c r="I17" s="1">
        <v>41932</v>
      </c>
      <c r="J17" s="18">
        <v>51</v>
      </c>
      <c r="K17" s="2">
        <f>(I17*1000)/AM17/AJ17</f>
        <v>0.50950058444572432</v>
      </c>
      <c r="L17" s="2">
        <f t="shared" si="1"/>
        <v>-4.9941555427568396E-4</v>
      </c>
      <c r="N17">
        <v>2017</v>
      </c>
      <c r="O17" s="1">
        <v>10731</v>
      </c>
      <c r="P17">
        <v>752</v>
      </c>
      <c r="Q17" s="1">
        <v>9979</v>
      </c>
      <c r="R17">
        <v>252</v>
      </c>
      <c r="S17">
        <v>358</v>
      </c>
      <c r="T17">
        <v>494</v>
      </c>
      <c r="U17">
        <v>122</v>
      </c>
      <c r="V17">
        <v>336</v>
      </c>
      <c r="W17">
        <v>132</v>
      </c>
      <c r="X17" s="1">
        <v>9038</v>
      </c>
      <c r="Z17" t="s">
        <v>66</v>
      </c>
      <c r="AA17" s="1">
        <v>11805</v>
      </c>
      <c r="AB17" s="1">
        <v>1197</v>
      </c>
      <c r="AC17" s="1">
        <v>10608</v>
      </c>
      <c r="AD17">
        <v>229</v>
      </c>
      <c r="AE17">
        <v>693</v>
      </c>
      <c r="AF17">
        <v>885</v>
      </c>
      <c r="AG17">
        <v>117</v>
      </c>
      <c r="AH17">
        <v>238</v>
      </c>
      <c r="AI17">
        <v>249</v>
      </c>
      <c r="AJ17" s="35">
        <v>9395</v>
      </c>
      <c r="AM17">
        <v>8760</v>
      </c>
    </row>
    <row r="18" spans="1:39" ht="14.45" x14ac:dyDescent="0.3">
      <c r="A18">
        <v>2018</v>
      </c>
      <c r="B18" s="1">
        <v>45074</v>
      </c>
      <c r="C18">
        <v>895</v>
      </c>
      <c r="D18">
        <v>849</v>
      </c>
      <c r="E18">
        <v>913</v>
      </c>
      <c r="F18" s="1">
        <v>39311</v>
      </c>
      <c r="G18" s="1">
        <v>1170</v>
      </c>
      <c r="H18" s="1">
        <v>1936</v>
      </c>
      <c r="I18" s="1">
        <v>42417</v>
      </c>
      <c r="J18" s="18">
        <v>51.1</v>
      </c>
      <c r="K18" s="2">
        <f t="shared" ref="K18:K25" si="2">(I18*1000)/AM18/AJ18</f>
        <v>0.51077249869949715</v>
      </c>
      <c r="L18" s="2">
        <f t="shared" si="1"/>
        <v>-2.2750130050286366E-4</v>
      </c>
      <c r="N18">
        <v>2018</v>
      </c>
      <c r="O18" s="1">
        <v>10889</v>
      </c>
      <c r="P18">
        <v>753</v>
      </c>
      <c r="Q18" s="1">
        <v>10136</v>
      </c>
      <c r="R18">
        <v>258</v>
      </c>
      <c r="S18">
        <v>364</v>
      </c>
      <c r="T18">
        <v>523</v>
      </c>
      <c r="U18">
        <v>126</v>
      </c>
      <c r="V18">
        <v>341</v>
      </c>
      <c r="W18">
        <v>132</v>
      </c>
      <c r="X18" s="1">
        <v>9145</v>
      </c>
      <c r="Z18" t="s">
        <v>67</v>
      </c>
      <c r="AA18" s="1">
        <v>11943</v>
      </c>
      <c r="AB18" s="1">
        <v>1198</v>
      </c>
      <c r="AC18" s="1">
        <v>10745</v>
      </c>
      <c r="AD18">
        <v>233</v>
      </c>
      <c r="AE18">
        <v>705</v>
      </c>
      <c r="AF18">
        <v>914</v>
      </c>
      <c r="AG18">
        <v>122</v>
      </c>
      <c r="AH18">
        <v>238</v>
      </c>
      <c r="AI18">
        <v>250</v>
      </c>
      <c r="AJ18" s="35">
        <v>9480</v>
      </c>
      <c r="AM18">
        <v>8760</v>
      </c>
    </row>
    <row r="19" spans="1:39" ht="14.45" x14ac:dyDescent="0.3">
      <c r="A19">
        <v>2019</v>
      </c>
      <c r="B19" s="1">
        <v>45724</v>
      </c>
      <c r="C19">
        <v>907</v>
      </c>
      <c r="D19">
        <v>860</v>
      </c>
      <c r="E19">
        <v>913</v>
      </c>
      <c r="F19" s="1">
        <v>39621</v>
      </c>
      <c r="G19" s="1">
        <v>1367</v>
      </c>
      <c r="H19" s="1">
        <v>2056</v>
      </c>
      <c r="I19" s="1">
        <v>43044</v>
      </c>
      <c r="J19" s="18">
        <v>51.2</v>
      </c>
      <c r="K19" s="2">
        <f>(I19*1000)/AM19/AJ19</f>
        <v>0.51205696437442538</v>
      </c>
      <c r="L19" s="2">
        <f t="shared" si="1"/>
        <v>5.6964374425372277E-5</v>
      </c>
      <c r="N19">
        <v>2019</v>
      </c>
      <c r="O19" s="1">
        <v>11345</v>
      </c>
      <c r="P19" s="1">
        <v>1004</v>
      </c>
      <c r="Q19" s="1">
        <v>10341</v>
      </c>
      <c r="R19">
        <v>273</v>
      </c>
      <c r="S19">
        <v>370</v>
      </c>
      <c r="T19">
        <v>547</v>
      </c>
      <c r="U19">
        <v>130</v>
      </c>
      <c r="V19">
        <v>346</v>
      </c>
      <c r="W19">
        <v>132</v>
      </c>
      <c r="X19" s="1">
        <v>9546</v>
      </c>
      <c r="Z19" t="s">
        <v>68</v>
      </c>
      <c r="AA19" s="1">
        <v>12115</v>
      </c>
      <c r="AB19" s="1">
        <v>1198</v>
      </c>
      <c r="AC19" s="1">
        <v>10917</v>
      </c>
      <c r="AD19">
        <v>247</v>
      </c>
      <c r="AE19">
        <v>717</v>
      </c>
      <c r="AF19">
        <v>938</v>
      </c>
      <c r="AG19">
        <v>126</v>
      </c>
      <c r="AH19">
        <v>239</v>
      </c>
      <c r="AI19">
        <v>252</v>
      </c>
      <c r="AJ19" s="35">
        <v>9596</v>
      </c>
      <c r="AM19">
        <v>8760</v>
      </c>
    </row>
    <row r="20" spans="1:39" ht="14.45" x14ac:dyDescent="0.3">
      <c r="A20">
        <v>2020</v>
      </c>
      <c r="B20" s="1">
        <v>46258</v>
      </c>
      <c r="C20">
        <v>916</v>
      </c>
      <c r="D20">
        <v>868</v>
      </c>
      <c r="E20">
        <v>916</v>
      </c>
      <c r="F20" s="1">
        <v>40257</v>
      </c>
      <c r="G20" s="1">
        <v>1350</v>
      </c>
      <c r="H20" s="1">
        <v>1951</v>
      </c>
      <c r="I20" s="1">
        <v>43559</v>
      </c>
      <c r="J20" s="18">
        <v>49.9</v>
      </c>
      <c r="K20" s="2">
        <f t="shared" si="2"/>
        <v>0.49938595670604985</v>
      </c>
      <c r="L20" s="2">
        <f t="shared" si="1"/>
        <v>3.8595670604985033E-4</v>
      </c>
      <c r="N20">
        <v>2020</v>
      </c>
      <c r="O20" s="1">
        <v>11498</v>
      </c>
      <c r="P20">
        <v>965</v>
      </c>
      <c r="Q20" s="1">
        <v>10533</v>
      </c>
      <c r="R20">
        <v>289</v>
      </c>
      <c r="S20">
        <v>375</v>
      </c>
      <c r="T20">
        <v>565</v>
      </c>
      <c r="U20">
        <v>135</v>
      </c>
      <c r="V20">
        <v>350</v>
      </c>
      <c r="W20">
        <v>132</v>
      </c>
      <c r="X20" s="1">
        <v>9652</v>
      </c>
      <c r="Z20" t="s">
        <v>69</v>
      </c>
      <c r="AA20" s="1">
        <v>12500</v>
      </c>
      <c r="AB20" s="1">
        <v>1408</v>
      </c>
      <c r="AC20" s="1">
        <v>11092</v>
      </c>
      <c r="AD20">
        <v>261</v>
      </c>
      <c r="AE20">
        <v>729</v>
      </c>
      <c r="AF20">
        <v>956</v>
      </c>
      <c r="AG20">
        <v>130</v>
      </c>
      <c r="AH20">
        <v>239</v>
      </c>
      <c r="AI20">
        <v>254</v>
      </c>
      <c r="AJ20" s="35">
        <v>9930</v>
      </c>
      <c r="AM20">
        <v>8784</v>
      </c>
    </row>
    <row r="21" spans="1:39" ht="14.45" x14ac:dyDescent="0.3">
      <c r="A21">
        <v>2021</v>
      </c>
      <c r="B21" s="1">
        <v>46604</v>
      </c>
      <c r="C21">
        <v>922</v>
      </c>
      <c r="D21">
        <v>873</v>
      </c>
      <c r="E21">
        <v>913</v>
      </c>
      <c r="F21" s="1">
        <v>40762</v>
      </c>
      <c r="G21" s="1">
        <v>1349</v>
      </c>
      <c r="H21" s="1">
        <v>1785</v>
      </c>
      <c r="I21" s="1">
        <v>43895</v>
      </c>
      <c r="J21" s="18">
        <v>52</v>
      </c>
      <c r="K21" s="2">
        <f>(I21*1000)/AM21/AJ21</f>
        <v>0.5201208998192286</v>
      </c>
      <c r="L21" s="2">
        <f t="shared" si="1"/>
        <v>1.2089981922858151E-4</v>
      </c>
      <c r="N21">
        <v>2021</v>
      </c>
      <c r="O21" s="1">
        <v>11643</v>
      </c>
      <c r="P21">
        <v>965</v>
      </c>
      <c r="Q21" s="1">
        <v>10678</v>
      </c>
      <c r="R21">
        <v>289</v>
      </c>
      <c r="S21">
        <v>381</v>
      </c>
      <c r="T21">
        <v>578</v>
      </c>
      <c r="U21">
        <v>139</v>
      </c>
      <c r="V21">
        <v>353</v>
      </c>
      <c r="W21">
        <v>132</v>
      </c>
      <c r="X21" s="35">
        <v>9772</v>
      </c>
      <c r="Z21" t="s">
        <v>70</v>
      </c>
      <c r="AA21" s="1">
        <v>12235</v>
      </c>
      <c r="AB21" s="1">
        <v>1008</v>
      </c>
      <c r="AC21" s="1">
        <v>11227</v>
      </c>
      <c r="AD21">
        <v>261</v>
      </c>
      <c r="AE21">
        <v>741</v>
      </c>
      <c r="AF21">
        <v>969</v>
      </c>
      <c r="AG21">
        <v>134</v>
      </c>
      <c r="AH21">
        <v>240</v>
      </c>
      <c r="AI21">
        <v>256</v>
      </c>
      <c r="AJ21" s="1">
        <v>9634</v>
      </c>
      <c r="AM21">
        <v>8760</v>
      </c>
    </row>
    <row r="22" spans="1:39" ht="14.45" x14ac:dyDescent="0.3">
      <c r="A22">
        <v>2022</v>
      </c>
      <c r="B22" s="1">
        <v>47005</v>
      </c>
      <c r="C22">
        <v>926</v>
      </c>
      <c r="D22">
        <v>878</v>
      </c>
      <c r="E22">
        <v>913</v>
      </c>
      <c r="F22" s="1">
        <v>41192</v>
      </c>
      <c r="G22" s="1">
        <v>1349</v>
      </c>
      <c r="H22" s="1">
        <v>1748</v>
      </c>
      <c r="I22" s="1">
        <v>44289</v>
      </c>
      <c r="J22" s="18">
        <v>51.9</v>
      </c>
      <c r="K22" s="2">
        <f>(I22*1000)/AM22/AJ22</f>
        <v>0.51934482976971952</v>
      </c>
      <c r="L22" s="2">
        <f t="shared" si="1"/>
        <v>3.448297697195013E-4</v>
      </c>
      <c r="N22">
        <v>2022</v>
      </c>
      <c r="O22" s="1">
        <v>11785</v>
      </c>
      <c r="P22">
        <v>965</v>
      </c>
      <c r="Q22" s="1">
        <v>10820</v>
      </c>
      <c r="R22">
        <v>289</v>
      </c>
      <c r="S22">
        <v>387</v>
      </c>
      <c r="T22">
        <v>587</v>
      </c>
      <c r="U22">
        <v>143</v>
      </c>
      <c r="V22">
        <v>355</v>
      </c>
      <c r="W22">
        <v>132</v>
      </c>
      <c r="X22" s="35">
        <v>9893</v>
      </c>
      <c r="Z22" t="s">
        <v>71</v>
      </c>
      <c r="AA22" s="1">
        <v>12363</v>
      </c>
      <c r="AB22" s="1">
        <v>1008</v>
      </c>
      <c r="AC22" s="1">
        <v>11355</v>
      </c>
      <c r="AD22">
        <v>261</v>
      </c>
      <c r="AE22">
        <v>753</v>
      </c>
      <c r="AF22">
        <v>978</v>
      </c>
      <c r="AG22">
        <v>138</v>
      </c>
      <c r="AH22">
        <v>240</v>
      </c>
      <c r="AI22">
        <v>257</v>
      </c>
      <c r="AJ22" s="1">
        <v>9735</v>
      </c>
      <c r="AK22" s="1"/>
      <c r="AM22">
        <v>8760</v>
      </c>
    </row>
    <row r="23" spans="1:39" ht="14.45" x14ac:dyDescent="0.3">
      <c r="A23">
        <v>2023</v>
      </c>
      <c r="B23" s="1">
        <v>47443</v>
      </c>
      <c r="C23">
        <v>928</v>
      </c>
      <c r="D23">
        <v>881</v>
      </c>
      <c r="E23">
        <v>913</v>
      </c>
      <c r="F23" s="1">
        <v>41641</v>
      </c>
      <c r="G23" s="1">
        <v>1350</v>
      </c>
      <c r="H23" s="1">
        <v>1688</v>
      </c>
      <c r="I23" s="1">
        <v>44679</v>
      </c>
      <c r="J23" s="18">
        <v>51.9</v>
      </c>
      <c r="K23" s="2">
        <f t="shared" si="2"/>
        <v>0.51853827427342658</v>
      </c>
      <c r="L23" s="2">
        <f t="shared" si="1"/>
        <v>-4.6172572657343647E-4</v>
      </c>
      <c r="N23">
        <v>2023</v>
      </c>
      <c r="O23" s="1">
        <v>11919</v>
      </c>
      <c r="P23">
        <v>965</v>
      </c>
      <c r="Q23" s="1">
        <v>10954</v>
      </c>
      <c r="R23">
        <v>289</v>
      </c>
      <c r="S23">
        <v>393</v>
      </c>
      <c r="T23">
        <v>592</v>
      </c>
      <c r="U23">
        <v>147</v>
      </c>
      <c r="V23">
        <v>356</v>
      </c>
      <c r="W23">
        <v>132</v>
      </c>
      <c r="X23" s="35">
        <v>10011</v>
      </c>
      <c r="Z23" t="s">
        <v>72</v>
      </c>
      <c r="AA23" s="1">
        <v>12486</v>
      </c>
      <c r="AB23" s="1">
        <v>1008</v>
      </c>
      <c r="AC23" s="1">
        <v>11478</v>
      </c>
      <c r="AD23">
        <v>261</v>
      </c>
      <c r="AE23">
        <v>765</v>
      </c>
      <c r="AF23">
        <v>983</v>
      </c>
      <c r="AG23">
        <v>143</v>
      </c>
      <c r="AH23">
        <v>240</v>
      </c>
      <c r="AI23">
        <v>259</v>
      </c>
      <c r="AJ23" s="1">
        <v>9836</v>
      </c>
      <c r="AM23">
        <v>8760</v>
      </c>
    </row>
    <row r="24" spans="1:39" ht="14.45" x14ac:dyDescent="0.3">
      <c r="A24">
        <v>2024</v>
      </c>
      <c r="B24" s="1">
        <v>47711</v>
      </c>
      <c r="C24">
        <v>929</v>
      </c>
      <c r="D24">
        <v>884</v>
      </c>
      <c r="E24">
        <v>916</v>
      </c>
      <c r="F24" s="1">
        <v>41835</v>
      </c>
      <c r="G24" s="1">
        <v>1352</v>
      </c>
      <c r="H24" s="1">
        <v>1794</v>
      </c>
      <c r="I24" s="1">
        <v>44982</v>
      </c>
      <c r="J24" s="18">
        <v>51.4</v>
      </c>
      <c r="K24" s="2">
        <f>(I24*1000)/AM24/AJ24</f>
        <v>0.51394034919151577</v>
      </c>
      <c r="L24" s="2">
        <f t="shared" si="1"/>
        <v>-5.9650808484246198E-5</v>
      </c>
      <c r="N24">
        <v>2024</v>
      </c>
      <c r="O24" s="1">
        <v>12048</v>
      </c>
      <c r="P24">
        <v>965</v>
      </c>
      <c r="Q24" s="1">
        <v>11083</v>
      </c>
      <c r="R24">
        <v>257</v>
      </c>
      <c r="S24">
        <v>398</v>
      </c>
      <c r="T24">
        <v>595</v>
      </c>
      <c r="U24">
        <v>151</v>
      </c>
      <c r="V24">
        <v>357</v>
      </c>
      <c r="W24">
        <v>132</v>
      </c>
      <c r="X24" s="35">
        <v>10158</v>
      </c>
      <c r="Z24" t="s">
        <v>73</v>
      </c>
      <c r="AA24" s="1">
        <v>12606</v>
      </c>
      <c r="AB24" s="1">
        <v>1008</v>
      </c>
      <c r="AC24" s="1">
        <v>11598</v>
      </c>
      <c r="AD24">
        <v>232</v>
      </c>
      <c r="AE24">
        <v>777</v>
      </c>
      <c r="AF24">
        <v>986</v>
      </c>
      <c r="AG24">
        <v>147</v>
      </c>
      <c r="AH24">
        <v>240</v>
      </c>
      <c r="AI24">
        <v>260</v>
      </c>
      <c r="AJ24" s="1">
        <v>9964</v>
      </c>
      <c r="AM24">
        <v>8784</v>
      </c>
    </row>
    <row r="25" spans="1:39" ht="14.45" x14ac:dyDescent="0.3">
      <c r="A25">
        <v>2025</v>
      </c>
      <c r="B25" s="1">
        <v>47961</v>
      </c>
      <c r="C25">
        <v>933</v>
      </c>
      <c r="D25">
        <v>889</v>
      </c>
      <c r="E25">
        <v>913</v>
      </c>
      <c r="F25" s="1">
        <v>42424</v>
      </c>
      <c r="G25" s="1">
        <v>1351</v>
      </c>
      <c r="H25" s="1">
        <v>1452</v>
      </c>
      <c r="I25" s="1">
        <v>45227</v>
      </c>
      <c r="J25" s="18">
        <v>51.3</v>
      </c>
      <c r="K25" s="2">
        <f t="shared" si="2"/>
        <v>0.51310868051868364</v>
      </c>
      <c r="L25" s="2">
        <f t="shared" si="1"/>
        <v>1.0868051868362372E-4</v>
      </c>
      <c r="N25">
        <v>2025</v>
      </c>
      <c r="O25" s="1">
        <v>12178</v>
      </c>
      <c r="P25">
        <v>965</v>
      </c>
      <c r="Q25" s="1">
        <v>11213</v>
      </c>
      <c r="R25">
        <v>258</v>
      </c>
      <c r="S25">
        <v>404</v>
      </c>
      <c r="T25">
        <v>604</v>
      </c>
      <c r="U25">
        <v>156</v>
      </c>
      <c r="V25">
        <v>357</v>
      </c>
      <c r="W25">
        <v>132</v>
      </c>
      <c r="X25" s="35">
        <v>10268</v>
      </c>
      <c r="Z25" t="s">
        <v>74</v>
      </c>
      <c r="AA25" s="1">
        <v>12731</v>
      </c>
      <c r="AB25" s="1">
        <v>1008</v>
      </c>
      <c r="AC25" s="1">
        <v>11723</v>
      </c>
      <c r="AD25">
        <v>233</v>
      </c>
      <c r="AE25">
        <v>789</v>
      </c>
      <c r="AF25">
        <v>995</v>
      </c>
      <c r="AG25">
        <v>151</v>
      </c>
      <c r="AH25">
        <v>240</v>
      </c>
      <c r="AI25">
        <v>261</v>
      </c>
      <c r="AJ25" s="1">
        <v>10062</v>
      </c>
      <c r="AM25">
        <v>8760</v>
      </c>
    </row>
    <row r="26" spans="1:39" ht="14.45" x14ac:dyDescent="0.3">
      <c r="Z26" s="7" t="s">
        <v>77</v>
      </c>
    </row>
    <row r="27" spans="1:39" ht="14.45" x14ac:dyDescent="0.3">
      <c r="B27" s="1"/>
      <c r="C27" s="1"/>
      <c r="I27" s="1"/>
    </row>
    <row r="29" spans="1:39" x14ac:dyDescent="0.25">
      <c r="Z29" s="42" t="s">
        <v>80</v>
      </c>
    </row>
    <row r="30" spans="1:39" x14ac:dyDescent="0.25">
      <c r="Z30" s="43" t="s">
        <v>81</v>
      </c>
    </row>
    <row r="31" spans="1:39" x14ac:dyDescent="0.25">
      <c r="Z31" s="43" t="s">
        <v>82</v>
      </c>
    </row>
    <row r="32" spans="1:39" x14ac:dyDescent="0.25">
      <c r="Z32" s="43" t="s">
        <v>83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7"/>
  <sheetViews>
    <sheetView zoomScale="90" zoomScaleNormal="90" workbookViewId="0">
      <selection activeCell="A2" sqref="A2"/>
    </sheetView>
  </sheetViews>
  <sheetFormatPr defaultRowHeight="15" x14ac:dyDescent="0.25"/>
  <cols>
    <col min="1" max="1" width="5.5703125" bestFit="1" customWidth="1"/>
    <col min="2" max="2" width="7.140625" bestFit="1" customWidth="1"/>
    <col min="3" max="3" width="8.85546875" bestFit="1" customWidth="1"/>
    <col min="4" max="4" width="8.42578125" bestFit="1" customWidth="1"/>
    <col min="5" max="5" width="7.140625" bestFit="1" customWidth="1"/>
    <col min="6" max="6" width="6.7109375" bestFit="1" customWidth="1"/>
    <col min="7" max="7" width="6.85546875" bestFit="1" customWidth="1"/>
    <col min="8" max="8" width="7.140625" bestFit="1" customWidth="1"/>
    <col min="9" max="9" width="7.42578125" bestFit="1" customWidth="1"/>
    <col min="10" max="11" width="7.7109375" bestFit="1" customWidth="1"/>
    <col min="12" max="12" width="6" bestFit="1" customWidth="1"/>
    <col min="13" max="13" width="6.7109375" bestFit="1" customWidth="1"/>
    <col min="14" max="14" width="6.140625" bestFit="1" customWidth="1"/>
    <col min="15" max="15" width="6" bestFit="1" customWidth="1"/>
    <col min="16" max="16" width="7.140625" bestFit="1" customWidth="1"/>
    <col min="17" max="17" width="8.85546875" bestFit="1" customWidth="1"/>
    <col min="18" max="18" width="6.7109375" bestFit="1" customWidth="1"/>
    <col min="19" max="19" width="8.42578125" bestFit="1" customWidth="1"/>
    <col min="20" max="20" width="8.7109375" bestFit="1" customWidth="1"/>
    <col min="22" max="22" width="9.5703125" customWidth="1"/>
    <col min="23" max="23" width="10.7109375" customWidth="1"/>
  </cols>
  <sheetData>
    <row r="1" spans="1:40" s="44" customFormat="1" x14ac:dyDescent="0.3">
      <c r="A1" s="44" t="s">
        <v>88</v>
      </c>
    </row>
    <row r="2" spans="1:40" s="44" customFormat="1" x14ac:dyDescent="0.3">
      <c r="A2" s="44" t="s">
        <v>85</v>
      </c>
    </row>
    <row r="3" spans="1:40" x14ac:dyDescent="0.3">
      <c r="H3" s="1"/>
      <c r="V3" s="7" t="s">
        <v>54</v>
      </c>
    </row>
    <row r="4" spans="1:40" x14ac:dyDescent="0.3">
      <c r="A4" s="34" t="s">
        <v>4</v>
      </c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M4" s="34" t="s">
        <v>35</v>
      </c>
      <c r="N4" s="11">
        <v>9</v>
      </c>
      <c r="O4" s="11">
        <v>10</v>
      </c>
      <c r="P4" s="11">
        <v>11</v>
      </c>
      <c r="Q4" s="11">
        <v>12</v>
      </c>
      <c r="R4" s="11">
        <v>13</v>
      </c>
      <c r="S4" s="11">
        <v>14</v>
      </c>
      <c r="T4" s="11">
        <v>15</v>
      </c>
      <c r="U4" s="11">
        <v>16</v>
      </c>
      <c r="V4" s="11">
        <v>17</v>
      </c>
      <c r="X4" s="34" t="s">
        <v>75</v>
      </c>
      <c r="Y4" s="23">
        <v>18</v>
      </c>
      <c r="Z4" s="23">
        <v>19</v>
      </c>
      <c r="AA4" s="23">
        <v>20</v>
      </c>
      <c r="AB4" s="23">
        <v>21</v>
      </c>
      <c r="AC4" s="23">
        <v>22</v>
      </c>
      <c r="AD4" s="23">
        <v>23</v>
      </c>
      <c r="AE4" s="23">
        <v>24</v>
      </c>
      <c r="AF4" s="23">
        <v>25</v>
      </c>
      <c r="AG4" s="23">
        <v>26</v>
      </c>
    </row>
    <row r="5" spans="1:40" x14ac:dyDescent="0.3">
      <c r="A5" t="s">
        <v>50</v>
      </c>
      <c r="B5" t="s">
        <v>52</v>
      </c>
      <c r="C5" t="s">
        <v>43</v>
      </c>
      <c r="D5" t="s">
        <v>13</v>
      </c>
      <c r="E5" t="s">
        <v>14</v>
      </c>
      <c r="F5" t="s">
        <v>40</v>
      </c>
      <c r="G5" t="s">
        <v>45</v>
      </c>
      <c r="H5" t="s">
        <v>4</v>
      </c>
      <c r="I5" t="s">
        <v>6</v>
      </c>
      <c r="J5" t="s">
        <v>25</v>
      </c>
      <c r="K5" t="s">
        <v>26</v>
      </c>
      <c r="M5" t="s">
        <v>50</v>
      </c>
      <c r="N5" t="s">
        <v>11</v>
      </c>
      <c r="O5" t="s">
        <v>40</v>
      </c>
      <c r="P5" t="s">
        <v>14</v>
      </c>
      <c r="Q5" t="s">
        <v>51</v>
      </c>
      <c r="R5" t="s">
        <v>21</v>
      </c>
      <c r="S5" t="s">
        <v>43</v>
      </c>
      <c r="T5" t="s">
        <v>42</v>
      </c>
      <c r="U5" t="s">
        <v>13</v>
      </c>
      <c r="V5" t="s">
        <v>23</v>
      </c>
      <c r="X5" t="s">
        <v>50</v>
      </c>
      <c r="Y5" t="s">
        <v>11</v>
      </c>
      <c r="Z5" t="s">
        <v>40</v>
      </c>
      <c r="AA5" t="s">
        <v>14</v>
      </c>
      <c r="AB5" t="s">
        <v>51</v>
      </c>
      <c r="AC5" t="s">
        <v>21</v>
      </c>
      <c r="AD5" t="s">
        <v>43</v>
      </c>
      <c r="AE5" t="s">
        <v>42</v>
      </c>
      <c r="AF5" t="s">
        <v>13</v>
      </c>
      <c r="AG5" t="s">
        <v>23</v>
      </c>
    </row>
    <row r="6" spans="1:40" x14ac:dyDescent="0.3">
      <c r="A6">
        <v>2006</v>
      </c>
      <c r="B6" s="1">
        <v>19625</v>
      </c>
      <c r="C6">
        <v>412</v>
      </c>
      <c r="D6">
        <v>188</v>
      </c>
      <c r="E6" s="1">
        <v>19025</v>
      </c>
      <c r="F6">
        <v>700</v>
      </c>
      <c r="G6" s="1">
        <v>1000</v>
      </c>
      <c r="H6" s="1">
        <v>20725</v>
      </c>
      <c r="I6" s="18">
        <v>57.2</v>
      </c>
      <c r="J6" s="27">
        <f>ROUND((H6)*1000/AN6/(N6-S6-U6),3)</f>
        <v>0.57199999999999995</v>
      </c>
      <c r="K6" s="18">
        <f>+J6*100-I6</f>
        <v>0</v>
      </c>
      <c r="M6">
        <v>2006</v>
      </c>
      <c r="N6" s="1">
        <v>4265</v>
      </c>
      <c r="O6">
        <v>128</v>
      </c>
      <c r="P6" s="1">
        <v>4136</v>
      </c>
      <c r="Q6">
        <v>146</v>
      </c>
      <c r="R6">
        <v>77</v>
      </c>
      <c r="S6">
        <v>77</v>
      </c>
      <c r="T6">
        <v>18</v>
      </c>
      <c r="U6">
        <v>50</v>
      </c>
      <c r="V6" s="1">
        <v>3769</v>
      </c>
      <c r="W6" s="1"/>
      <c r="X6" s="30" t="s">
        <v>55</v>
      </c>
      <c r="Y6" s="30">
        <v>4404</v>
      </c>
      <c r="Z6" s="30">
        <v>171</v>
      </c>
      <c r="AA6" s="30">
        <v>4233</v>
      </c>
      <c r="AB6" s="30">
        <v>51</v>
      </c>
      <c r="AC6" s="30">
        <v>144</v>
      </c>
      <c r="AD6" s="30">
        <v>447</v>
      </c>
      <c r="AE6" s="30">
        <v>18</v>
      </c>
      <c r="AF6" s="30">
        <v>50</v>
      </c>
      <c r="AG6" s="30">
        <v>3523</v>
      </c>
      <c r="AH6" s="1"/>
      <c r="AI6" s="1"/>
      <c r="AJ6" s="1"/>
      <c r="AK6" s="1"/>
      <c r="AL6" s="1"/>
      <c r="AN6">
        <v>8760</v>
      </c>
    </row>
    <row r="7" spans="1:40" x14ac:dyDescent="0.3">
      <c r="A7">
        <v>2007</v>
      </c>
      <c r="B7" s="1">
        <v>20153</v>
      </c>
      <c r="C7">
        <v>421</v>
      </c>
      <c r="D7">
        <v>200</v>
      </c>
      <c r="E7" s="1">
        <v>19533</v>
      </c>
      <c r="F7">
        <v>829</v>
      </c>
      <c r="G7">
        <v>916</v>
      </c>
      <c r="H7" s="1">
        <v>21278</v>
      </c>
      <c r="I7" s="18">
        <v>56.6</v>
      </c>
      <c r="J7" s="27">
        <f>ROUND((H7)*1000/AN7/(N7-S7-U7),3)</f>
        <v>0.56599999999999995</v>
      </c>
      <c r="K7" s="18">
        <f t="shared" ref="K7:K25" si="0">+J7*100-I7</f>
        <v>0</v>
      </c>
      <c r="M7">
        <v>2007</v>
      </c>
      <c r="N7" s="1">
        <v>4428</v>
      </c>
      <c r="O7">
        <v>172</v>
      </c>
      <c r="P7" s="1">
        <v>4256</v>
      </c>
      <c r="Q7">
        <v>159</v>
      </c>
      <c r="R7">
        <v>69</v>
      </c>
      <c r="S7">
        <v>80</v>
      </c>
      <c r="T7">
        <v>18</v>
      </c>
      <c r="U7">
        <v>53</v>
      </c>
      <c r="V7" s="1">
        <v>3876</v>
      </c>
      <c r="W7" s="1"/>
      <c r="X7" s="30" t="s">
        <v>56</v>
      </c>
      <c r="Y7" s="30">
        <v>4063</v>
      </c>
      <c r="Z7" s="30">
        <v>162</v>
      </c>
      <c r="AA7" s="30">
        <v>3900</v>
      </c>
      <c r="AB7" s="30">
        <v>157</v>
      </c>
      <c r="AC7" s="30">
        <v>96</v>
      </c>
      <c r="AD7" s="30">
        <v>452</v>
      </c>
      <c r="AE7" s="30">
        <v>18</v>
      </c>
      <c r="AF7" s="30">
        <v>51</v>
      </c>
      <c r="AG7" s="30">
        <v>3127</v>
      </c>
      <c r="AH7" s="1"/>
      <c r="AI7" s="1"/>
      <c r="AJ7" s="1"/>
      <c r="AK7" s="1"/>
      <c r="AL7" s="1"/>
      <c r="AN7">
        <v>8760</v>
      </c>
    </row>
    <row r="8" spans="1:40" x14ac:dyDescent="0.3">
      <c r="A8">
        <v>2008</v>
      </c>
      <c r="B8" s="1">
        <v>19632</v>
      </c>
      <c r="C8">
        <v>431</v>
      </c>
      <c r="D8">
        <v>212</v>
      </c>
      <c r="E8" s="1">
        <v>18990</v>
      </c>
      <c r="F8">
        <v>752</v>
      </c>
      <c r="G8">
        <v>909</v>
      </c>
      <c r="H8" s="1">
        <v>20650</v>
      </c>
      <c r="I8" s="18">
        <v>56.8</v>
      </c>
      <c r="J8" s="27">
        <f>ROUND((H8)*1000/AN8/(N8-S8-U8),3)</f>
        <v>0.56799999999999995</v>
      </c>
      <c r="K8" s="18">
        <f t="shared" si="0"/>
        <v>0</v>
      </c>
      <c r="M8">
        <v>2008</v>
      </c>
      <c r="N8" s="1">
        <v>4276</v>
      </c>
      <c r="O8">
        <v>148</v>
      </c>
      <c r="P8" s="1">
        <v>4128</v>
      </c>
      <c r="Q8">
        <v>143</v>
      </c>
      <c r="R8">
        <v>69</v>
      </c>
      <c r="S8">
        <v>84</v>
      </c>
      <c r="T8">
        <v>53</v>
      </c>
      <c r="U8">
        <v>55</v>
      </c>
      <c r="V8" s="1">
        <v>3723</v>
      </c>
      <c r="W8" s="1"/>
      <c r="X8" s="30" t="s">
        <v>57</v>
      </c>
      <c r="Y8" s="30">
        <v>4405</v>
      </c>
      <c r="Z8" s="30">
        <v>152</v>
      </c>
      <c r="AA8" s="30">
        <v>4253</v>
      </c>
      <c r="AB8" s="30">
        <v>120</v>
      </c>
      <c r="AC8" s="30">
        <v>130</v>
      </c>
      <c r="AD8" s="30">
        <v>456</v>
      </c>
      <c r="AE8" s="30">
        <v>53</v>
      </c>
      <c r="AF8" s="30">
        <v>52</v>
      </c>
      <c r="AG8" s="30">
        <v>3443</v>
      </c>
      <c r="AH8" s="1"/>
      <c r="AI8" s="1"/>
      <c r="AJ8" s="1"/>
      <c r="AK8" s="1"/>
      <c r="AL8" s="1"/>
      <c r="AN8">
        <v>8784</v>
      </c>
    </row>
    <row r="9" spans="1:40" x14ac:dyDescent="0.3">
      <c r="A9">
        <v>2009</v>
      </c>
      <c r="B9" s="1">
        <v>19449</v>
      </c>
      <c r="C9">
        <v>444</v>
      </c>
      <c r="D9">
        <v>231</v>
      </c>
      <c r="E9" s="1">
        <v>18774</v>
      </c>
      <c r="F9">
        <v>191</v>
      </c>
      <c r="G9">
        <v>978</v>
      </c>
      <c r="H9" s="1">
        <v>19943</v>
      </c>
      <c r="I9" s="18">
        <v>54.4</v>
      </c>
      <c r="J9" s="31">
        <f>ROUND((H9)*1000/AN9/(Y9-AD9-AF9),3)</f>
        <v>0.54400000000000004</v>
      </c>
      <c r="K9" s="18">
        <f t="shared" si="0"/>
        <v>0</v>
      </c>
      <c r="M9">
        <v>2009</v>
      </c>
      <c r="N9" s="1">
        <v>4316</v>
      </c>
      <c r="O9">
        <v>136</v>
      </c>
      <c r="P9" s="1">
        <v>4180</v>
      </c>
      <c r="Q9">
        <v>120</v>
      </c>
      <c r="R9">
        <v>54</v>
      </c>
      <c r="S9">
        <v>90</v>
      </c>
      <c r="T9">
        <v>58</v>
      </c>
      <c r="U9">
        <v>59</v>
      </c>
      <c r="V9" s="1">
        <v>3799</v>
      </c>
      <c r="W9" s="1"/>
      <c r="X9" s="30" t="s">
        <v>58</v>
      </c>
      <c r="Y9" s="30">
        <v>4696</v>
      </c>
      <c r="Z9" s="30">
        <v>67</v>
      </c>
      <c r="AA9" s="30">
        <v>4629</v>
      </c>
      <c r="AB9" s="30">
        <v>181</v>
      </c>
      <c r="AC9" s="30">
        <v>105</v>
      </c>
      <c r="AD9" s="30">
        <v>462</v>
      </c>
      <c r="AE9" s="30">
        <v>75</v>
      </c>
      <c r="AF9" s="30">
        <v>52</v>
      </c>
      <c r="AG9" s="30">
        <v>3754</v>
      </c>
      <c r="AH9" s="1"/>
      <c r="AI9" s="1"/>
      <c r="AJ9" s="1"/>
      <c r="AK9" s="1"/>
      <c r="AL9" s="1"/>
      <c r="AN9">
        <v>8760</v>
      </c>
    </row>
    <row r="10" spans="1:40" x14ac:dyDescent="0.3">
      <c r="A10">
        <v>2010</v>
      </c>
      <c r="B10" s="1">
        <v>19923</v>
      </c>
      <c r="C10">
        <v>458</v>
      </c>
      <c r="D10">
        <v>251</v>
      </c>
      <c r="E10" s="1">
        <v>19213</v>
      </c>
      <c r="F10">
        <v>305</v>
      </c>
      <c r="G10" s="1">
        <v>1149</v>
      </c>
      <c r="H10" s="1">
        <v>20667</v>
      </c>
      <c r="I10" s="18">
        <v>50.5</v>
      </c>
      <c r="J10" s="31">
        <f>ROUND((H10)*1000/AN10/(Y10-AD10-AF10),3)</f>
        <v>0.505</v>
      </c>
      <c r="K10" s="18">
        <f t="shared" si="0"/>
        <v>0</v>
      </c>
      <c r="M10">
        <v>2010</v>
      </c>
      <c r="N10" s="1">
        <v>4171</v>
      </c>
      <c r="O10">
        <v>118</v>
      </c>
      <c r="P10" s="1">
        <v>4053</v>
      </c>
      <c r="Q10">
        <v>73</v>
      </c>
      <c r="R10">
        <v>33</v>
      </c>
      <c r="S10">
        <v>97</v>
      </c>
      <c r="T10">
        <v>75</v>
      </c>
      <c r="U10">
        <v>65</v>
      </c>
      <c r="V10" s="1">
        <v>3710</v>
      </c>
      <c r="W10" s="25"/>
      <c r="X10" s="30" t="s">
        <v>59</v>
      </c>
      <c r="Y10" s="30">
        <v>5195</v>
      </c>
      <c r="Z10" s="30">
        <v>122</v>
      </c>
      <c r="AA10" s="30">
        <v>5073</v>
      </c>
      <c r="AB10" s="30">
        <v>117</v>
      </c>
      <c r="AC10" s="30">
        <v>109</v>
      </c>
      <c r="AD10" s="30">
        <v>470</v>
      </c>
      <c r="AE10" s="30">
        <v>75</v>
      </c>
      <c r="AF10" s="30">
        <v>56</v>
      </c>
      <c r="AG10" s="30">
        <v>4246</v>
      </c>
      <c r="AH10" s="25"/>
      <c r="AI10" s="25"/>
      <c r="AJ10" s="25"/>
      <c r="AK10" s="25"/>
      <c r="AL10" s="1"/>
      <c r="AN10">
        <v>8760</v>
      </c>
    </row>
    <row r="11" spans="1:40" x14ac:dyDescent="0.3">
      <c r="A11">
        <v>2011</v>
      </c>
      <c r="B11" s="1">
        <v>19296</v>
      </c>
      <c r="C11">
        <v>474</v>
      </c>
      <c r="D11">
        <v>259</v>
      </c>
      <c r="E11" s="1">
        <v>18564</v>
      </c>
      <c r="F11">
        <v>93</v>
      </c>
      <c r="G11">
        <v>642</v>
      </c>
      <c r="H11" s="1">
        <v>19298</v>
      </c>
      <c r="I11" s="18">
        <v>53</v>
      </c>
      <c r="J11" s="31">
        <f>ROUND((H11)*1000/AN11/(Y11-AD11-AF11),3)</f>
        <v>0.53</v>
      </c>
      <c r="K11" s="18">
        <f t="shared" si="0"/>
        <v>0</v>
      </c>
      <c r="M11">
        <v>2011</v>
      </c>
      <c r="N11" s="1">
        <v>4130</v>
      </c>
      <c r="O11">
        <v>28</v>
      </c>
      <c r="P11" s="1">
        <v>4102</v>
      </c>
      <c r="Q11">
        <v>109</v>
      </c>
      <c r="R11">
        <v>48</v>
      </c>
      <c r="S11">
        <v>103</v>
      </c>
      <c r="T11">
        <v>75</v>
      </c>
      <c r="U11">
        <v>68</v>
      </c>
      <c r="V11" s="1">
        <v>3699</v>
      </c>
      <c r="W11" s="25"/>
      <c r="X11" s="30" t="s">
        <v>60</v>
      </c>
      <c r="Y11" s="30">
        <v>4695</v>
      </c>
      <c r="Z11" s="30">
        <v>120</v>
      </c>
      <c r="AA11" s="30">
        <v>4575</v>
      </c>
      <c r="AB11" s="30">
        <v>140</v>
      </c>
      <c r="AC11" s="30">
        <v>88</v>
      </c>
      <c r="AD11" s="30">
        <v>480</v>
      </c>
      <c r="AE11" s="30">
        <v>75</v>
      </c>
      <c r="AF11" s="30">
        <v>58</v>
      </c>
      <c r="AG11" s="30">
        <v>3735</v>
      </c>
      <c r="AH11" s="25"/>
      <c r="AI11" s="25"/>
      <c r="AJ11" s="25"/>
      <c r="AK11" s="25"/>
      <c r="AL11" s="1"/>
      <c r="AN11">
        <v>8760</v>
      </c>
    </row>
    <row r="12" spans="1:40" x14ac:dyDescent="0.3">
      <c r="A12">
        <v>2012</v>
      </c>
      <c r="B12" s="1">
        <v>19178</v>
      </c>
      <c r="C12">
        <v>493</v>
      </c>
      <c r="D12">
        <v>273</v>
      </c>
      <c r="E12" s="1">
        <v>18412</v>
      </c>
      <c r="F12">
        <v>69</v>
      </c>
      <c r="G12">
        <v>839</v>
      </c>
      <c r="H12" s="1">
        <v>19320</v>
      </c>
      <c r="I12" s="18">
        <v>56.3</v>
      </c>
      <c r="J12" s="32">
        <f>ROUND((H12)*1000/AN12/(N12-S12-U12),3)</f>
        <v>0.56299999999999994</v>
      </c>
      <c r="K12" s="18">
        <f t="shared" si="0"/>
        <v>0</v>
      </c>
      <c r="M12">
        <v>2012</v>
      </c>
      <c r="N12" s="1">
        <v>4089</v>
      </c>
      <c r="O12">
        <v>15</v>
      </c>
      <c r="P12" s="1">
        <v>4073</v>
      </c>
      <c r="Q12">
        <v>133</v>
      </c>
      <c r="R12">
        <v>45</v>
      </c>
      <c r="S12">
        <v>111</v>
      </c>
      <c r="T12">
        <v>86</v>
      </c>
      <c r="U12">
        <v>71</v>
      </c>
      <c r="V12" s="1">
        <v>3627</v>
      </c>
      <c r="W12" s="1"/>
      <c r="X12" s="30" t="s">
        <v>61</v>
      </c>
      <c r="Y12" s="30">
        <v>4081</v>
      </c>
      <c r="Z12" s="30">
        <v>15</v>
      </c>
      <c r="AA12" s="30">
        <v>4066</v>
      </c>
      <c r="AB12" s="30">
        <v>103</v>
      </c>
      <c r="AC12" s="30">
        <v>68</v>
      </c>
      <c r="AD12" s="30">
        <v>487</v>
      </c>
      <c r="AE12" s="30">
        <v>83</v>
      </c>
      <c r="AF12" s="30">
        <v>58</v>
      </c>
      <c r="AG12" s="30">
        <v>3267</v>
      </c>
      <c r="AH12" s="1"/>
      <c r="AI12" s="1"/>
      <c r="AJ12" s="1"/>
      <c r="AK12" s="1"/>
      <c r="AL12" s="1"/>
      <c r="AN12">
        <v>8784</v>
      </c>
    </row>
    <row r="13" spans="1:40" x14ac:dyDescent="0.3">
      <c r="A13">
        <v>2013</v>
      </c>
      <c r="B13" s="1">
        <v>19225</v>
      </c>
      <c r="C13">
        <v>513</v>
      </c>
      <c r="D13">
        <v>294</v>
      </c>
      <c r="E13" s="1">
        <v>18418</v>
      </c>
      <c r="F13">
        <v>0</v>
      </c>
      <c r="G13">
        <v>760</v>
      </c>
      <c r="H13" s="1">
        <v>19177</v>
      </c>
      <c r="I13" s="18">
        <v>56.5</v>
      </c>
      <c r="J13" s="32">
        <f>ROUND((H13)*1000/AN13/(N13-S13-U13),3)</f>
        <v>0.56499999999999995</v>
      </c>
      <c r="K13" s="18">
        <f t="shared" si="0"/>
        <v>0</v>
      </c>
      <c r="M13">
        <v>2013</v>
      </c>
      <c r="N13" s="1">
        <v>4072</v>
      </c>
      <c r="O13">
        <v>0</v>
      </c>
      <c r="P13" s="1">
        <v>4072</v>
      </c>
      <c r="Q13">
        <v>131</v>
      </c>
      <c r="R13">
        <v>39</v>
      </c>
      <c r="S13">
        <v>122</v>
      </c>
      <c r="T13">
        <v>89</v>
      </c>
      <c r="U13">
        <v>77</v>
      </c>
      <c r="V13" s="1">
        <v>3614</v>
      </c>
      <c r="W13" s="1"/>
      <c r="X13" s="30" t="s">
        <v>62</v>
      </c>
      <c r="Y13" s="30">
        <v>3764</v>
      </c>
      <c r="Z13" s="30">
        <v>0</v>
      </c>
      <c r="AA13" s="30">
        <v>3764</v>
      </c>
      <c r="AB13" s="30">
        <v>130</v>
      </c>
      <c r="AC13" s="30">
        <v>65</v>
      </c>
      <c r="AD13" s="30">
        <v>501</v>
      </c>
      <c r="AE13" s="30">
        <v>90</v>
      </c>
      <c r="AF13" s="30">
        <v>61</v>
      </c>
      <c r="AG13" s="30">
        <v>2918</v>
      </c>
      <c r="AH13" s="1"/>
      <c r="AI13" s="1"/>
      <c r="AJ13" s="1"/>
      <c r="AK13" s="1"/>
      <c r="AL13" s="1"/>
      <c r="AN13">
        <v>8760</v>
      </c>
    </row>
    <row r="14" spans="1:40" x14ac:dyDescent="0.3">
      <c r="A14">
        <v>2014</v>
      </c>
      <c r="B14" s="1">
        <v>19377</v>
      </c>
      <c r="C14">
        <v>546</v>
      </c>
      <c r="D14">
        <v>305</v>
      </c>
      <c r="E14" s="1">
        <v>18526</v>
      </c>
      <c r="F14">
        <v>0</v>
      </c>
      <c r="G14">
        <v>789</v>
      </c>
      <c r="H14" s="1">
        <v>19315</v>
      </c>
      <c r="I14" s="18">
        <v>54.4</v>
      </c>
      <c r="J14" s="32">
        <f>ROUND((H14)*1000/AN14/(N14-S14-U14),3)</f>
        <v>0.54400000000000004</v>
      </c>
      <c r="K14" s="18">
        <f t="shared" si="0"/>
        <v>0</v>
      </c>
      <c r="M14">
        <v>2014</v>
      </c>
      <c r="N14" s="1">
        <v>4270</v>
      </c>
      <c r="O14">
        <v>0</v>
      </c>
      <c r="P14" s="1">
        <v>4270</v>
      </c>
      <c r="Q14">
        <v>170</v>
      </c>
      <c r="R14">
        <v>36</v>
      </c>
      <c r="S14">
        <v>132</v>
      </c>
      <c r="T14">
        <v>91</v>
      </c>
      <c r="U14">
        <v>83</v>
      </c>
      <c r="V14" s="1">
        <v>3757</v>
      </c>
      <c r="W14" s="1"/>
      <c r="X14" s="30" t="s">
        <v>63</v>
      </c>
      <c r="Y14" s="30">
        <v>3876</v>
      </c>
      <c r="Z14" s="30">
        <v>0</v>
      </c>
      <c r="AA14" s="30">
        <v>3876</v>
      </c>
      <c r="AB14" s="30">
        <v>61</v>
      </c>
      <c r="AC14" s="30">
        <v>63</v>
      </c>
      <c r="AD14" s="30">
        <v>512</v>
      </c>
      <c r="AE14" s="30">
        <v>97</v>
      </c>
      <c r="AF14" s="30">
        <v>64</v>
      </c>
      <c r="AG14" s="30">
        <v>3079</v>
      </c>
      <c r="AH14" s="1"/>
      <c r="AI14" s="1"/>
      <c r="AJ14" s="1"/>
      <c r="AK14" s="1"/>
      <c r="AL14" s="1"/>
      <c r="AN14">
        <v>8760</v>
      </c>
    </row>
    <row r="15" spans="1:40" x14ac:dyDescent="0.3">
      <c r="A15" s="14">
        <v>2015</v>
      </c>
      <c r="B15" s="15">
        <v>19890</v>
      </c>
      <c r="C15" s="14">
        <v>568</v>
      </c>
      <c r="D15" s="14">
        <v>315</v>
      </c>
      <c r="E15" s="15">
        <v>19006</v>
      </c>
      <c r="F15" s="14">
        <v>0</v>
      </c>
      <c r="G15" s="15">
        <v>1098</v>
      </c>
      <c r="H15" s="15">
        <v>20105</v>
      </c>
      <c r="I15" s="19">
        <v>57.2</v>
      </c>
      <c r="J15" s="33">
        <f>ROUND((H15)*1000/AN15/(N15-S15-U15),3)</f>
        <v>0.57199999999999995</v>
      </c>
      <c r="K15" s="19">
        <f t="shared" si="0"/>
        <v>0</v>
      </c>
      <c r="L15" s="14"/>
      <c r="M15" s="14">
        <v>2015</v>
      </c>
      <c r="N15" s="15">
        <v>4245</v>
      </c>
      <c r="O15" s="14">
        <v>0</v>
      </c>
      <c r="P15" s="15">
        <v>4245</v>
      </c>
      <c r="Q15" s="14">
        <v>111</v>
      </c>
      <c r="R15" s="14">
        <v>21</v>
      </c>
      <c r="S15" s="14">
        <v>143</v>
      </c>
      <c r="T15" s="14">
        <v>98</v>
      </c>
      <c r="U15" s="14">
        <v>87</v>
      </c>
      <c r="V15" s="15">
        <v>3784</v>
      </c>
      <c r="W15" s="26"/>
      <c r="X15" s="26" t="s">
        <v>64</v>
      </c>
      <c r="Y15" s="26">
        <v>4195</v>
      </c>
      <c r="Z15" s="26">
        <v>0</v>
      </c>
      <c r="AA15" s="26">
        <v>4195</v>
      </c>
      <c r="AB15" s="26">
        <v>79</v>
      </c>
      <c r="AC15" s="26">
        <v>44</v>
      </c>
      <c r="AD15" s="26">
        <v>521</v>
      </c>
      <c r="AE15" s="26">
        <v>96</v>
      </c>
      <c r="AF15" s="26">
        <v>65</v>
      </c>
      <c r="AG15" s="26">
        <v>3390</v>
      </c>
      <c r="AH15" s="29"/>
      <c r="AI15" s="29"/>
      <c r="AJ15" s="29"/>
      <c r="AK15" s="29"/>
      <c r="AL15" s="1"/>
      <c r="AN15">
        <v>8760</v>
      </c>
    </row>
    <row r="16" spans="1:40" x14ac:dyDescent="0.3">
      <c r="A16">
        <v>2016</v>
      </c>
      <c r="B16" s="1">
        <v>19692</v>
      </c>
      <c r="C16">
        <v>578</v>
      </c>
      <c r="D16">
        <v>324</v>
      </c>
      <c r="E16" s="1">
        <v>18791</v>
      </c>
      <c r="F16">
        <v>106</v>
      </c>
      <c r="G16">
        <v>910</v>
      </c>
      <c r="H16" s="1">
        <v>19806</v>
      </c>
      <c r="I16" s="18">
        <v>54.1</v>
      </c>
      <c r="J16" s="31">
        <f t="shared" ref="J16:J24" si="1">ROUND((H16)*1000/AN16/(Y16-AD16-AF16),3)</f>
        <v>0.54100000000000004</v>
      </c>
      <c r="K16" s="28">
        <f t="shared" si="0"/>
        <v>0</v>
      </c>
      <c r="M16">
        <v>2016</v>
      </c>
      <c r="N16" s="1">
        <v>4287</v>
      </c>
      <c r="O16">
        <v>15</v>
      </c>
      <c r="P16" s="1">
        <v>4271</v>
      </c>
      <c r="Q16">
        <v>97</v>
      </c>
      <c r="R16">
        <v>0</v>
      </c>
      <c r="S16">
        <v>144</v>
      </c>
      <c r="T16">
        <v>106</v>
      </c>
      <c r="U16">
        <v>90</v>
      </c>
      <c r="V16" s="1">
        <v>3835</v>
      </c>
      <c r="W16" s="25"/>
      <c r="X16" s="30" t="s">
        <v>65</v>
      </c>
      <c r="Y16" s="30">
        <v>4764</v>
      </c>
      <c r="Z16" s="30">
        <v>15</v>
      </c>
      <c r="AA16" s="30">
        <v>4749</v>
      </c>
      <c r="AB16" s="30">
        <v>90</v>
      </c>
      <c r="AC16" s="30">
        <v>11</v>
      </c>
      <c r="AD16" s="30">
        <v>529</v>
      </c>
      <c r="AE16" s="30">
        <v>112</v>
      </c>
      <c r="AF16" s="30">
        <v>67</v>
      </c>
      <c r="AG16" s="30">
        <v>3940</v>
      </c>
      <c r="AH16" s="25"/>
      <c r="AI16" s="25"/>
      <c r="AJ16" s="25"/>
      <c r="AK16" s="25"/>
      <c r="AL16" s="1"/>
      <c r="AN16">
        <v>8784</v>
      </c>
    </row>
    <row r="17" spans="1:40" x14ac:dyDescent="0.3">
      <c r="A17">
        <v>2017</v>
      </c>
      <c r="B17" s="1">
        <v>19949</v>
      </c>
      <c r="C17">
        <v>591</v>
      </c>
      <c r="D17">
        <v>334</v>
      </c>
      <c r="E17" s="1">
        <v>19024</v>
      </c>
      <c r="F17">
        <v>106</v>
      </c>
      <c r="G17">
        <v>921</v>
      </c>
      <c r="H17" s="1">
        <v>20051</v>
      </c>
      <c r="I17" s="18">
        <v>54.1</v>
      </c>
      <c r="J17" s="31">
        <f t="shared" si="1"/>
        <v>0.54100000000000004</v>
      </c>
      <c r="K17" s="28">
        <f t="shared" si="0"/>
        <v>0</v>
      </c>
      <c r="M17">
        <v>2017</v>
      </c>
      <c r="N17" s="1">
        <v>4353</v>
      </c>
      <c r="O17">
        <v>15</v>
      </c>
      <c r="P17" s="1">
        <v>4338</v>
      </c>
      <c r="Q17">
        <v>96</v>
      </c>
      <c r="R17">
        <v>0</v>
      </c>
      <c r="S17">
        <v>149</v>
      </c>
      <c r="T17">
        <v>104</v>
      </c>
      <c r="U17">
        <v>93</v>
      </c>
      <c r="V17" s="1">
        <v>3896</v>
      </c>
      <c r="W17" s="25"/>
      <c r="X17" s="30" t="s">
        <v>66</v>
      </c>
      <c r="Y17" s="30">
        <v>4837</v>
      </c>
      <c r="Z17" s="30">
        <v>15</v>
      </c>
      <c r="AA17" s="30">
        <v>4822</v>
      </c>
      <c r="AB17" s="30">
        <v>89</v>
      </c>
      <c r="AC17" s="30">
        <v>0</v>
      </c>
      <c r="AD17" s="30">
        <v>536</v>
      </c>
      <c r="AE17" s="30">
        <v>113</v>
      </c>
      <c r="AF17" s="30">
        <v>68</v>
      </c>
      <c r="AG17" s="30">
        <v>4016</v>
      </c>
      <c r="AH17" s="25"/>
      <c r="AI17" s="25"/>
      <c r="AJ17" s="25"/>
      <c r="AK17" s="25"/>
      <c r="AL17" s="1"/>
      <c r="AN17">
        <v>8760</v>
      </c>
    </row>
    <row r="18" spans="1:40" x14ac:dyDescent="0.3">
      <c r="A18">
        <v>2018</v>
      </c>
      <c r="B18" s="1">
        <v>20191</v>
      </c>
      <c r="C18">
        <v>605</v>
      </c>
      <c r="D18">
        <v>344</v>
      </c>
      <c r="E18" s="1">
        <v>19241</v>
      </c>
      <c r="F18">
        <v>106</v>
      </c>
      <c r="G18">
        <v>932</v>
      </c>
      <c r="H18" s="1">
        <v>20279</v>
      </c>
      <c r="I18" s="18">
        <v>53.9</v>
      </c>
      <c r="J18" s="31">
        <f t="shared" si="1"/>
        <v>0.53900000000000003</v>
      </c>
      <c r="K18" s="28">
        <f t="shared" si="0"/>
        <v>0</v>
      </c>
      <c r="M18">
        <v>2018</v>
      </c>
      <c r="N18" s="1">
        <v>4420</v>
      </c>
      <c r="O18">
        <v>15</v>
      </c>
      <c r="P18" s="1">
        <v>4404</v>
      </c>
      <c r="Q18">
        <v>94</v>
      </c>
      <c r="R18">
        <v>0</v>
      </c>
      <c r="S18">
        <v>154</v>
      </c>
      <c r="T18">
        <v>105</v>
      </c>
      <c r="U18">
        <v>97</v>
      </c>
      <c r="V18" s="1">
        <v>3955</v>
      </c>
      <c r="W18" s="25"/>
      <c r="X18" s="30" t="s">
        <v>67</v>
      </c>
      <c r="Y18" s="30">
        <v>4907</v>
      </c>
      <c r="Z18" s="30">
        <v>15</v>
      </c>
      <c r="AA18" s="30">
        <v>4892</v>
      </c>
      <c r="AB18" s="30">
        <v>87</v>
      </c>
      <c r="AC18" s="30">
        <v>0</v>
      </c>
      <c r="AD18" s="30">
        <v>544</v>
      </c>
      <c r="AE18" s="30">
        <v>114</v>
      </c>
      <c r="AF18" s="30">
        <v>69</v>
      </c>
      <c r="AG18" s="30">
        <v>4078</v>
      </c>
      <c r="AH18" s="25"/>
      <c r="AI18" s="25"/>
      <c r="AJ18" s="25"/>
      <c r="AK18" s="25"/>
      <c r="AL18" s="1"/>
      <c r="AN18">
        <v>8760</v>
      </c>
    </row>
    <row r="19" spans="1:40" x14ac:dyDescent="0.3">
      <c r="A19">
        <v>2019</v>
      </c>
      <c r="B19" s="1">
        <v>20486</v>
      </c>
      <c r="C19">
        <v>620</v>
      </c>
      <c r="D19">
        <v>355</v>
      </c>
      <c r="E19" s="1">
        <v>19511</v>
      </c>
      <c r="F19">
        <v>0</v>
      </c>
      <c r="G19">
        <v>945</v>
      </c>
      <c r="H19" s="1">
        <v>20455</v>
      </c>
      <c r="I19" s="18">
        <v>53.7</v>
      </c>
      <c r="J19" s="31">
        <f t="shared" si="1"/>
        <v>0.53700000000000003</v>
      </c>
      <c r="K19" s="28">
        <f t="shared" si="0"/>
        <v>0</v>
      </c>
      <c r="M19">
        <v>2019</v>
      </c>
      <c r="N19" s="1">
        <v>4475</v>
      </c>
      <c r="O19">
        <v>0</v>
      </c>
      <c r="P19" s="1">
        <v>4475</v>
      </c>
      <c r="Q19">
        <v>94</v>
      </c>
      <c r="R19">
        <v>0</v>
      </c>
      <c r="S19">
        <v>159</v>
      </c>
      <c r="T19">
        <v>106</v>
      </c>
      <c r="U19">
        <v>101</v>
      </c>
      <c r="V19" s="1">
        <v>4015</v>
      </c>
      <c r="W19" s="25"/>
      <c r="X19" s="30" t="s">
        <v>68</v>
      </c>
      <c r="Y19" s="30">
        <v>4967</v>
      </c>
      <c r="Z19" s="30">
        <v>0</v>
      </c>
      <c r="AA19" s="30">
        <v>4967</v>
      </c>
      <c r="AB19" s="30">
        <v>87</v>
      </c>
      <c r="AC19" s="30">
        <v>0</v>
      </c>
      <c r="AD19" s="30">
        <v>551</v>
      </c>
      <c r="AE19" s="30">
        <v>116</v>
      </c>
      <c r="AF19" s="30">
        <v>70</v>
      </c>
      <c r="AG19" s="30">
        <v>4142</v>
      </c>
      <c r="AH19" s="25"/>
      <c r="AI19" s="25"/>
      <c r="AJ19" s="25"/>
      <c r="AK19" s="25"/>
      <c r="AL19" s="1"/>
      <c r="AN19">
        <v>8760</v>
      </c>
    </row>
    <row r="20" spans="1:40" x14ac:dyDescent="0.3">
      <c r="A20">
        <v>2020</v>
      </c>
      <c r="B20" s="1">
        <v>20706</v>
      </c>
      <c r="C20">
        <v>636</v>
      </c>
      <c r="D20">
        <v>368</v>
      </c>
      <c r="E20" s="1">
        <v>19702</v>
      </c>
      <c r="F20">
        <v>0</v>
      </c>
      <c r="G20">
        <v>954</v>
      </c>
      <c r="H20" s="1">
        <v>20657</v>
      </c>
      <c r="I20" s="18">
        <v>53.4</v>
      </c>
      <c r="J20" s="31">
        <f>ROUND((H20)*1000/AN20/(Y20-AD20-AF20),3)</f>
        <v>0.53400000000000003</v>
      </c>
      <c r="K20" s="28">
        <f t="shared" si="0"/>
        <v>0</v>
      </c>
      <c r="M20">
        <v>2020</v>
      </c>
      <c r="N20" s="1">
        <v>4539</v>
      </c>
      <c r="O20">
        <v>0</v>
      </c>
      <c r="P20" s="1">
        <v>4539</v>
      </c>
      <c r="Q20">
        <v>91</v>
      </c>
      <c r="R20">
        <v>0</v>
      </c>
      <c r="S20">
        <v>165</v>
      </c>
      <c r="T20">
        <v>107</v>
      </c>
      <c r="U20">
        <v>105</v>
      </c>
      <c r="V20" s="1">
        <v>4071</v>
      </c>
      <c r="W20" s="25"/>
      <c r="X20" s="30" t="s">
        <v>69</v>
      </c>
      <c r="Y20" s="30">
        <v>5037</v>
      </c>
      <c r="Z20" s="30">
        <v>0</v>
      </c>
      <c r="AA20" s="30">
        <v>5037</v>
      </c>
      <c r="AB20" s="30">
        <v>83</v>
      </c>
      <c r="AC20" s="30">
        <v>0</v>
      </c>
      <c r="AD20" s="30">
        <v>560</v>
      </c>
      <c r="AE20" s="30">
        <v>117</v>
      </c>
      <c r="AF20" s="30">
        <v>72</v>
      </c>
      <c r="AG20" s="30">
        <v>4205</v>
      </c>
      <c r="AH20" s="25"/>
      <c r="AI20" s="25"/>
      <c r="AJ20" s="25"/>
      <c r="AK20" s="25"/>
      <c r="AL20" s="1"/>
      <c r="AN20">
        <v>8784</v>
      </c>
    </row>
    <row r="21" spans="1:40" x14ac:dyDescent="0.3">
      <c r="A21">
        <v>2021</v>
      </c>
      <c r="B21" s="1">
        <v>20946</v>
      </c>
      <c r="C21">
        <v>651</v>
      </c>
      <c r="D21">
        <v>381</v>
      </c>
      <c r="E21" s="1">
        <v>19913</v>
      </c>
      <c r="F21">
        <v>0</v>
      </c>
      <c r="G21">
        <v>965</v>
      </c>
      <c r="H21" s="1">
        <v>20878</v>
      </c>
      <c r="I21" s="18">
        <v>53.4</v>
      </c>
      <c r="J21" s="31">
        <f t="shared" si="1"/>
        <v>0.53400000000000003</v>
      </c>
      <c r="K21" s="28">
        <f t="shared" si="0"/>
        <v>0</v>
      </c>
      <c r="M21">
        <v>2021</v>
      </c>
      <c r="N21" s="1">
        <v>4604</v>
      </c>
      <c r="O21">
        <v>0</v>
      </c>
      <c r="P21" s="1">
        <v>4604</v>
      </c>
      <c r="Q21">
        <v>92</v>
      </c>
      <c r="R21">
        <v>0</v>
      </c>
      <c r="S21">
        <v>171</v>
      </c>
      <c r="T21">
        <v>108</v>
      </c>
      <c r="U21">
        <v>109</v>
      </c>
      <c r="V21" s="1">
        <v>4123</v>
      </c>
      <c r="W21" s="25"/>
      <c r="X21" s="30" t="s">
        <v>70</v>
      </c>
      <c r="Y21" s="30">
        <v>5107</v>
      </c>
      <c r="Z21" s="30">
        <v>0</v>
      </c>
      <c r="AA21" s="30">
        <v>5107</v>
      </c>
      <c r="AB21" s="30">
        <v>83</v>
      </c>
      <c r="AC21" s="30">
        <v>0</v>
      </c>
      <c r="AD21" s="30">
        <v>569</v>
      </c>
      <c r="AE21" s="30">
        <v>118</v>
      </c>
      <c r="AF21" s="30">
        <v>74</v>
      </c>
      <c r="AG21" s="30">
        <v>4264</v>
      </c>
      <c r="AH21" s="25"/>
      <c r="AI21" s="25"/>
      <c r="AJ21" s="25"/>
      <c r="AK21" s="25"/>
      <c r="AL21" s="1"/>
      <c r="AN21">
        <v>8760</v>
      </c>
    </row>
    <row r="22" spans="1:40" x14ac:dyDescent="0.3">
      <c r="A22">
        <v>2022</v>
      </c>
      <c r="B22" s="1">
        <v>21236</v>
      </c>
      <c r="C22">
        <v>666</v>
      </c>
      <c r="D22">
        <v>395</v>
      </c>
      <c r="E22" s="1">
        <v>20175</v>
      </c>
      <c r="F22">
        <v>0</v>
      </c>
      <c r="G22">
        <v>977</v>
      </c>
      <c r="H22" s="1">
        <v>21152</v>
      </c>
      <c r="I22" s="18">
        <v>53.4</v>
      </c>
      <c r="J22" s="31">
        <f t="shared" si="1"/>
        <v>0.53300000000000003</v>
      </c>
      <c r="K22" s="28">
        <f t="shared" si="0"/>
        <v>-9.9999999999994316E-2</v>
      </c>
      <c r="M22">
        <v>2022</v>
      </c>
      <c r="N22" s="1">
        <v>4674</v>
      </c>
      <c r="O22">
        <v>0</v>
      </c>
      <c r="P22" s="1">
        <v>4674</v>
      </c>
      <c r="Q22">
        <v>92</v>
      </c>
      <c r="R22">
        <v>0</v>
      </c>
      <c r="S22">
        <v>177</v>
      </c>
      <c r="T22">
        <v>110</v>
      </c>
      <c r="U22">
        <v>114</v>
      </c>
      <c r="V22" s="1">
        <v>4181</v>
      </c>
      <c r="W22" s="25"/>
      <c r="X22" s="30" t="s">
        <v>71</v>
      </c>
      <c r="Y22" s="30">
        <v>5179</v>
      </c>
      <c r="Z22" s="30">
        <v>0</v>
      </c>
      <c r="AA22" s="30">
        <v>5179</v>
      </c>
      <c r="AB22" s="30">
        <v>84</v>
      </c>
      <c r="AC22" s="30">
        <v>0</v>
      </c>
      <c r="AD22" s="30">
        <v>577</v>
      </c>
      <c r="AE22" s="30">
        <v>119</v>
      </c>
      <c r="AF22" s="30">
        <v>75</v>
      </c>
      <c r="AG22" s="30">
        <v>4323</v>
      </c>
      <c r="AH22" s="25"/>
      <c r="AI22" s="25"/>
      <c r="AJ22" s="25"/>
      <c r="AK22" s="25"/>
      <c r="AL22" s="1"/>
      <c r="AN22">
        <v>8760</v>
      </c>
    </row>
    <row r="23" spans="1:40" x14ac:dyDescent="0.3">
      <c r="A23">
        <v>2023</v>
      </c>
      <c r="B23" s="1">
        <v>21341</v>
      </c>
      <c r="C23">
        <v>681</v>
      </c>
      <c r="D23">
        <v>408</v>
      </c>
      <c r="E23" s="1">
        <v>20251</v>
      </c>
      <c r="F23">
        <v>0</v>
      </c>
      <c r="G23">
        <v>981</v>
      </c>
      <c r="H23" s="1">
        <v>21232</v>
      </c>
      <c r="I23" s="18">
        <v>53</v>
      </c>
      <c r="J23" s="31">
        <f t="shared" si="1"/>
        <v>0.53</v>
      </c>
      <c r="K23" s="28">
        <f t="shared" si="0"/>
        <v>0</v>
      </c>
      <c r="M23">
        <v>2023</v>
      </c>
      <c r="N23" s="1">
        <v>4725</v>
      </c>
      <c r="O23">
        <v>0</v>
      </c>
      <c r="P23" s="1">
        <v>4725</v>
      </c>
      <c r="Q23">
        <v>76</v>
      </c>
      <c r="R23">
        <v>0</v>
      </c>
      <c r="S23">
        <v>183</v>
      </c>
      <c r="T23">
        <v>111</v>
      </c>
      <c r="U23">
        <v>118</v>
      </c>
      <c r="V23" s="1">
        <v>4237</v>
      </c>
      <c r="W23" s="25"/>
      <c r="X23" s="30" t="s">
        <v>72</v>
      </c>
      <c r="Y23" s="30">
        <v>5236</v>
      </c>
      <c r="Z23" s="30">
        <v>0</v>
      </c>
      <c r="AA23" s="30">
        <v>5236</v>
      </c>
      <c r="AB23" s="30">
        <v>69</v>
      </c>
      <c r="AC23" s="30">
        <v>0</v>
      </c>
      <c r="AD23" s="30">
        <v>586</v>
      </c>
      <c r="AE23" s="30">
        <v>120</v>
      </c>
      <c r="AF23" s="30">
        <v>77</v>
      </c>
      <c r="AG23" s="30">
        <v>4384</v>
      </c>
      <c r="AH23" s="25"/>
      <c r="AI23" s="25"/>
      <c r="AJ23" s="25"/>
      <c r="AK23" s="25"/>
      <c r="AL23" s="1"/>
      <c r="AN23">
        <v>8760</v>
      </c>
    </row>
    <row r="24" spans="1:40" x14ac:dyDescent="0.3">
      <c r="A24">
        <v>2024</v>
      </c>
      <c r="B24" s="1">
        <v>21643</v>
      </c>
      <c r="C24">
        <v>697</v>
      </c>
      <c r="D24">
        <v>422</v>
      </c>
      <c r="E24" s="1">
        <v>20524</v>
      </c>
      <c r="F24">
        <v>0</v>
      </c>
      <c r="G24">
        <v>995</v>
      </c>
      <c r="H24" s="1">
        <v>21519</v>
      </c>
      <c r="I24" s="18">
        <v>52.8</v>
      </c>
      <c r="J24" s="31">
        <f t="shared" si="1"/>
        <v>0.52800000000000002</v>
      </c>
      <c r="K24" s="28">
        <f t="shared" si="0"/>
        <v>0</v>
      </c>
      <c r="M24">
        <v>2024</v>
      </c>
      <c r="N24" s="1">
        <v>4796</v>
      </c>
      <c r="O24">
        <v>0</v>
      </c>
      <c r="P24" s="1">
        <v>4796</v>
      </c>
      <c r="Q24">
        <v>76</v>
      </c>
      <c r="R24">
        <v>0</v>
      </c>
      <c r="S24">
        <v>189</v>
      </c>
      <c r="T24">
        <v>112</v>
      </c>
      <c r="U24">
        <v>122</v>
      </c>
      <c r="V24" s="1">
        <v>4297</v>
      </c>
      <c r="W24" s="25"/>
      <c r="X24" s="30" t="s">
        <v>73</v>
      </c>
      <c r="Y24" s="30">
        <v>5309</v>
      </c>
      <c r="Z24" s="30">
        <v>0</v>
      </c>
      <c r="AA24" s="30">
        <v>5309</v>
      </c>
      <c r="AB24" s="30">
        <v>67</v>
      </c>
      <c r="AC24" s="30">
        <v>0</v>
      </c>
      <c r="AD24" s="30">
        <v>594</v>
      </c>
      <c r="AE24" s="30">
        <v>121</v>
      </c>
      <c r="AF24" s="30">
        <v>79</v>
      </c>
      <c r="AG24" s="30">
        <v>4448</v>
      </c>
      <c r="AH24" s="25"/>
      <c r="AI24" s="25"/>
      <c r="AJ24" s="25"/>
      <c r="AK24" s="25"/>
      <c r="AL24" s="1"/>
      <c r="AN24">
        <v>8784</v>
      </c>
    </row>
    <row r="25" spans="1:40" x14ac:dyDescent="0.3">
      <c r="A25">
        <v>2025</v>
      </c>
      <c r="B25" s="1">
        <v>21947</v>
      </c>
      <c r="C25">
        <v>712</v>
      </c>
      <c r="D25">
        <v>436</v>
      </c>
      <c r="E25" s="1">
        <v>20799</v>
      </c>
      <c r="F25">
        <v>0</v>
      </c>
      <c r="G25" s="1">
        <v>1008</v>
      </c>
      <c r="H25" s="1">
        <v>21807</v>
      </c>
      <c r="I25" s="18">
        <v>53</v>
      </c>
      <c r="J25" s="31">
        <f t="shared" ref="J25" si="2">ROUND((H25)*1000/AN25/(Y25-AD25-AF25),3)</f>
        <v>0.53</v>
      </c>
      <c r="K25" s="28">
        <f t="shared" si="0"/>
        <v>0</v>
      </c>
      <c r="M25">
        <v>2025</v>
      </c>
      <c r="N25" s="1">
        <v>4867</v>
      </c>
      <c r="O25">
        <v>0</v>
      </c>
      <c r="P25" s="1">
        <v>4867</v>
      </c>
      <c r="Q25">
        <v>76</v>
      </c>
      <c r="R25">
        <v>0</v>
      </c>
      <c r="S25">
        <v>195</v>
      </c>
      <c r="T25">
        <v>113</v>
      </c>
      <c r="U25">
        <v>127</v>
      </c>
      <c r="V25" s="1">
        <v>4356</v>
      </c>
      <c r="W25" s="25"/>
      <c r="X25" s="30" t="s">
        <v>74</v>
      </c>
      <c r="Y25" s="30">
        <v>5385</v>
      </c>
      <c r="Z25" s="30">
        <v>0</v>
      </c>
      <c r="AA25" s="30">
        <v>5385</v>
      </c>
      <c r="AB25" s="30">
        <v>69</v>
      </c>
      <c r="AC25" s="30">
        <v>0</v>
      </c>
      <c r="AD25" s="30">
        <v>603</v>
      </c>
      <c r="AE25" s="30">
        <v>123</v>
      </c>
      <c r="AF25" s="30">
        <v>81</v>
      </c>
      <c r="AG25" s="30">
        <v>4509</v>
      </c>
      <c r="AH25" s="25"/>
      <c r="AI25" s="25"/>
      <c r="AJ25" s="25"/>
      <c r="AK25" s="25"/>
      <c r="AL25" s="1"/>
      <c r="AN25">
        <v>8760</v>
      </c>
    </row>
    <row r="26" spans="1:40" x14ac:dyDescent="0.3">
      <c r="H26" s="1">
        <f>+H25-B25</f>
        <v>-140</v>
      </c>
    </row>
    <row r="27" spans="1:40" x14ac:dyDescent="0.3">
      <c r="A27" t="s">
        <v>53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Gulf</vt:lpstr>
      <vt:lpstr>Duke</vt:lpstr>
      <vt:lpstr>TECO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2016-08-01T15:01:33Z</dcterms:created>
  <dcterms:modified xsi:type="dcterms:W3CDTF">2016-08-01T15:01:40Z</dcterms:modified>
</cp:coreProperties>
</file>