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hidePivotFieldList="1" defaultThemeVersion="124226"/>
  <bookViews>
    <workbookView xWindow="4710" yWindow="450" windowWidth="12570" windowHeight="6465" tabRatio="713"/>
  </bookViews>
  <sheets>
    <sheet name="Sheet 1" sheetId="28" r:id="rId1"/>
  </sheets>
  <definedNames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howToChange">#REF!</definedName>
    <definedName name="howToCheck">#REF!</definedName>
    <definedName name="InfoPane">#REF!</definedName>
    <definedName name="InformationPane">#REF!</definedName>
    <definedName name="InfpPane">#REF!</definedName>
    <definedName name="LOLD">1</definedName>
    <definedName name="LOLD_Table">14</definedName>
    <definedName name="NavPane">#REF!</definedName>
    <definedName name="_xlnm.Print_Area" localSheetId="0">'Sheet 1'!$A$8:$W$78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G20" i="28" l="1"/>
  <c r="G22" i="28"/>
  <c r="E20" i="28"/>
  <c r="E22" i="28" s="1"/>
  <c r="A15" i="28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V69" i="28"/>
  <c r="W68" i="28"/>
  <c r="W69" i="28" s="1"/>
  <c r="V68" i="28"/>
  <c r="S66" i="28"/>
  <c r="S67" i="28" s="1"/>
  <c r="Q66" i="28"/>
  <c r="O66" i="28"/>
  <c r="O47" i="28"/>
  <c r="O46" i="28"/>
  <c r="O48" i="28" s="1"/>
  <c r="O50" i="28" s="1"/>
  <c r="O43" i="28"/>
  <c r="S35" i="28"/>
  <c r="S65" i="28" s="1"/>
  <c r="Q35" i="28"/>
  <c r="Q65" i="28" s="1"/>
  <c r="O35" i="28"/>
  <c r="O65" i="28" s="1"/>
  <c r="M35" i="28"/>
  <c r="K35" i="28"/>
  <c r="I35" i="28"/>
  <c r="G35" i="28"/>
  <c r="E35" i="28"/>
  <c r="S30" i="28"/>
  <c r="S57" i="28" s="1"/>
  <c r="Q30" i="28"/>
  <c r="Q57" i="28" s="1"/>
  <c r="Q62" i="28" s="1"/>
  <c r="O30" i="28"/>
  <c r="O57" i="28" s="1"/>
  <c r="M30" i="28"/>
  <c r="K30" i="28"/>
  <c r="I30" i="28"/>
  <c r="G30" i="28"/>
  <c r="E30" i="28"/>
  <c r="S22" i="28"/>
  <c r="Q22" i="28"/>
  <c r="O22" i="28"/>
  <c r="M22" i="28"/>
  <c r="K22" i="28"/>
  <c r="I20" i="28"/>
  <c r="I22" i="28" s="1"/>
  <c r="S18" i="28"/>
  <c r="Q18" i="28"/>
  <c r="O18" i="28"/>
  <c r="O40" i="28" s="1"/>
  <c r="O42" i="28" s="1"/>
  <c r="M18" i="28"/>
  <c r="K18" i="28"/>
  <c r="I18" i="28"/>
  <c r="G18" i="28"/>
  <c r="E18" i="28"/>
  <c r="O44" i="28" l="1"/>
  <c r="O51" i="28"/>
  <c r="O53" i="28" s="1"/>
  <c r="S59" i="28"/>
  <c r="S63" i="28"/>
  <c r="S62" i="28"/>
  <c r="S68" i="28" s="1"/>
  <c r="S70" i="28" s="1"/>
  <c r="O67" i="28"/>
  <c r="O63" i="28"/>
  <c r="O59" i="28"/>
  <c r="O62" i="28"/>
  <c r="Q67" i="28"/>
  <c r="Q63" i="28"/>
  <c r="Q59" i="28"/>
  <c r="Q68" i="28" l="1"/>
  <c r="Q70" i="28" s="1"/>
  <c r="O68" i="28"/>
  <c r="O70" i="28" s="1"/>
</calcChain>
</file>

<file path=xl/sharedStrings.xml><?xml version="1.0" encoding="utf-8"?>
<sst xmlns="http://schemas.openxmlformats.org/spreadsheetml/2006/main" count="107" uniqueCount="95">
  <si>
    <t>Line No.</t>
  </si>
  <si>
    <t>Notes:</t>
  </si>
  <si>
    <t>A</t>
  </si>
  <si>
    <t>C</t>
  </si>
  <si>
    <t>D</t>
  </si>
  <si>
    <t>B</t>
  </si>
  <si>
    <t>Depreciation Expense</t>
  </si>
  <si>
    <t>Plant-in-Service</t>
  </si>
  <si>
    <t>13-Month Average - Net Book Value</t>
  </si>
  <si>
    <t>E</t>
  </si>
  <si>
    <t>F</t>
  </si>
  <si>
    <t>Base Revenue Requirement Calculation:</t>
  </si>
  <si>
    <t>Fukushima</t>
  </si>
  <si>
    <t>Capacity Clause</t>
  </si>
  <si>
    <t>Clause Revenue Requirement Calculation:</t>
  </si>
  <si>
    <t>Return on Net Investment</t>
  </si>
  <si>
    <r>
      <t xml:space="preserve">2014 </t>
    </r>
    <r>
      <rPr>
        <b/>
        <vertAlign val="superscript"/>
        <sz val="10"/>
        <rFont val="Arial"/>
        <family val="2"/>
      </rPr>
      <t>(1)</t>
    </r>
  </si>
  <si>
    <r>
      <t>2015</t>
    </r>
    <r>
      <rPr>
        <b/>
        <vertAlign val="superscript"/>
        <sz val="10"/>
        <rFont val="Arial"/>
        <family val="2"/>
      </rPr>
      <t xml:space="preserve"> (1)</t>
    </r>
  </si>
  <si>
    <r>
      <t>Rate Base Rates</t>
    </r>
    <r>
      <rPr>
        <u/>
        <vertAlign val="superscript"/>
        <sz val="10"/>
        <rFont val="Arial"/>
        <family val="2"/>
      </rPr>
      <t xml:space="preserve"> </t>
    </r>
  </si>
  <si>
    <r>
      <t>Accumulated Depreciation Reserve</t>
    </r>
    <r>
      <rPr>
        <vertAlign val="superscript"/>
        <sz val="10"/>
        <rFont val="Arial"/>
        <family val="2"/>
      </rPr>
      <t xml:space="preserve"> (2)</t>
    </r>
  </si>
  <si>
    <r>
      <t xml:space="preserve">Depreciation Expense </t>
    </r>
    <r>
      <rPr>
        <vertAlign val="superscript"/>
        <sz val="10"/>
        <rFont val="Arial"/>
        <family val="2"/>
      </rPr>
      <t>(2)</t>
    </r>
  </si>
  <si>
    <r>
      <t xml:space="preserve">O&amp;M </t>
    </r>
    <r>
      <rPr>
        <vertAlign val="superscript"/>
        <sz val="10"/>
        <rFont val="Arial"/>
        <family val="2"/>
      </rPr>
      <t>(3)</t>
    </r>
  </si>
  <si>
    <r>
      <t xml:space="preserve">2016 </t>
    </r>
    <r>
      <rPr>
        <b/>
        <vertAlign val="superscript"/>
        <sz val="10"/>
        <rFont val="Arial"/>
        <family val="2"/>
      </rPr>
      <t>(3)</t>
    </r>
  </si>
  <si>
    <r>
      <t xml:space="preserve">2017 </t>
    </r>
    <r>
      <rPr>
        <b/>
        <vertAlign val="superscript"/>
        <sz val="10"/>
        <rFont val="Arial"/>
        <family val="2"/>
      </rPr>
      <t>(3)</t>
    </r>
  </si>
  <si>
    <r>
      <t xml:space="preserve">2018 </t>
    </r>
    <r>
      <rPr>
        <b/>
        <vertAlign val="superscript"/>
        <sz val="10"/>
        <rFont val="Arial"/>
        <family val="2"/>
      </rPr>
      <t>(3)</t>
    </r>
  </si>
  <si>
    <r>
      <t>Average Net Investment</t>
    </r>
    <r>
      <rPr>
        <b/>
        <vertAlign val="superscript"/>
        <sz val="10"/>
        <rFont val="Arial"/>
        <family val="2"/>
      </rPr>
      <t xml:space="preserve"> (4)</t>
    </r>
  </si>
  <si>
    <t>($000's)</t>
  </si>
  <si>
    <t>Actual</t>
  </si>
  <si>
    <t>Forecasted</t>
  </si>
  <si>
    <t xml:space="preserve">Rate Base </t>
  </si>
  <si>
    <t xml:space="preserve">    Jurisdictional Retail Rate Base </t>
  </si>
  <si>
    <t xml:space="preserve">     Return on Rate Base </t>
  </si>
  <si>
    <t xml:space="preserve">O&amp;M Expense </t>
  </si>
  <si>
    <t>Line 7</t>
  </si>
  <si>
    <t xml:space="preserve">     Total NOI</t>
  </si>
  <si>
    <t xml:space="preserve">     Subtotal</t>
  </si>
  <si>
    <t xml:space="preserve">     Retail O&amp;M &amp; Depreciation Expense  </t>
  </si>
  <si>
    <t xml:space="preserve">Total Revenue Requirement  </t>
  </si>
  <si>
    <t>(2) Depreciation expense using current approved depreciation rates.</t>
  </si>
  <si>
    <t xml:space="preserve">    Jurisdictional Investment Expenses</t>
  </si>
  <si>
    <t>Average Net Clause Investment</t>
  </si>
  <si>
    <t>Investment Expenses</t>
  </si>
  <si>
    <t>Total Expenses</t>
  </si>
  <si>
    <r>
      <t>Plant-in-Service</t>
    </r>
    <r>
      <rPr>
        <vertAlign val="superscript"/>
        <sz val="10"/>
        <rFont val="Arial"/>
        <family val="2"/>
      </rPr>
      <t>(4)</t>
    </r>
  </si>
  <si>
    <r>
      <t>Accumulated Depreciation Reserve</t>
    </r>
    <r>
      <rPr>
        <vertAlign val="superscript"/>
        <sz val="10"/>
        <rFont val="Arial"/>
        <family val="2"/>
      </rPr>
      <t>(4)</t>
    </r>
  </si>
  <si>
    <t>RAF Multiplier</t>
  </si>
  <si>
    <t>G</t>
  </si>
  <si>
    <r>
      <t xml:space="preserve">2013 </t>
    </r>
    <r>
      <rPr>
        <b/>
        <vertAlign val="superscript"/>
        <sz val="10"/>
        <rFont val="Arial"/>
        <family val="2"/>
      </rPr>
      <t>(1)</t>
    </r>
  </si>
  <si>
    <t>H</t>
  </si>
  <si>
    <t>I</t>
  </si>
  <si>
    <r>
      <t xml:space="preserve">2011 </t>
    </r>
    <r>
      <rPr>
        <b/>
        <vertAlign val="superscript"/>
        <sz val="10"/>
        <rFont val="Arial"/>
        <family val="2"/>
      </rPr>
      <t>(1)</t>
    </r>
  </si>
  <si>
    <r>
      <t xml:space="preserve">2012 </t>
    </r>
    <r>
      <rPr>
        <b/>
        <vertAlign val="superscript"/>
        <sz val="10"/>
        <rFont val="Arial"/>
        <family val="2"/>
      </rPr>
      <t>(1)</t>
    </r>
  </si>
  <si>
    <r>
      <t xml:space="preserve">(1) Per Capacity Cost Recovery Clause </t>
    </r>
    <r>
      <rPr>
        <b/>
        <sz val="10"/>
        <color rgb="FFFF0000"/>
        <rFont val="Arial"/>
        <family val="2"/>
      </rPr>
      <t>final true-up</t>
    </r>
    <r>
      <rPr>
        <b/>
        <sz val="10"/>
        <rFont val="Arial"/>
        <family val="2"/>
      </rPr>
      <t xml:space="preserve"> filing (except for base depreciation expense and base accumulated depreciation).</t>
    </r>
  </si>
  <si>
    <t>CWIP</t>
  </si>
  <si>
    <t>Line 5</t>
  </si>
  <si>
    <t>Line 8</t>
  </si>
  <si>
    <t>Line 27 x 28</t>
  </si>
  <si>
    <t>Line 29 x 30</t>
  </si>
  <si>
    <t>Line 35 x 36</t>
  </si>
  <si>
    <t>Line 31 + 37</t>
  </si>
  <si>
    <t>Line 38 x 39</t>
  </si>
  <si>
    <t>Line 17</t>
  </si>
  <si>
    <t>Line 44 x 45</t>
  </si>
  <si>
    <t>Line 22</t>
  </si>
  <si>
    <t>Line 52 x 53</t>
  </si>
  <si>
    <t xml:space="preserve"> Line 49 + Line 50 + Line 54</t>
  </si>
  <si>
    <t>Line 55 x 56</t>
  </si>
  <si>
    <t>(4) (Beginning Balance + Ending Balance)/2.</t>
  </si>
  <si>
    <r>
      <t xml:space="preserve">Plant-in-Service - Former Base Rates </t>
    </r>
    <r>
      <rPr>
        <vertAlign val="superscript"/>
        <sz val="10"/>
        <rFont val="Arial"/>
        <family val="2"/>
      </rPr>
      <t>(4)(5)</t>
    </r>
  </si>
  <si>
    <r>
      <t>Accumulated Depreciation Reserve- Former Base Rates</t>
    </r>
    <r>
      <rPr>
        <vertAlign val="superscript"/>
        <sz val="10"/>
        <rFont val="Arial"/>
        <family val="2"/>
      </rPr>
      <t>(4)(5)</t>
    </r>
  </si>
  <si>
    <r>
      <t>CWIP</t>
    </r>
    <r>
      <rPr>
        <vertAlign val="superscript"/>
        <sz val="10"/>
        <rFont val="Arial"/>
        <family val="2"/>
      </rPr>
      <t>(4)(6)</t>
    </r>
  </si>
  <si>
    <t>(5) FPL is requesting to recover Fukushima through clause in its rate case proceeding, beginning in 2017.</t>
  </si>
  <si>
    <t>(6) All CWIP for 2017 &amp; 2018 is forecasted to close out to PIS in the same year as capital expenditures are incurred.</t>
  </si>
  <si>
    <t>(7) Per MFR B-2 for each respective year (2016 uses same factor as 2017).</t>
  </si>
  <si>
    <t>(8) Based on revised weighted average cost of capital reflected on FPL witness Ousdahl's Exhibit KO-20 for each respective year; 2016 uses 2017 rates.</t>
  </si>
  <si>
    <t>(9) Per MFR C-3 for each respective year (2016 uses same factor as 2017).</t>
  </si>
  <si>
    <t>(10) Based on NOI multiplier components reflected on FPL witness Ousdahl's Exhibit KO-20.</t>
  </si>
  <si>
    <t>(11) 2016 uses May 2016 ESR WACC; 2017 &amp; 2018 uses same WACC as used for calculation on line 26.</t>
  </si>
  <si>
    <t>(12) 2016 uses May 2016 ESR Cost of Debt of 1.39%; 2017 &amp; 2018 uses same Cost of Debt reflected on FPL witness Ousdahl's Exhibit KO-20 for each respective year.</t>
  </si>
  <si>
    <r>
      <t xml:space="preserve">Fukushima Company Adj Separation Factor </t>
    </r>
    <r>
      <rPr>
        <b/>
        <vertAlign val="superscript"/>
        <sz val="10"/>
        <rFont val="Arial"/>
        <family val="2"/>
      </rPr>
      <t>(7)</t>
    </r>
  </si>
  <si>
    <r>
      <t>Pre-Tax Cost of Capital</t>
    </r>
    <r>
      <rPr>
        <b/>
        <vertAlign val="superscript"/>
        <sz val="10"/>
        <rFont val="Arial"/>
        <family val="2"/>
      </rPr>
      <t xml:space="preserve"> (8)</t>
    </r>
  </si>
  <si>
    <r>
      <t xml:space="preserve">Fukushima Retail Separation Factor </t>
    </r>
    <r>
      <rPr>
        <b/>
        <vertAlign val="superscript"/>
        <sz val="10"/>
        <rFont val="Arial"/>
        <family val="2"/>
      </rPr>
      <t>(9)</t>
    </r>
  </si>
  <si>
    <r>
      <t xml:space="preserve">RAF and Bad Debt Multiplier </t>
    </r>
    <r>
      <rPr>
        <b/>
        <vertAlign val="superscript"/>
        <sz val="10"/>
        <rFont val="Arial"/>
        <family val="2"/>
      </rPr>
      <t>(10)</t>
    </r>
  </si>
  <si>
    <r>
      <t>Capacity FPSC Adj Separation Factor</t>
    </r>
    <r>
      <rPr>
        <b/>
        <vertAlign val="superscript"/>
        <sz val="10"/>
        <rFont val="Arial"/>
        <family val="2"/>
      </rPr>
      <t>(7)</t>
    </r>
  </si>
  <si>
    <r>
      <t xml:space="preserve">     Equity Component grossed up for taxes (Line 40 x Pre-Tax Cost of Equity</t>
    </r>
    <r>
      <rPr>
        <b/>
        <vertAlign val="superscript"/>
        <sz val="10"/>
        <rFont val="Arial"/>
        <family val="2"/>
      </rPr>
      <t>(11)</t>
    </r>
    <r>
      <rPr>
        <b/>
        <sz val="10"/>
        <rFont val="Arial"/>
        <family val="2"/>
      </rPr>
      <t>)</t>
    </r>
  </si>
  <si>
    <r>
      <t xml:space="preserve">     Debt Component (Line 40 x Cost of Debt </t>
    </r>
    <r>
      <rPr>
        <b/>
        <vertAlign val="superscript"/>
        <sz val="10"/>
        <rFont val="Arial"/>
        <family val="2"/>
      </rPr>
      <t>(12)</t>
    </r>
    <r>
      <rPr>
        <b/>
        <sz val="10"/>
        <rFont val="Arial"/>
        <family val="2"/>
      </rPr>
      <t>)</t>
    </r>
  </si>
  <si>
    <r>
      <t xml:space="preserve">     Capacity FPSC Adj Separation Factor</t>
    </r>
    <r>
      <rPr>
        <b/>
        <vertAlign val="superscript"/>
        <sz val="10"/>
        <rFont val="Arial"/>
        <family val="2"/>
      </rPr>
      <t>(7)</t>
    </r>
  </si>
  <si>
    <r>
      <t>Depreciation Expense  - Former Base Rates</t>
    </r>
    <r>
      <rPr>
        <vertAlign val="superscript"/>
        <sz val="10"/>
        <rFont val="Arial"/>
        <family val="2"/>
      </rPr>
      <t>(5)</t>
    </r>
  </si>
  <si>
    <t>(3) 2011-2015 based on actuals.  2016-2018 are per FPL's forecast.</t>
  </si>
  <si>
    <t>Florida Power &amp; Light Company</t>
  </si>
  <si>
    <t>Docket No. 160021-EI</t>
  </si>
  <si>
    <t>Staff's Thirty-Second Set of Interrogatories</t>
  </si>
  <si>
    <t>Interrogatory No. 396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</si>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</sst>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000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double">
        <color indexed="64"/>
      </bottom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2" borderId="0"/>
    <xf numFmtId="0" fontId="11" fillId="3" borderId="5" applyBorder="0"/>
    <xf numFmtId="4" fontId="10" fillId="5" borderId="6" applyNumberFormat="0" applyProtection="0">
      <alignment horizontal="left" vertical="center" indent="1"/>
    </xf>
    <xf numFmtId="4" fontId="10" fillId="5" borderId="6" applyNumberFormat="0" applyProtection="0">
      <alignment horizontal="left" vertical="center" indent="1"/>
    </xf>
    <xf numFmtId="4" fontId="10" fillId="0" borderId="6" applyNumberFormat="0" applyProtection="0">
      <alignment horizontal="right" vertical="center"/>
    </xf>
    <xf numFmtId="4" fontId="10" fillId="6" borderId="6" applyNumberFormat="0" applyProtection="0">
      <alignment horizontal="left" vertical="center" indent="1"/>
    </xf>
    <xf numFmtId="4" fontId="10" fillId="7" borderId="6" applyNumberFormat="0" applyProtection="0">
      <alignment vertical="center"/>
    </xf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7" borderId="0" applyNumberFormat="0" applyBorder="0" applyAlignment="0" applyProtection="0"/>
    <xf numFmtId="0" fontId="13" fillId="12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1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4" fontId="15" fillId="6" borderId="6" applyNumberFormat="0" applyProtection="0">
      <alignment vertical="center"/>
    </xf>
    <xf numFmtId="0" fontId="16" fillId="7" borderId="7" applyNumberFormat="0" applyProtection="0">
      <alignment horizontal="left" vertical="top" indent="1"/>
    </xf>
    <xf numFmtId="4" fontId="10" fillId="26" borderId="6" applyNumberFormat="0" applyProtection="0">
      <alignment horizontal="right" vertical="center"/>
    </xf>
    <xf numFmtId="4" fontId="10" fillId="27" borderId="6" applyNumberFormat="0" applyProtection="0">
      <alignment horizontal="right" vertical="center"/>
    </xf>
    <xf numFmtId="4" fontId="10" fillId="28" borderId="8" applyNumberFormat="0" applyProtection="0">
      <alignment horizontal="right" vertical="center"/>
    </xf>
    <xf numFmtId="4" fontId="10" fillId="29" borderId="6" applyNumberFormat="0" applyProtection="0">
      <alignment horizontal="right" vertical="center"/>
    </xf>
    <xf numFmtId="4" fontId="10" fillId="30" borderId="6" applyNumberFormat="0" applyProtection="0">
      <alignment horizontal="right" vertical="center"/>
    </xf>
    <xf numFmtId="4" fontId="10" fillId="31" borderId="6" applyNumberFormat="0" applyProtection="0">
      <alignment horizontal="right" vertical="center"/>
    </xf>
    <xf numFmtId="4" fontId="10" fillId="32" borderId="6" applyNumberFormat="0" applyProtection="0">
      <alignment horizontal="right" vertical="center"/>
    </xf>
    <xf numFmtId="4" fontId="10" fillId="33" borderId="6" applyNumberFormat="0" applyProtection="0">
      <alignment horizontal="right" vertical="center"/>
    </xf>
    <xf numFmtId="4" fontId="10" fillId="34" borderId="6" applyNumberFormat="0" applyProtection="0">
      <alignment horizontal="right" vertical="center"/>
    </xf>
    <xf numFmtId="4" fontId="10" fillId="35" borderId="8" applyNumberFormat="0" applyProtection="0">
      <alignment horizontal="left" vertical="center" indent="1"/>
    </xf>
    <xf numFmtId="4" fontId="1" fillId="3" borderId="8" applyNumberFormat="0" applyProtection="0">
      <alignment horizontal="left" vertical="center" indent="1"/>
    </xf>
    <xf numFmtId="4" fontId="1" fillId="3" borderId="8" applyNumberFormat="0" applyProtection="0">
      <alignment horizontal="left" vertical="center" indent="1"/>
    </xf>
    <xf numFmtId="4" fontId="10" fillId="36" borderId="6" applyNumberFormat="0" applyProtection="0">
      <alignment horizontal="right" vertical="center"/>
    </xf>
    <xf numFmtId="4" fontId="10" fillId="37" borderId="8" applyNumberFormat="0" applyProtection="0">
      <alignment horizontal="left" vertical="center" indent="1"/>
    </xf>
    <xf numFmtId="4" fontId="10" fillId="36" borderId="8" applyNumberFormat="0" applyProtection="0">
      <alignment horizontal="left" vertical="center" indent="1"/>
    </xf>
    <xf numFmtId="0" fontId="10" fillId="38" borderId="6" applyNumberFormat="0" applyProtection="0">
      <alignment horizontal="left" vertical="center" indent="1"/>
    </xf>
    <xf numFmtId="0" fontId="10" fillId="3" borderId="7" applyNumberFormat="0" applyProtection="0">
      <alignment horizontal="left" vertical="top" indent="1"/>
    </xf>
    <xf numFmtId="0" fontId="10" fillId="39" borderId="6" applyNumberFormat="0" applyProtection="0">
      <alignment horizontal="left" vertical="center" indent="1"/>
    </xf>
    <xf numFmtId="0" fontId="10" fillId="36" borderId="7" applyNumberFormat="0" applyProtection="0">
      <alignment horizontal="left" vertical="top" indent="1"/>
    </xf>
    <xf numFmtId="0" fontId="10" fillId="40" borderId="6" applyNumberFormat="0" applyProtection="0">
      <alignment horizontal="left" vertical="center" indent="1"/>
    </xf>
    <xf numFmtId="0" fontId="10" fillId="40" borderId="7" applyNumberFormat="0" applyProtection="0">
      <alignment horizontal="left" vertical="top" indent="1"/>
    </xf>
    <xf numFmtId="0" fontId="10" fillId="37" borderId="6" applyNumberFormat="0" applyProtection="0">
      <alignment horizontal="left" vertical="center" indent="1"/>
    </xf>
    <xf numFmtId="0" fontId="10" fillId="37" borderId="7" applyNumberFormat="0" applyProtection="0">
      <alignment horizontal="left" vertical="top" indent="1"/>
    </xf>
    <xf numFmtId="0" fontId="10" fillId="41" borderId="9" applyNumberFormat="0">
      <protection locked="0"/>
    </xf>
    <xf numFmtId="4" fontId="17" fillId="42" borderId="7" applyNumberFormat="0" applyProtection="0">
      <alignment vertical="center"/>
    </xf>
    <xf numFmtId="4" fontId="15" fillId="43" borderId="1" applyNumberFormat="0" applyProtection="0">
      <alignment vertical="center"/>
    </xf>
    <xf numFmtId="4" fontId="17" fillId="38" borderId="7" applyNumberFormat="0" applyProtection="0">
      <alignment horizontal="left" vertical="center" indent="1"/>
    </xf>
    <xf numFmtId="0" fontId="17" fillId="42" borderId="7" applyNumberFormat="0" applyProtection="0">
      <alignment horizontal="left" vertical="top" indent="1"/>
    </xf>
    <xf numFmtId="4" fontId="15" fillId="4" borderId="6" applyNumberFormat="0" applyProtection="0">
      <alignment horizontal="right" vertical="center"/>
    </xf>
    <xf numFmtId="0" fontId="17" fillId="36" borderId="7" applyNumberFormat="0" applyProtection="0">
      <alignment horizontal="left" vertical="top" indent="1"/>
    </xf>
    <xf numFmtId="4" fontId="18" fillId="44" borderId="8" applyNumberFormat="0" applyProtection="0">
      <alignment horizontal="left" vertical="center" indent="1"/>
    </xf>
    <xf numFmtId="0" fontId="10" fillId="45" borderId="1"/>
    <xf numFmtId="4" fontId="19" fillId="41" borderId="6" applyNumberFormat="0" applyProtection="0">
      <alignment horizontal="right" vertical="center"/>
    </xf>
    <xf numFmtId="0" fontId="20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164" fontId="2" fillId="0" borderId="0" xfId="1" applyNumberFormat="1" applyFont="1" applyBorder="1" applyAlignment="1">
      <alignment horizontal="right"/>
    </xf>
    <xf numFmtId="166" fontId="8" fillId="0" borderId="3" xfId="3" applyNumberFormat="1" applyFont="1" applyFill="1" applyBorder="1" applyAlignment="1">
      <alignment horizontal="right"/>
    </xf>
    <xf numFmtId="165" fontId="1" fillId="0" borderId="0" xfId="6" applyNumberFormat="1" applyFont="1" applyAlignment="1">
      <alignment horizontal="center"/>
    </xf>
    <xf numFmtId="164" fontId="1" fillId="0" borderId="3" xfId="6" applyNumberFormat="1" applyFont="1" applyBorder="1" applyAlignment="1">
      <alignment horizontal="center"/>
    </xf>
    <xf numFmtId="0" fontId="2" fillId="0" borderId="0" xfId="2" applyFont="1"/>
    <xf numFmtId="165" fontId="2" fillId="0" borderId="2" xfId="6" applyNumberFormat="1" applyFont="1" applyBorder="1" applyAlignment="1">
      <alignment horizontal="right"/>
    </xf>
    <xf numFmtId="164" fontId="2" fillId="0" borderId="3" xfId="1" applyNumberFormat="1" applyFont="1" applyBorder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0" xfId="1" applyNumberFormat="1" applyFont="1" applyBorder="1" applyAlignment="1">
      <alignment horizontal="right"/>
    </xf>
    <xf numFmtId="0" fontId="1" fillId="0" borderId="0" xfId="71" applyFont="1"/>
    <xf numFmtId="0" fontId="2" fillId="0" borderId="0" xfId="71" applyFont="1" applyAlignment="1">
      <alignment horizontal="center" vertical="center"/>
    </xf>
    <xf numFmtId="0" fontId="2" fillId="0" borderId="0" xfId="71" quotePrefix="1" applyFont="1"/>
    <xf numFmtId="0" fontId="24" fillId="0" borderId="0" xfId="71" applyFont="1"/>
    <xf numFmtId="0" fontId="1" fillId="0" borderId="0" xfId="71" applyFont="1" applyBorder="1" applyAlignment="1">
      <alignment horizontal="left" vertical="center" wrapText="1"/>
    </xf>
    <xf numFmtId="0" fontId="1" fillId="0" borderId="0" xfId="71" applyFont="1" applyBorder="1" applyAlignment="1">
      <alignment vertical="center" wrapText="1"/>
    </xf>
    <xf numFmtId="165" fontId="2" fillId="0" borderId="0" xfId="6" quotePrefix="1" applyNumberFormat="1" applyFont="1" applyAlignment="1"/>
    <xf numFmtId="0" fontId="1" fillId="0" borderId="0" xfId="71" applyFont="1" applyFill="1"/>
    <xf numFmtId="165" fontId="2" fillId="0" borderId="0" xfId="6" quotePrefix="1" applyNumberFormat="1" applyFont="1" applyFill="1" applyAlignment="1"/>
    <xf numFmtId="0" fontId="1" fillId="0" borderId="0" xfId="71" applyFont="1" applyBorder="1"/>
    <xf numFmtId="0" fontId="6" fillId="0" borderId="0" xfId="71" applyFont="1" applyBorder="1"/>
    <xf numFmtId="165" fontId="2" fillId="0" borderId="0" xfId="6" applyNumberFormat="1" applyFont="1" applyBorder="1" applyAlignment="1">
      <alignment horizontal="right"/>
    </xf>
    <xf numFmtId="0" fontId="2" fillId="0" borderId="0" xfId="71" applyFont="1"/>
    <xf numFmtId="44" fontId="22" fillId="0" borderId="0" xfId="6" applyFont="1"/>
    <xf numFmtId="0" fontId="22" fillId="0" borderId="0" xfId="71" applyFont="1"/>
    <xf numFmtId="165" fontId="2" fillId="0" borderId="10" xfId="6" applyNumberFormat="1" applyFont="1" applyBorder="1" applyAlignment="1">
      <alignment horizontal="right"/>
    </xf>
    <xf numFmtId="0" fontId="2" fillId="0" borderId="3" xfId="71" applyFont="1" applyFill="1" applyBorder="1" applyAlignment="1">
      <alignment horizontal="right"/>
    </xf>
    <xf numFmtId="0" fontId="2" fillId="0" borderId="0" xfId="71" applyFont="1" applyFill="1" applyBorder="1" applyAlignment="1">
      <alignment horizontal="right"/>
    </xf>
    <xf numFmtId="0" fontId="2" fillId="0" borderId="0" xfId="71" applyFont="1" applyBorder="1" applyAlignment="1">
      <alignment horizontal="right"/>
    </xf>
    <xf numFmtId="165" fontId="2" fillId="0" borderId="2" xfId="71" applyNumberFormat="1" applyFont="1" applyBorder="1" applyAlignment="1">
      <alignment horizontal="right"/>
    </xf>
    <xf numFmtId="165" fontId="2" fillId="0" borderId="0" xfId="71" applyNumberFormat="1" applyFont="1" applyBorder="1" applyAlignment="1">
      <alignment horizontal="right"/>
    </xf>
    <xf numFmtId="165" fontId="2" fillId="0" borderId="0" xfId="71" applyNumberFormat="1" applyFont="1" applyAlignment="1">
      <alignment horizontal="right"/>
    </xf>
    <xf numFmtId="165" fontId="2" fillId="0" borderId="0" xfId="71" applyNumberFormat="1" applyFont="1" applyBorder="1" applyAlignment="1">
      <alignment horizontal="center"/>
    </xf>
    <xf numFmtId="167" fontId="2" fillId="0" borderId="3" xfId="71" applyNumberFormat="1" applyFont="1" applyFill="1" applyBorder="1" applyAlignment="1">
      <alignment horizontal="right"/>
    </xf>
    <xf numFmtId="0" fontId="2" fillId="0" borderId="0" xfId="71" applyFont="1" applyAlignment="1">
      <alignment horizontal="center"/>
    </xf>
    <xf numFmtId="165" fontId="2" fillId="0" borderId="0" xfId="71" applyNumberFormat="1" applyFont="1" applyBorder="1" applyAlignment="1">
      <alignment horizontal="center" wrapText="1"/>
    </xf>
    <xf numFmtId="167" fontId="2" fillId="0" borderId="3" xfId="71" applyNumberFormat="1" applyFont="1" applyBorder="1" applyAlignment="1">
      <alignment horizontal="right"/>
    </xf>
    <xf numFmtId="0" fontId="6" fillId="0" borderId="0" xfId="71" applyFont="1"/>
    <xf numFmtId="0" fontId="2" fillId="0" borderId="0" xfId="71" applyFont="1" applyFill="1" applyAlignment="1">
      <alignment horizontal="right"/>
    </xf>
    <xf numFmtId="167" fontId="2" fillId="0" borderId="0" xfId="71" applyNumberFormat="1" applyFont="1" applyBorder="1" applyAlignment="1">
      <alignment horizontal="right"/>
    </xf>
    <xf numFmtId="165" fontId="2" fillId="0" borderId="0" xfId="71" applyNumberFormat="1" applyFont="1"/>
    <xf numFmtId="0" fontId="2" fillId="0" borderId="0" xfId="71" applyFont="1" applyBorder="1"/>
    <xf numFmtId="166" fontId="8" fillId="0" borderId="0" xfId="3" applyNumberFormat="1" applyFont="1" applyFill="1" applyBorder="1" applyAlignment="1">
      <alignment horizontal="right"/>
    </xf>
    <xf numFmtId="0" fontId="2" fillId="0" borderId="0" xfId="71" applyFont="1" applyBorder="1" applyAlignment="1">
      <alignment horizontal="left"/>
    </xf>
    <xf numFmtId="0" fontId="2" fillId="0" borderId="0" xfId="71" applyFont="1" applyBorder="1" applyAlignment="1">
      <alignment horizontal="center" vertical="center"/>
    </xf>
    <xf numFmtId="0" fontId="1" fillId="0" borderId="0" xfId="71" applyFont="1" applyAlignment="1">
      <alignment horizontal="center"/>
    </xf>
    <xf numFmtId="165" fontId="1" fillId="0" borderId="0" xfId="71" applyNumberFormat="1" applyFont="1"/>
    <xf numFmtId="165" fontId="1" fillId="0" borderId="0" xfId="6" quotePrefix="1" applyNumberFormat="1" applyFont="1" applyAlignment="1">
      <alignment horizontal="center"/>
    </xf>
    <xf numFmtId="164" fontId="1" fillId="0" borderId="0" xfId="6" applyNumberFormat="1" applyFont="1" applyBorder="1" applyAlignment="1">
      <alignment horizontal="center"/>
    </xf>
    <xf numFmtId="165" fontId="2" fillId="0" borderId="0" xfId="6" quotePrefix="1" applyNumberFormat="1" applyFont="1" applyAlignment="1">
      <alignment horizontal="center"/>
    </xf>
    <xf numFmtId="165" fontId="1" fillId="0" borderId="0" xfId="6" applyNumberFormat="1" applyFont="1" applyFill="1" applyAlignment="1">
      <alignment horizontal="center"/>
    </xf>
    <xf numFmtId="165" fontId="2" fillId="0" borderId="0" xfId="6" quotePrefix="1" applyNumberFormat="1" applyFont="1" applyFill="1" applyAlignment="1">
      <alignment horizontal="center"/>
    </xf>
    <xf numFmtId="0" fontId="1" fillId="0" borderId="0" xfId="71" quotePrefix="1" applyFont="1" applyBorder="1" applyAlignment="1">
      <alignment horizontal="right"/>
    </xf>
    <xf numFmtId="0" fontId="1" fillId="0" borderId="0" xfId="71" applyFont="1" applyBorder="1" applyAlignment="1">
      <alignment horizontal="right"/>
    </xf>
    <xf numFmtId="0" fontId="1" fillId="0" borderId="0" xfId="71" applyFont="1" applyBorder="1" applyAlignment="1">
      <alignment horizontal="left"/>
    </xf>
    <xf numFmtId="0" fontId="4" fillId="0" borderId="0" xfId="71" applyFont="1" applyBorder="1" applyAlignment="1">
      <alignment horizontal="left"/>
    </xf>
    <xf numFmtId="0" fontId="2" fillId="0" borderId="0" xfId="71" quotePrefix="1" applyFont="1" applyBorder="1" applyAlignment="1">
      <alignment horizontal="right"/>
    </xf>
    <xf numFmtId="0" fontId="2" fillId="0" borderId="0" xfId="71" applyFont="1" applyBorder="1" applyAlignment="1">
      <alignment horizontal="center"/>
    </xf>
    <xf numFmtId="0" fontId="2" fillId="0" borderId="4" xfId="71" applyFont="1" applyBorder="1" applyAlignment="1">
      <alignment horizontal="center" vertical="center"/>
    </xf>
    <xf numFmtId="0" fontId="2" fillId="0" borderId="4" xfId="71" applyFont="1" applyBorder="1" applyAlignment="1">
      <alignment horizontal="center"/>
    </xf>
    <xf numFmtId="0" fontId="2" fillId="0" borderId="0" xfId="71" applyFont="1" applyAlignment="1">
      <alignment horizontal="center" wrapText="1"/>
    </xf>
    <xf numFmtId="0" fontId="1" fillId="0" borderId="0" xfId="71"/>
    <xf numFmtId="0" fontId="9" fillId="0" borderId="0" xfId="71" applyFont="1"/>
    <xf numFmtId="164" fontId="1" fillId="0" borderId="3" xfId="6" applyNumberFormat="1" applyFont="1" applyFill="1" applyBorder="1" applyAlignment="1">
      <alignment horizontal="center"/>
    </xf>
    <xf numFmtId="0" fontId="1" fillId="0" borderId="0" xfId="71" applyFont="1" applyFill="1" applyBorder="1" applyAlignment="1">
      <alignment horizontal="right"/>
    </xf>
    <xf numFmtId="164" fontId="1" fillId="0" borderId="0" xfId="6" applyNumberFormat="1" applyFont="1" applyFill="1" applyBorder="1" applyAlignment="1">
      <alignment horizontal="center"/>
    </xf>
    <xf numFmtId="44" fontId="2" fillId="0" borderId="0" xfId="71" applyNumberFormat="1" applyFont="1" applyAlignment="1">
      <alignment horizontal="right"/>
    </xf>
    <xf numFmtId="0" fontId="4" fillId="0" borderId="0" xfId="71" applyFont="1" applyFill="1" applyBorder="1" applyAlignment="1">
      <alignment horizontal="left"/>
    </xf>
    <xf numFmtId="165" fontId="1" fillId="0" borderId="0" xfId="6" quotePrefix="1" applyNumberFormat="1" applyFont="1" applyFill="1" applyAlignment="1">
      <alignment horizontal="center"/>
    </xf>
    <xf numFmtId="165" fontId="1" fillId="0" borderId="0" xfId="71" applyNumberFormat="1" applyFont="1" applyFill="1"/>
    <xf numFmtId="0" fontId="2" fillId="0" borderId="0" xfId="71" applyFont="1" applyFill="1" applyAlignment="1">
      <alignment horizontal="center" vertical="center"/>
    </xf>
    <xf numFmtId="0" fontId="1" fillId="0" borderId="0" xfId="71" applyFont="1" applyFill="1" applyBorder="1" applyAlignment="1">
      <alignment horizontal="left"/>
    </xf>
    <xf numFmtId="164" fontId="1" fillId="0" borderId="0" xfId="1" applyNumberFormat="1" applyFont="1" applyFill="1"/>
    <xf numFmtId="1" fontId="1" fillId="0" borderId="0" xfId="71" applyNumberFormat="1" applyFont="1" applyFill="1"/>
    <xf numFmtId="0" fontId="2" fillId="0" borderId="0" xfId="71" quotePrefix="1" applyFont="1" applyFill="1" applyBorder="1" applyAlignment="1">
      <alignment horizontal="left"/>
    </xf>
    <xf numFmtId="0" fontId="1" fillId="0" borderId="0" xfId="71" quotePrefix="1" applyFont="1" applyFill="1" applyBorder="1" applyAlignment="1">
      <alignment horizontal="right"/>
    </xf>
    <xf numFmtId="0" fontId="1" fillId="0" borderId="0" xfId="71" applyFont="1" applyFill="1" applyAlignment="1">
      <alignment horizontal="center"/>
    </xf>
    <xf numFmtId="0" fontId="2" fillId="0" borderId="0" xfId="71" applyFont="1" applyFill="1"/>
    <xf numFmtId="165" fontId="2" fillId="0" borderId="0" xfId="71" applyNumberFormat="1" applyFont="1" applyFill="1" applyBorder="1" applyAlignment="1">
      <alignment horizontal="right"/>
    </xf>
    <xf numFmtId="0" fontId="1" fillId="0" borderId="0" xfId="71" applyFont="1" applyFill="1" applyBorder="1"/>
    <xf numFmtId="0" fontId="2" fillId="0" borderId="0" xfId="71" applyFont="1" applyFill="1" applyBorder="1"/>
    <xf numFmtId="164" fontId="2" fillId="0" borderId="0" xfId="1" applyNumberFormat="1" applyFont="1" applyFill="1" applyBorder="1"/>
    <xf numFmtId="167" fontId="2" fillId="0" borderId="0" xfId="7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6" applyNumberFormat="1" applyFont="1" applyFill="1" applyBorder="1" applyAlignment="1">
      <alignment horizontal="right"/>
    </xf>
    <xf numFmtId="165" fontId="2" fillId="0" borderId="0" xfId="71" applyNumberFormat="1" applyFont="1" applyFill="1" applyBorder="1"/>
  </cellXfs>
  <cellStyles count="72">
    <cellStyle name="Accent1 - 20%" xfId="14"/>
    <cellStyle name="Accent1 - 40%" xfId="15"/>
    <cellStyle name="Accent1 - 60%" xfId="16"/>
    <cellStyle name="Accent2 - 20%" xfId="17"/>
    <cellStyle name="Accent2 - 40%" xfId="18"/>
    <cellStyle name="Accent2 - 60%" xfId="19"/>
    <cellStyle name="Accent3 - 20%" xfId="20"/>
    <cellStyle name="Accent3 - 40%" xfId="21"/>
    <cellStyle name="Accent3 - 60%" xfId="22"/>
    <cellStyle name="Accent4 - 20%" xfId="23"/>
    <cellStyle name="Accent4 - 40%" xfId="24"/>
    <cellStyle name="Accent4 - 60%" xfId="25"/>
    <cellStyle name="Accent5 - 20%" xfId="26"/>
    <cellStyle name="Accent5 - 40%" xfId="27"/>
    <cellStyle name="Accent5 - 60%" xfId="28"/>
    <cellStyle name="Accent6 - 20%" xfId="29"/>
    <cellStyle name="Accent6 - 40%" xfId="30"/>
    <cellStyle name="Accent6 - 60%" xfId="31"/>
    <cellStyle name="Comma" xfId="1" builtinId="3"/>
    <cellStyle name="Comma 2" xfId="5"/>
    <cellStyle name="Currency 2" xfId="6"/>
    <cellStyle name="Emphasis 1" xfId="32"/>
    <cellStyle name="Emphasis 2" xfId="33"/>
    <cellStyle name="Emphasis 3" xfId="34"/>
    <cellStyle name="Normal" xfId="0" builtinId="0"/>
    <cellStyle name="Normal 15 5" xfId="71"/>
    <cellStyle name="Normal 2" xfId="2"/>
    <cellStyle name="Normal 3" xfId="4"/>
    <cellStyle name="Normal 4" xfId="7"/>
    <cellStyle name="Percent 2" xfId="3"/>
    <cellStyle name="SAPBEXaggData" xfId="13"/>
    <cellStyle name="SAPBEXaggDataEmph" xfId="35"/>
    <cellStyle name="SAPBEXaggItem" xfId="12"/>
    <cellStyle name="SAPBEXaggItemX" xfId="36"/>
    <cellStyle name="SAPBEXchaText" xfId="9"/>
    <cellStyle name="SAPBEXexcBad7" xfId="37"/>
    <cellStyle name="SAPBEXexcBad8" xfId="38"/>
    <cellStyle name="SAPBEXexcBad9" xfId="39"/>
    <cellStyle name="SAPBEXexcCritical4" xfId="40"/>
    <cellStyle name="SAPBEXexcCritical5" xfId="41"/>
    <cellStyle name="SAPBEXexcCritical6" xfId="42"/>
    <cellStyle name="SAPBEXexcGood1" xfId="43"/>
    <cellStyle name="SAPBEXexcGood2" xfId="44"/>
    <cellStyle name="SAPBEXexcGood3" xfId="45"/>
    <cellStyle name="SAPBEXfilterDrill" xfId="46"/>
    <cellStyle name="SAPBEXfilterItem" xfId="47"/>
    <cellStyle name="SAPBEXfilterText" xfId="48"/>
    <cellStyle name="SAPBEXformats" xfId="49"/>
    <cellStyle name="SAPBEXheaderItem" xfId="50"/>
    <cellStyle name="SAPBEXheaderText" xfId="51"/>
    <cellStyle name="SAPBEXHLevel0" xfId="52"/>
    <cellStyle name="SAPBEXHLevel0X" xfId="53"/>
    <cellStyle name="SAPBEXHLevel1" xfId="54"/>
    <cellStyle name="SAPBEXHLevel1X" xfId="55"/>
    <cellStyle name="SAPBEXHLevel2" xfId="56"/>
    <cellStyle name="SAPBEXHLevel2X" xfId="57"/>
    <cellStyle name="SAPBEXHLevel3" xfId="58"/>
    <cellStyle name="SAPBEXHLevel3X" xfId="59"/>
    <cellStyle name="SAPBEXinputData" xfId="60"/>
    <cellStyle name="SAPBEXItemHeader" xfId="8"/>
    <cellStyle name="SAPBEXresData" xfId="61"/>
    <cellStyle name="SAPBEXresDataEmph" xfId="62"/>
    <cellStyle name="SAPBEXresItem" xfId="63"/>
    <cellStyle name="SAPBEXresItemX" xfId="64"/>
    <cellStyle name="SAPBEXstdData" xfId="11"/>
    <cellStyle name="SAPBEXstdDataEmph" xfId="65"/>
    <cellStyle name="SAPBEXstdItem" xfId="10"/>
    <cellStyle name="SAPBEXstdItemX" xfId="66"/>
    <cellStyle name="SAPBEXtitle" xfId="67"/>
    <cellStyle name="SAPBEXunassignedItem" xfId="68"/>
    <cellStyle name="SAPBEXundefined" xfId="69"/>
    <cellStyle name="Sheet Title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W86"/>
  <sheetViews>
    <sheetView tabSelected="1" zoomScale="85" zoomScaleNormal="85" workbookViewId="0"/>
  </sheetViews>
  <sheetFormatPr defaultRowHeight="12.75" x14ac:dyDescent="0.2"/>
  <cols>
    <col min="1" max="1" width="9.28515625" style="11" bestFit="1" customWidth="1"/>
    <col min="2" max="2" width="41.5703125" style="11" customWidth="1"/>
    <col min="3" max="4" width="3.140625" style="11" customWidth="1"/>
    <col min="5" max="5" width="14.28515625" style="11" customWidth="1"/>
    <col min="6" max="6" width="3.140625" style="11" customWidth="1"/>
    <col min="7" max="7" width="14.28515625" style="11" customWidth="1"/>
    <col min="8" max="8" width="3.140625" style="11" customWidth="1"/>
    <col min="9" max="9" width="14.28515625" style="11" customWidth="1"/>
    <col min="10" max="10" width="3.140625" style="11" customWidth="1"/>
    <col min="11" max="11" width="14.28515625" style="11" customWidth="1"/>
    <col min="12" max="12" width="3.85546875" style="11" customWidth="1"/>
    <col min="13" max="13" width="16.140625" style="11" customWidth="1"/>
    <col min="14" max="14" width="3.42578125" style="11" customWidth="1"/>
    <col min="15" max="15" width="16.7109375" style="11" customWidth="1"/>
    <col min="16" max="16" width="2.85546875" style="11" customWidth="1"/>
    <col min="17" max="17" width="12.28515625" style="11" bestFit="1" customWidth="1"/>
    <col min="18" max="18" width="2.7109375" style="11" customWidth="1"/>
    <col min="19" max="19" width="13.42578125" style="11" bestFit="1" customWidth="1"/>
    <col min="20" max="20" width="2.42578125" style="11" customWidth="1"/>
    <col min="21" max="21" width="9.140625" style="11"/>
    <col min="22" max="22" width="11.28515625" style="11" bestFit="1" customWidth="1"/>
    <col min="23" max="23" width="12.28515625" style="11" bestFit="1" customWidth="1"/>
    <col min="24" max="16384" width="9.140625" style="11"/>
  </cols>
  <sheetData>
    <row r="1" spans="1:19" x14ac:dyDescent="0.2">
      <c r="A1" s="23" t="s">
        <v>89</v>
      </c>
    </row>
    <row r="2" spans="1:19" x14ac:dyDescent="0.2">
      <c r="A2" s="23" t="s">
        <v>90</v>
      </c>
    </row>
    <row r="3" spans="1:19" x14ac:dyDescent="0.2">
      <c r="A3" s="23" t="s">
        <v>91</v>
      </c>
    </row>
    <row r="4" spans="1:19" x14ac:dyDescent="0.2">
      <c r="A4" s="23" t="s">
        <v>92</v>
      </c>
    </row>
    <row r="5" spans="1:19" x14ac:dyDescent="0.2">
      <c r="A5" s="23" t="s">
        <v>93</v>
      </c>
    </row>
    <row r="6" spans="1:19" x14ac:dyDescent="0.2">
      <c r="A6" s="23" t="s">
        <v>94</v>
      </c>
    </row>
    <row r="8" spans="1:19" ht="18.75" x14ac:dyDescent="0.3">
      <c r="B8" s="63" t="s">
        <v>12</v>
      </c>
    </row>
    <row r="9" spans="1:19" x14ac:dyDescent="0.2">
      <c r="B9" s="62" t="s">
        <v>26</v>
      </c>
    </row>
    <row r="10" spans="1:19" x14ac:dyDescent="0.2">
      <c r="A10" s="46"/>
      <c r="B10" s="61" t="s">
        <v>2</v>
      </c>
      <c r="C10" s="61"/>
      <c r="D10" s="61"/>
      <c r="E10" s="61" t="s">
        <v>5</v>
      </c>
      <c r="F10" s="61"/>
      <c r="G10" s="61" t="s">
        <v>3</v>
      </c>
      <c r="H10" s="35"/>
      <c r="I10" s="61" t="s">
        <v>4</v>
      </c>
      <c r="J10" s="35"/>
      <c r="K10" s="61" t="s">
        <v>9</v>
      </c>
      <c r="L10" s="61"/>
      <c r="M10" s="61" t="s">
        <v>10</v>
      </c>
      <c r="N10" s="61"/>
      <c r="O10" s="61" t="s">
        <v>46</v>
      </c>
      <c r="P10" s="61"/>
      <c r="Q10" s="61" t="s">
        <v>48</v>
      </c>
      <c r="R10" s="61"/>
      <c r="S10" s="61" t="s">
        <v>49</v>
      </c>
    </row>
    <row r="11" spans="1:19" x14ac:dyDescent="0.2">
      <c r="A11" s="46"/>
      <c r="B11" s="61"/>
      <c r="C11" s="61"/>
      <c r="D11" s="61"/>
      <c r="E11" s="61" t="s">
        <v>27</v>
      </c>
      <c r="F11" s="61"/>
      <c r="G11" s="61" t="s">
        <v>27</v>
      </c>
      <c r="H11" s="61"/>
      <c r="I11" s="61" t="s">
        <v>27</v>
      </c>
      <c r="J11" s="61"/>
      <c r="K11" s="61" t="s">
        <v>27</v>
      </c>
      <c r="L11" s="61"/>
      <c r="M11" s="61" t="s">
        <v>27</v>
      </c>
      <c r="N11" s="61"/>
      <c r="O11" s="61" t="s">
        <v>28</v>
      </c>
      <c r="P11" s="61"/>
      <c r="Q11" s="61" t="s">
        <v>28</v>
      </c>
      <c r="R11" s="35"/>
      <c r="S11" s="61" t="s">
        <v>28</v>
      </c>
    </row>
    <row r="12" spans="1:19" ht="15" thickBot="1" x14ac:dyDescent="0.25">
      <c r="A12" s="60" t="s">
        <v>0</v>
      </c>
      <c r="B12" s="60"/>
      <c r="C12" s="60"/>
      <c r="D12" s="60"/>
      <c r="E12" s="59" t="s">
        <v>50</v>
      </c>
      <c r="F12" s="60"/>
      <c r="G12" s="59" t="s">
        <v>51</v>
      </c>
      <c r="H12" s="60"/>
      <c r="I12" s="59" t="s">
        <v>47</v>
      </c>
      <c r="J12" s="60"/>
      <c r="K12" s="59" t="s">
        <v>16</v>
      </c>
      <c r="L12" s="59"/>
      <c r="M12" s="59" t="s">
        <v>17</v>
      </c>
      <c r="N12" s="59"/>
      <c r="O12" s="59" t="s">
        <v>22</v>
      </c>
      <c r="P12" s="59"/>
      <c r="Q12" s="59" t="s">
        <v>23</v>
      </c>
      <c r="R12" s="59"/>
      <c r="S12" s="59" t="s">
        <v>24</v>
      </c>
    </row>
    <row r="13" spans="1:19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O13" s="45"/>
      <c r="P13" s="45"/>
      <c r="Q13" s="45"/>
      <c r="R13" s="45"/>
      <c r="S13" s="45"/>
    </row>
    <row r="14" spans="1:19" ht="14.25" x14ac:dyDescent="0.2">
      <c r="A14" s="12">
        <v>1</v>
      </c>
      <c r="B14" s="56" t="s">
        <v>18</v>
      </c>
      <c r="C14" s="56"/>
      <c r="D14" s="56"/>
      <c r="E14" s="66"/>
      <c r="F14" s="56"/>
      <c r="G14" s="66"/>
      <c r="H14" s="56"/>
      <c r="I14" s="56"/>
      <c r="J14" s="56"/>
      <c r="O14" s="46"/>
      <c r="P14" s="46"/>
      <c r="Q14" s="46"/>
      <c r="R14" s="46"/>
      <c r="S14" s="46"/>
    </row>
    <row r="15" spans="1:19" x14ac:dyDescent="0.2">
      <c r="A15" s="12">
        <f t="shared" ref="A15:A78" si="0">+A14+1</f>
        <v>2</v>
      </c>
      <c r="B15" s="55" t="s">
        <v>7</v>
      </c>
      <c r="C15" s="54"/>
      <c r="D15" s="54"/>
      <c r="E15" s="51">
        <v>0</v>
      </c>
      <c r="F15" s="65"/>
      <c r="G15" s="51">
        <v>0</v>
      </c>
      <c r="H15" s="65"/>
      <c r="I15" s="51">
        <v>0</v>
      </c>
      <c r="J15" s="54"/>
      <c r="K15" s="3">
        <v>5877.3090000000002</v>
      </c>
      <c r="L15" s="50"/>
      <c r="M15" s="3">
        <v>10000</v>
      </c>
      <c r="N15" s="50"/>
      <c r="O15" s="3">
        <v>12912.809779999998</v>
      </c>
      <c r="P15" s="3"/>
      <c r="Q15" s="51">
        <v>0</v>
      </c>
      <c r="R15" s="51"/>
      <c r="S15" s="51">
        <v>0</v>
      </c>
    </row>
    <row r="16" spans="1:19" x14ac:dyDescent="0.2">
      <c r="A16" s="12">
        <f t="shared" si="0"/>
        <v>3</v>
      </c>
      <c r="B16" s="11" t="s">
        <v>53</v>
      </c>
      <c r="E16" s="66">
        <v>0</v>
      </c>
      <c r="G16" s="66">
        <v>0</v>
      </c>
      <c r="I16" s="66">
        <v>769</v>
      </c>
      <c r="K16" s="66">
        <v>8893</v>
      </c>
      <c r="M16" s="66">
        <v>0</v>
      </c>
      <c r="O16" s="66">
        <v>0</v>
      </c>
      <c r="Q16" s="66">
        <v>0</v>
      </c>
      <c r="R16" s="18"/>
      <c r="S16" s="66">
        <v>0</v>
      </c>
    </row>
    <row r="17" spans="1:20" ht="14.25" x14ac:dyDescent="0.2">
      <c r="A17" s="12">
        <f t="shared" si="0"/>
        <v>4</v>
      </c>
      <c r="B17" s="55" t="s">
        <v>19</v>
      </c>
      <c r="C17" s="54"/>
      <c r="D17" s="54"/>
      <c r="E17" s="64">
        <v>0</v>
      </c>
      <c r="F17" s="65"/>
      <c r="G17" s="64">
        <v>0</v>
      </c>
      <c r="H17" s="65"/>
      <c r="I17" s="64">
        <v>0</v>
      </c>
      <c r="J17" s="54"/>
      <c r="K17" s="4">
        <v>127.23</v>
      </c>
      <c r="L17" s="50"/>
      <c r="M17" s="4">
        <v>533</v>
      </c>
      <c r="N17" s="50"/>
      <c r="O17" s="4">
        <v>1115.3197341827238</v>
      </c>
      <c r="P17" s="49"/>
      <c r="Q17" s="64">
        <v>0</v>
      </c>
      <c r="R17" s="66"/>
      <c r="S17" s="64">
        <v>0</v>
      </c>
      <c r="T17" s="48"/>
    </row>
    <row r="18" spans="1:20" x14ac:dyDescent="0.2">
      <c r="A18" s="12">
        <f t="shared" si="0"/>
        <v>5</v>
      </c>
      <c r="B18" s="57" t="s">
        <v>8</v>
      </c>
      <c r="C18" s="53"/>
      <c r="D18" s="53"/>
      <c r="E18" s="3">
        <f>+E15-E17</f>
        <v>0</v>
      </c>
      <c r="F18" s="53"/>
      <c r="G18" s="3">
        <f>+G15-G17</f>
        <v>0</v>
      </c>
      <c r="H18" s="53"/>
      <c r="I18" s="3">
        <f>+I15+I16-I17</f>
        <v>769</v>
      </c>
      <c r="J18" s="53"/>
      <c r="K18" s="3">
        <f>+K15+K16-K17</f>
        <v>14643.079000000002</v>
      </c>
      <c r="L18" s="3"/>
      <c r="M18" s="3">
        <f>+M15+M16-M17</f>
        <v>9467</v>
      </c>
      <c r="N18" s="3"/>
      <c r="O18" s="3">
        <f>+O15+O16-O17</f>
        <v>11797.490045817274</v>
      </c>
      <c r="P18" s="48"/>
      <c r="Q18" s="51">
        <f>+Q15+Q16-Q17</f>
        <v>0</v>
      </c>
      <c r="R18" s="69"/>
      <c r="S18" s="51">
        <f>+S15+S16-S17</f>
        <v>0</v>
      </c>
    </row>
    <row r="19" spans="1:20" x14ac:dyDescent="0.2">
      <c r="A19" s="12">
        <f t="shared" si="0"/>
        <v>6</v>
      </c>
      <c r="B19" s="53"/>
      <c r="C19" s="53"/>
      <c r="D19" s="53"/>
      <c r="E19" s="3"/>
      <c r="F19" s="53"/>
      <c r="G19" s="3"/>
      <c r="H19" s="53"/>
      <c r="I19" s="3"/>
      <c r="J19" s="53"/>
      <c r="K19" s="3"/>
      <c r="L19" s="3"/>
      <c r="M19" s="3"/>
      <c r="N19" s="3"/>
      <c r="O19" s="3"/>
      <c r="P19" s="3"/>
      <c r="Q19" s="51"/>
      <c r="R19" s="51"/>
      <c r="S19" s="51"/>
    </row>
    <row r="20" spans="1:20" ht="14.25" x14ac:dyDescent="0.2">
      <c r="A20" s="12">
        <f t="shared" si="0"/>
        <v>7</v>
      </c>
      <c r="B20" s="11" t="s">
        <v>21</v>
      </c>
      <c r="C20" s="50"/>
      <c r="D20" s="50"/>
      <c r="E20" s="51">
        <f>41573/1000</f>
        <v>41.573</v>
      </c>
      <c r="F20" s="50"/>
      <c r="G20" s="51">
        <f>1854892/1000</f>
        <v>1854.8920000000001</v>
      </c>
      <c r="H20" s="52"/>
      <c r="I20" s="51">
        <f>121116.24/1000</f>
        <v>121.11624</v>
      </c>
      <c r="J20" s="50"/>
      <c r="K20" s="51">
        <v>237.58500000000001</v>
      </c>
      <c r="L20" s="52"/>
      <c r="M20" s="51">
        <v>149.00299999999999</v>
      </c>
      <c r="N20" s="52"/>
      <c r="O20" s="51">
        <v>144</v>
      </c>
      <c r="P20" s="48"/>
      <c r="Q20" s="51">
        <v>0</v>
      </c>
      <c r="R20" s="69"/>
      <c r="S20" s="51">
        <v>0</v>
      </c>
    </row>
    <row r="21" spans="1:20" ht="14.25" x14ac:dyDescent="0.2">
      <c r="A21" s="12">
        <f t="shared" si="0"/>
        <v>8</v>
      </c>
      <c r="B21" s="11" t="s">
        <v>20</v>
      </c>
      <c r="E21" s="64">
        <v>0</v>
      </c>
      <c r="F21" s="18"/>
      <c r="G21" s="64">
        <v>0</v>
      </c>
      <c r="H21" s="18"/>
      <c r="I21" s="64">
        <v>0</v>
      </c>
      <c r="K21" s="4">
        <v>68.540999999999997</v>
      </c>
      <c r="L21" s="50"/>
      <c r="M21" s="4">
        <v>602.11</v>
      </c>
      <c r="N21" s="50"/>
      <c r="O21" s="4">
        <v>623.93799224363158</v>
      </c>
      <c r="P21" s="49"/>
      <c r="Q21" s="64">
        <v>0</v>
      </c>
      <c r="R21" s="66"/>
      <c r="S21" s="64">
        <v>0</v>
      </c>
    </row>
    <row r="22" spans="1:20" x14ac:dyDescent="0.2">
      <c r="A22" s="12">
        <f t="shared" si="0"/>
        <v>9</v>
      </c>
      <c r="B22" s="23" t="s">
        <v>42</v>
      </c>
      <c r="E22" s="47">
        <f>SUM(E20:E21)</f>
        <v>41.573</v>
      </c>
      <c r="G22" s="47">
        <f>SUM(G20:G21)</f>
        <v>1854.8920000000001</v>
      </c>
      <c r="I22" s="47">
        <f>SUM(I20:I21)</f>
        <v>121.11624</v>
      </c>
      <c r="K22" s="47">
        <f>SUM(K20:K21)</f>
        <v>306.12599999999998</v>
      </c>
      <c r="M22" s="47">
        <f>SUM(M20:M21)</f>
        <v>751.11300000000006</v>
      </c>
      <c r="O22" s="47">
        <f>SUM(O20:O21)</f>
        <v>767.93799224363158</v>
      </c>
      <c r="Q22" s="70">
        <f>SUM(Q20:Q21)</f>
        <v>0</v>
      </c>
      <c r="R22" s="18"/>
      <c r="S22" s="70">
        <f>SUM(S20:S21)</f>
        <v>0</v>
      </c>
      <c r="T22" s="48"/>
    </row>
    <row r="23" spans="1:20" x14ac:dyDescent="0.2">
      <c r="A23" s="12">
        <f t="shared" si="0"/>
        <v>10</v>
      </c>
    </row>
    <row r="24" spans="1:20" x14ac:dyDescent="0.2">
      <c r="A24" s="12">
        <f t="shared" si="0"/>
        <v>11</v>
      </c>
      <c r="B24" s="68" t="s">
        <v>13</v>
      </c>
      <c r="C24" s="56"/>
      <c r="D24" s="56"/>
      <c r="E24" s="46"/>
      <c r="F24" s="56"/>
      <c r="G24" s="46"/>
      <c r="H24" s="56"/>
      <c r="I24" s="46"/>
      <c r="J24" s="56"/>
      <c r="K24" s="46"/>
      <c r="L24" s="46"/>
      <c r="M24" s="46"/>
      <c r="N24" s="46"/>
      <c r="O24" s="46"/>
      <c r="P24" s="46"/>
      <c r="Q24" s="46"/>
      <c r="R24" s="46"/>
      <c r="S24" s="46"/>
    </row>
    <row r="25" spans="1:20" s="18" customFormat="1" ht="14.25" x14ac:dyDescent="0.2">
      <c r="A25" s="71">
        <f t="shared" si="0"/>
        <v>12</v>
      </c>
      <c r="B25" s="72" t="s">
        <v>43</v>
      </c>
      <c r="C25" s="65"/>
      <c r="D25" s="65"/>
      <c r="E25" s="51">
        <v>0</v>
      </c>
      <c r="F25" s="65"/>
      <c r="G25" s="51">
        <v>0</v>
      </c>
      <c r="H25" s="65"/>
      <c r="I25" s="51">
        <v>0</v>
      </c>
      <c r="J25" s="65"/>
      <c r="K25" s="51">
        <v>0</v>
      </c>
      <c r="L25" s="52"/>
      <c r="M25" s="51">
        <v>52069.930999999997</v>
      </c>
      <c r="N25" s="52"/>
      <c r="O25" s="51">
        <v>73179.996363124941</v>
      </c>
      <c r="P25" s="51"/>
      <c r="Q25" s="51">
        <v>97190.69700921663</v>
      </c>
      <c r="R25" s="51"/>
      <c r="S25" s="51">
        <v>109480.69770099851</v>
      </c>
    </row>
    <row r="26" spans="1:20" s="18" customFormat="1" ht="14.25" x14ac:dyDescent="0.2">
      <c r="A26" s="71">
        <f t="shared" si="0"/>
        <v>13</v>
      </c>
      <c r="B26" s="72" t="s">
        <v>68</v>
      </c>
      <c r="C26" s="65"/>
      <c r="D26" s="65"/>
      <c r="E26" s="51"/>
      <c r="F26" s="65"/>
      <c r="G26" s="51"/>
      <c r="H26" s="65"/>
      <c r="I26" s="51"/>
      <c r="J26" s="65"/>
      <c r="K26" s="51"/>
      <c r="L26" s="52"/>
      <c r="M26" s="51"/>
      <c r="N26" s="52"/>
      <c r="O26" s="73"/>
      <c r="P26" s="51"/>
      <c r="Q26" s="73">
        <v>12913</v>
      </c>
      <c r="R26" s="51"/>
      <c r="S26" s="73">
        <v>12913</v>
      </c>
    </row>
    <row r="27" spans="1:20" s="18" customFormat="1" ht="14.25" x14ac:dyDescent="0.2">
      <c r="A27" s="71">
        <f t="shared" si="0"/>
        <v>14</v>
      </c>
      <c r="B27" s="18" t="s">
        <v>70</v>
      </c>
      <c r="E27" s="66">
        <v>0</v>
      </c>
      <c r="F27" s="74"/>
      <c r="G27" s="66">
        <v>0</v>
      </c>
      <c r="H27" s="66"/>
      <c r="I27" s="66">
        <v>1109.5</v>
      </c>
      <c r="J27" s="66"/>
      <c r="K27" s="66">
        <v>15318</v>
      </c>
      <c r="L27" s="66"/>
      <c r="M27" s="66">
        <v>11089</v>
      </c>
      <c r="N27" s="74"/>
      <c r="O27" s="74">
        <v>530</v>
      </c>
      <c r="P27" s="51"/>
      <c r="Q27" s="66">
        <v>0</v>
      </c>
      <c r="R27" s="66"/>
      <c r="S27" s="66">
        <v>0</v>
      </c>
    </row>
    <row r="28" spans="1:20" s="18" customFormat="1" ht="14.25" x14ac:dyDescent="0.2">
      <c r="A28" s="71">
        <f t="shared" si="0"/>
        <v>15</v>
      </c>
      <c r="B28" s="18" t="s">
        <v>44</v>
      </c>
      <c r="E28" s="66">
        <v>0</v>
      </c>
      <c r="F28" s="66"/>
      <c r="G28" s="66">
        <v>0</v>
      </c>
      <c r="H28" s="66"/>
      <c r="I28" s="66">
        <v>0</v>
      </c>
      <c r="J28" s="66"/>
      <c r="K28" s="66">
        <v>0</v>
      </c>
      <c r="M28" s="66">
        <v>554.15599999999995</v>
      </c>
      <c r="N28" s="66"/>
      <c r="O28" s="66">
        <v>1451.9236347567858</v>
      </c>
      <c r="P28" s="66"/>
      <c r="Q28" s="66">
        <v>3472.3460207653584</v>
      </c>
      <c r="R28" s="66"/>
      <c r="S28" s="66">
        <v>5756.3545342739317</v>
      </c>
    </row>
    <row r="29" spans="1:20" s="18" customFormat="1" ht="14.25" x14ac:dyDescent="0.2">
      <c r="A29" s="71">
        <f t="shared" si="0"/>
        <v>16</v>
      </c>
      <c r="B29" s="72" t="s">
        <v>69</v>
      </c>
      <c r="C29" s="65"/>
      <c r="D29" s="65"/>
      <c r="E29" s="64">
        <v>0</v>
      </c>
      <c r="F29" s="65"/>
      <c r="G29" s="64">
        <v>0</v>
      </c>
      <c r="H29" s="65"/>
      <c r="I29" s="64">
        <v>0</v>
      </c>
      <c r="J29" s="65"/>
      <c r="K29" s="64"/>
      <c r="L29" s="52"/>
      <c r="M29" s="64"/>
      <c r="N29" s="52"/>
      <c r="O29" s="64"/>
      <c r="P29" s="66"/>
      <c r="Q29" s="64">
        <v>1765</v>
      </c>
      <c r="R29" s="66"/>
      <c r="S29" s="64">
        <v>2389</v>
      </c>
    </row>
    <row r="30" spans="1:20" s="18" customFormat="1" ht="14.25" x14ac:dyDescent="0.2">
      <c r="A30" s="71">
        <f t="shared" si="0"/>
        <v>17</v>
      </c>
      <c r="B30" s="75" t="s">
        <v>25</v>
      </c>
      <c r="C30" s="76"/>
      <c r="D30" s="76"/>
      <c r="E30" s="51">
        <f>+E25+E27-E29</f>
        <v>0</v>
      </c>
      <c r="F30" s="76"/>
      <c r="G30" s="51">
        <f>+G25+G27-G29</f>
        <v>0</v>
      </c>
      <c r="H30" s="76"/>
      <c r="I30" s="51">
        <f>+I25+I27+I26-I29-I28</f>
        <v>1109.5</v>
      </c>
      <c r="J30" s="76"/>
      <c r="K30" s="51">
        <f>+K25+K27+K26-K29-K28</f>
        <v>15318</v>
      </c>
      <c r="L30" s="51"/>
      <c r="M30" s="51">
        <f>+M25+M27+M26-M29-M28</f>
        <v>62604.774999999994</v>
      </c>
      <c r="N30" s="51"/>
      <c r="O30" s="51">
        <f>+O25+O27+O26-O29-O28</f>
        <v>72258.072728368163</v>
      </c>
      <c r="P30" s="69"/>
      <c r="Q30" s="51">
        <f>+Q25+Q27+Q26-Q29-Q28</f>
        <v>104866.35098845128</v>
      </c>
      <c r="R30" s="69"/>
      <c r="S30" s="51">
        <f>+S25+S27+S26-S29-S28</f>
        <v>114248.34316672457</v>
      </c>
      <c r="T30" s="69"/>
    </row>
    <row r="31" spans="1:20" s="18" customFormat="1" x14ac:dyDescent="0.2">
      <c r="A31" s="71">
        <f t="shared" si="0"/>
        <v>18</v>
      </c>
      <c r="E31" s="77"/>
      <c r="G31" s="77"/>
      <c r="I31" s="77"/>
      <c r="K31" s="77"/>
      <c r="L31" s="77"/>
      <c r="M31" s="77"/>
      <c r="N31" s="77"/>
      <c r="O31" s="77"/>
      <c r="P31" s="77"/>
      <c r="Q31" s="77"/>
      <c r="R31" s="77"/>
      <c r="S31" s="77"/>
    </row>
    <row r="32" spans="1:20" s="18" customFormat="1" ht="14.25" x14ac:dyDescent="0.2">
      <c r="A32" s="71">
        <f t="shared" si="0"/>
        <v>19</v>
      </c>
      <c r="B32" s="18" t="s">
        <v>21</v>
      </c>
      <c r="E32" s="51"/>
      <c r="G32" s="51"/>
      <c r="I32" s="51"/>
      <c r="K32" s="51">
        <v>3179.64</v>
      </c>
      <c r="L32" s="52"/>
      <c r="M32" s="51">
        <v>2434.42</v>
      </c>
      <c r="N32" s="52"/>
      <c r="O32" s="51">
        <v>3060</v>
      </c>
      <c r="P32" s="51"/>
      <c r="Q32" s="51">
        <v>463</v>
      </c>
      <c r="R32" s="51"/>
      <c r="S32" s="51">
        <v>467</v>
      </c>
    </row>
    <row r="33" spans="1:19" s="18" customFormat="1" x14ac:dyDescent="0.2">
      <c r="A33" s="71">
        <f t="shared" si="0"/>
        <v>20</v>
      </c>
      <c r="B33" s="18" t="s">
        <v>6</v>
      </c>
      <c r="M33" s="66">
        <v>522.55600000000004</v>
      </c>
      <c r="N33" s="66"/>
      <c r="O33" s="66">
        <v>1774.3111010085718</v>
      </c>
      <c r="P33" s="66"/>
      <c r="Q33" s="66">
        <v>2194.0935210085727</v>
      </c>
      <c r="R33" s="66"/>
      <c r="S33" s="66">
        <v>2362.3806710085714</v>
      </c>
    </row>
    <row r="34" spans="1:19" s="18" customFormat="1" ht="14.25" x14ac:dyDescent="0.2">
      <c r="A34" s="71">
        <f t="shared" si="0"/>
        <v>21</v>
      </c>
      <c r="B34" s="18" t="s">
        <v>87</v>
      </c>
      <c r="E34" s="64">
        <v>0</v>
      </c>
      <c r="G34" s="64">
        <v>0</v>
      </c>
      <c r="I34" s="64">
        <v>0</v>
      </c>
      <c r="K34" s="64">
        <v>0</v>
      </c>
      <c r="L34" s="52"/>
      <c r="M34" s="64">
        <v>0</v>
      </c>
      <c r="N34" s="52"/>
      <c r="O34" s="64">
        <v>0</v>
      </c>
      <c r="P34" s="66"/>
      <c r="Q34" s="64">
        <v>624</v>
      </c>
      <c r="R34" s="66"/>
      <c r="S34" s="64">
        <v>624</v>
      </c>
    </row>
    <row r="35" spans="1:19" s="18" customFormat="1" x14ac:dyDescent="0.2">
      <c r="A35" s="71">
        <f t="shared" si="0"/>
        <v>22</v>
      </c>
      <c r="B35" s="78" t="s">
        <v>42</v>
      </c>
      <c r="E35" s="70">
        <f>SUM(E32:E34)</f>
        <v>0</v>
      </c>
      <c r="G35" s="70">
        <f>SUM(G32:G34)</f>
        <v>0</v>
      </c>
      <c r="I35" s="70">
        <f>SUM(I32:I34)</f>
        <v>0</v>
      </c>
      <c r="K35" s="70">
        <f>SUM(K32:K34)</f>
        <v>3179.64</v>
      </c>
      <c r="M35" s="70">
        <f>SUM(M32:M34)</f>
        <v>2956.9760000000001</v>
      </c>
      <c r="O35" s="70">
        <f>SUM(O32:O34)</f>
        <v>4834.3111010085722</v>
      </c>
      <c r="Q35" s="70">
        <f>SUM(Q32:Q34)</f>
        <v>3281.0935210085727</v>
      </c>
      <c r="S35" s="70">
        <f>SUM(S32:S34)</f>
        <v>3453.3806710085714</v>
      </c>
    </row>
    <row r="36" spans="1:19" x14ac:dyDescent="0.2">
      <c r="A36" s="12">
        <f t="shared" si="0"/>
        <v>23</v>
      </c>
    </row>
    <row r="37" spans="1:19" x14ac:dyDescent="0.2">
      <c r="A37" s="12">
        <f t="shared" si="0"/>
        <v>24</v>
      </c>
    </row>
    <row r="38" spans="1:19" x14ac:dyDescent="0.2">
      <c r="A38" s="12">
        <f t="shared" si="0"/>
        <v>25</v>
      </c>
      <c r="B38" s="38" t="s">
        <v>11</v>
      </c>
      <c r="K38" s="46"/>
      <c r="L38" s="46"/>
      <c r="M38" s="46"/>
      <c r="N38" s="46"/>
      <c r="O38" s="46"/>
      <c r="P38" s="46"/>
      <c r="Q38" s="46"/>
      <c r="R38" s="46"/>
      <c r="S38" s="46"/>
    </row>
    <row r="39" spans="1:19" x14ac:dyDescent="0.2">
      <c r="A39" s="12">
        <f t="shared" si="0"/>
        <v>26</v>
      </c>
      <c r="C39" s="38"/>
      <c r="D39" s="38"/>
      <c r="E39" s="38"/>
      <c r="F39" s="38"/>
      <c r="G39" s="38"/>
      <c r="H39" s="38"/>
      <c r="I39" s="38"/>
      <c r="J39" s="38"/>
      <c r="K39" s="45"/>
      <c r="L39" s="45"/>
      <c r="M39" s="45"/>
      <c r="N39" s="45"/>
      <c r="O39" s="45"/>
      <c r="P39" s="45"/>
      <c r="Q39" s="45"/>
      <c r="R39" s="45"/>
      <c r="S39" s="45"/>
    </row>
    <row r="40" spans="1:19" x14ac:dyDescent="0.2">
      <c r="A40" s="12">
        <f t="shared" si="0"/>
        <v>27</v>
      </c>
      <c r="B40" s="44" t="s">
        <v>29</v>
      </c>
      <c r="C40" s="23"/>
      <c r="D40" s="23"/>
      <c r="E40" s="23"/>
      <c r="F40" s="23"/>
      <c r="G40" s="23"/>
      <c r="H40" s="23"/>
      <c r="I40" s="23"/>
      <c r="J40" s="23"/>
      <c r="K40" s="31"/>
      <c r="L40" s="31"/>
      <c r="M40" s="33" t="s">
        <v>54</v>
      </c>
      <c r="N40" s="31"/>
      <c r="O40" s="32">
        <f>O18</f>
        <v>11797.490045817274</v>
      </c>
      <c r="P40" s="31"/>
      <c r="Q40" s="79"/>
      <c r="R40" s="79"/>
      <c r="S40" s="79"/>
    </row>
    <row r="41" spans="1:19" ht="14.25" x14ac:dyDescent="0.2">
      <c r="A41" s="12">
        <f t="shared" si="0"/>
        <v>28</v>
      </c>
      <c r="B41" s="23" t="s">
        <v>79</v>
      </c>
      <c r="C41" s="13"/>
      <c r="D41" s="13"/>
      <c r="E41" s="13"/>
      <c r="F41" s="13"/>
      <c r="G41" s="13"/>
      <c r="H41" s="13"/>
      <c r="I41" s="13"/>
      <c r="J41" s="13"/>
      <c r="K41" s="29"/>
      <c r="L41" s="29"/>
      <c r="M41" s="29"/>
      <c r="N41" s="29"/>
      <c r="O41" s="37">
        <v>0.95326</v>
      </c>
      <c r="P41" s="29"/>
      <c r="Q41" s="83"/>
      <c r="R41" s="28"/>
      <c r="S41" s="83"/>
    </row>
    <row r="42" spans="1:19" x14ac:dyDescent="0.2">
      <c r="A42" s="12">
        <f t="shared" si="0"/>
        <v>29</v>
      </c>
      <c r="B42" s="23" t="s">
        <v>30</v>
      </c>
      <c r="C42" s="23"/>
      <c r="D42" s="23"/>
      <c r="E42" s="23"/>
      <c r="F42" s="23"/>
      <c r="G42" s="23"/>
      <c r="H42" s="23"/>
      <c r="I42" s="23"/>
      <c r="J42" s="23"/>
      <c r="K42" s="31"/>
      <c r="L42" s="31"/>
      <c r="M42" s="33" t="s">
        <v>56</v>
      </c>
      <c r="N42" s="31"/>
      <c r="O42" s="32">
        <f>+O40*O41</f>
        <v>11246.075361075775</v>
      </c>
      <c r="P42" s="31"/>
      <c r="Q42" s="79"/>
      <c r="R42" s="79"/>
      <c r="S42" s="79"/>
    </row>
    <row r="43" spans="1:19" ht="14.25" x14ac:dyDescent="0.2">
      <c r="A43" s="12">
        <f t="shared" si="0"/>
        <v>30</v>
      </c>
      <c r="B43" s="5" t="s">
        <v>80</v>
      </c>
      <c r="C43" s="13"/>
      <c r="D43" s="13"/>
      <c r="E43" s="13"/>
      <c r="F43" s="13"/>
      <c r="G43" s="13"/>
      <c r="H43" s="13"/>
      <c r="I43" s="13"/>
      <c r="J43" s="13"/>
      <c r="K43" s="43"/>
      <c r="L43" s="43"/>
      <c r="M43" s="43"/>
      <c r="N43" s="43"/>
      <c r="O43" s="2">
        <f>(0.06316-0.0521)+(0.0521/0.61425)</f>
        <v>9.5878884818884819E-2</v>
      </c>
      <c r="P43" s="43"/>
      <c r="Q43" s="43"/>
      <c r="R43" s="43"/>
      <c r="S43" s="43"/>
    </row>
    <row r="44" spans="1:19" x14ac:dyDescent="0.2">
      <c r="A44" s="12">
        <f t="shared" si="0"/>
        <v>31</v>
      </c>
      <c r="B44" s="23" t="s">
        <v>31</v>
      </c>
      <c r="C44" s="23"/>
      <c r="D44" s="23"/>
      <c r="E44" s="23"/>
      <c r="F44" s="23"/>
      <c r="G44" s="23"/>
      <c r="H44" s="23"/>
      <c r="I44" s="23"/>
      <c r="J44" s="23"/>
      <c r="K44" s="31"/>
      <c r="L44" s="31"/>
      <c r="M44" s="33" t="s">
        <v>57</v>
      </c>
      <c r="N44" s="31"/>
      <c r="O44" s="32">
        <f>+O42*O43</f>
        <v>1078.2611642090826</v>
      </c>
      <c r="P44" s="31"/>
      <c r="Q44" s="79"/>
      <c r="R44" s="79"/>
      <c r="S44" s="79"/>
    </row>
    <row r="45" spans="1:19" x14ac:dyDescent="0.2">
      <c r="A45" s="12">
        <f t="shared" si="0"/>
        <v>32</v>
      </c>
      <c r="P45" s="20"/>
      <c r="Q45" s="80"/>
      <c r="R45" s="80"/>
      <c r="S45" s="80"/>
    </row>
    <row r="46" spans="1:19" x14ac:dyDescent="0.2">
      <c r="A46" s="12">
        <f t="shared" si="0"/>
        <v>33</v>
      </c>
      <c r="B46" s="23" t="s">
        <v>32</v>
      </c>
      <c r="M46" s="35" t="s">
        <v>33</v>
      </c>
      <c r="O46" s="41">
        <f>+O20</f>
        <v>144</v>
      </c>
      <c r="P46" s="42"/>
      <c r="Q46" s="86"/>
      <c r="R46" s="81"/>
      <c r="S46" s="86"/>
    </row>
    <row r="47" spans="1:19" x14ac:dyDescent="0.2">
      <c r="A47" s="12">
        <f t="shared" si="0"/>
        <v>34</v>
      </c>
      <c r="B47" s="23" t="s">
        <v>6</v>
      </c>
      <c r="M47" s="35" t="s">
        <v>55</v>
      </c>
      <c r="O47" s="7">
        <f>+O21</f>
        <v>623.93799224363158</v>
      </c>
      <c r="P47" s="9"/>
      <c r="Q47" s="82"/>
      <c r="R47" s="82"/>
      <c r="S47" s="82"/>
    </row>
    <row r="48" spans="1:19" x14ac:dyDescent="0.2">
      <c r="A48" s="12">
        <f t="shared" si="0"/>
        <v>35</v>
      </c>
      <c r="B48" s="23" t="s">
        <v>34</v>
      </c>
      <c r="O48" s="41">
        <f>SUM(O46:O47)</f>
        <v>767.93799224363158</v>
      </c>
      <c r="P48" s="42"/>
      <c r="Q48" s="86"/>
      <c r="R48" s="81"/>
      <c r="S48" s="86"/>
    </row>
    <row r="49" spans="1:21" ht="14.25" x14ac:dyDescent="0.2">
      <c r="A49" s="12">
        <f t="shared" si="0"/>
        <v>36</v>
      </c>
      <c r="B49" s="23" t="s">
        <v>81</v>
      </c>
      <c r="C49" s="23"/>
      <c r="D49" s="23"/>
      <c r="E49" s="23"/>
      <c r="F49" s="23"/>
      <c r="G49" s="23"/>
      <c r="H49" s="23"/>
      <c r="I49" s="23"/>
      <c r="J49" s="23"/>
      <c r="K49" s="29"/>
      <c r="L49" s="29"/>
      <c r="M49" s="29"/>
      <c r="N49" s="29"/>
      <c r="O49" s="37">
        <v>0.95308999999999999</v>
      </c>
      <c r="P49" s="40"/>
      <c r="Q49" s="83"/>
      <c r="R49" s="83"/>
      <c r="S49" s="83"/>
    </row>
    <row r="50" spans="1:21" x14ac:dyDescent="0.2">
      <c r="A50" s="12">
        <f t="shared" si="0"/>
        <v>37</v>
      </c>
      <c r="B50" s="23" t="s">
        <v>36</v>
      </c>
      <c r="C50" s="23"/>
      <c r="D50" s="23"/>
      <c r="E50" s="23"/>
      <c r="F50" s="23"/>
      <c r="G50" s="23"/>
      <c r="H50" s="23"/>
      <c r="I50" s="23"/>
      <c r="J50" s="23"/>
      <c r="K50" s="31"/>
      <c r="L50" s="31"/>
      <c r="M50" s="33" t="s">
        <v>58</v>
      </c>
      <c r="N50" s="31"/>
      <c r="O50" s="67">
        <f>+O49*O48</f>
        <v>731.91402102748282</v>
      </c>
      <c r="P50" s="31"/>
      <c r="Q50" s="79"/>
      <c r="R50" s="79"/>
      <c r="S50" s="79"/>
    </row>
    <row r="51" spans="1:21" ht="13.5" thickBot="1" x14ac:dyDescent="0.25">
      <c r="A51" s="12">
        <f t="shared" si="0"/>
        <v>38</v>
      </c>
      <c r="B51" s="23" t="s">
        <v>35</v>
      </c>
      <c r="C51" s="23"/>
      <c r="D51" s="23"/>
      <c r="E51" s="23"/>
      <c r="F51" s="23"/>
      <c r="G51" s="23"/>
      <c r="H51" s="23"/>
      <c r="I51" s="23"/>
      <c r="J51" s="23"/>
      <c r="K51" s="1"/>
      <c r="L51" s="1"/>
      <c r="M51" s="8" t="s">
        <v>59</v>
      </c>
      <c r="N51" s="1"/>
      <c r="O51" s="10">
        <f>O44+O50</f>
        <v>1810.1751852365655</v>
      </c>
      <c r="P51" s="1"/>
      <c r="Q51" s="84"/>
      <c r="R51" s="84"/>
      <c r="S51" s="84"/>
    </row>
    <row r="52" spans="1:21" ht="15" thickTop="1" x14ac:dyDescent="0.2">
      <c r="A52" s="12">
        <f t="shared" si="0"/>
        <v>39</v>
      </c>
      <c r="B52" s="5" t="s">
        <v>82</v>
      </c>
      <c r="C52" s="23"/>
      <c r="D52" s="23"/>
      <c r="E52" s="23"/>
      <c r="F52" s="23"/>
      <c r="G52" s="23"/>
      <c r="H52" s="23"/>
      <c r="I52" s="23"/>
      <c r="J52" s="23"/>
      <c r="K52" s="29"/>
      <c r="L52" s="29"/>
      <c r="M52" s="29"/>
      <c r="N52" s="29"/>
      <c r="O52" s="39">
        <v>1.0013799999999999</v>
      </c>
      <c r="P52" s="28"/>
      <c r="Q52" s="28"/>
      <c r="R52" s="28"/>
      <c r="S52" s="28"/>
    </row>
    <row r="53" spans="1:21" ht="14.25" customHeight="1" thickBot="1" x14ac:dyDescent="0.25">
      <c r="A53" s="12">
        <f t="shared" si="0"/>
        <v>40</v>
      </c>
      <c r="B53" s="23" t="s">
        <v>37</v>
      </c>
      <c r="C53" s="23"/>
      <c r="D53" s="23"/>
      <c r="E53" s="23"/>
      <c r="F53" s="23"/>
      <c r="G53" s="23"/>
      <c r="H53" s="23"/>
      <c r="I53" s="23"/>
      <c r="J53" s="23"/>
      <c r="K53" s="22"/>
      <c r="L53" s="22"/>
      <c r="M53" s="8" t="s">
        <v>60</v>
      </c>
      <c r="N53" s="22"/>
      <c r="O53" s="6">
        <f>+O52*O51</f>
        <v>1812.673226992192</v>
      </c>
      <c r="P53" s="22"/>
      <c r="Q53" s="85"/>
      <c r="R53" s="85"/>
      <c r="S53" s="85"/>
    </row>
    <row r="54" spans="1:21" ht="18.75" customHeight="1" thickTop="1" x14ac:dyDescent="0.2">
      <c r="A54" s="12">
        <f t="shared" si="0"/>
        <v>41</v>
      </c>
      <c r="B54" s="23"/>
      <c r="C54" s="23"/>
      <c r="D54" s="23"/>
      <c r="E54" s="23"/>
      <c r="F54" s="23"/>
      <c r="G54" s="23"/>
      <c r="H54" s="23"/>
      <c r="I54" s="23"/>
      <c r="J54" s="23"/>
      <c r="K54" s="22"/>
      <c r="L54" s="22"/>
      <c r="M54" s="22"/>
      <c r="N54" s="22"/>
      <c r="O54" s="22"/>
      <c r="P54" s="22"/>
      <c r="Q54" s="22"/>
      <c r="R54" s="22"/>
      <c r="S54" s="22"/>
      <c r="U54" s="14"/>
    </row>
    <row r="55" spans="1:21" x14ac:dyDescent="0.2">
      <c r="A55" s="12">
        <f t="shared" si="0"/>
        <v>42</v>
      </c>
      <c r="B55" s="38" t="s">
        <v>14</v>
      </c>
      <c r="C55" s="23"/>
      <c r="D55" s="23"/>
      <c r="E55" s="23"/>
      <c r="F55" s="23"/>
      <c r="G55" s="23"/>
      <c r="H55" s="23"/>
      <c r="I55" s="23"/>
      <c r="J55" s="23"/>
      <c r="K55" s="22"/>
      <c r="L55" s="22"/>
      <c r="M55" s="22"/>
      <c r="N55" s="22"/>
      <c r="O55" s="22"/>
      <c r="P55" s="22"/>
      <c r="Q55" s="22"/>
      <c r="R55" s="22"/>
      <c r="S55" s="22"/>
      <c r="U55" s="14"/>
    </row>
    <row r="56" spans="1:21" x14ac:dyDescent="0.2">
      <c r="A56" s="12">
        <f t="shared" si="0"/>
        <v>43</v>
      </c>
      <c r="C56" s="23"/>
      <c r="D56" s="23"/>
      <c r="E56" s="23"/>
      <c r="F56" s="23"/>
      <c r="G56" s="23"/>
      <c r="H56" s="23"/>
      <c r="I56" s="23"/>
      <c r="J56" s="23"/>
      <c r="K56" s="22"/>
      <c r="L56" s="22"/>
      <c r="M56" s="22"/>
      <c r="N56" s="22"/>
      <c r="O56" s="22"/>
      <c r="P56" s="22"/>
      <c r="Q56" s="22"/>
      <c r="R56" s="22"/>
      <c r="S56" s="22"/>
    </row>
    <row r="57" spans="1:21" x14ac:dyDescent="0.2">
      <c r="A57" s="12">
        <f t="shared" si="0"/>
        <v>44</v>
      </c>
      <c r="B57" s="23" t="s">
        <v>40</v>
      </c>
      <c r="C57" s="13"/>
      <c r="D57" s="13"/>
      <c r="E57" s="13"/>
      <c r="F57" s="13"/>
      <c r="G57" s="13"/>
      <c r="H57" s="13"/>
      <c r="I57" s="13"/>
      <c r="J57" s="13"/>
      <c r="K57" s="22"/>
      <c r="L57" s="22"/>
      <c r="M57" s="35" t="s">
        <v>61</v>
      </c>
      <c r="N57" s="22"/>
      <c r="O57" s="22">
        <f>+O30</f>
        <v>72258.072728368163</v>
      </c>
      <c r="P57" s="22"/>
      <c r="Q57" s="22">
        <f>+Q30</f>
        <v>104866.35098845128</v>
      </c>
      <c r="R57" s="22"/>
      <c r="S57" s="22">
        <f>+S30</f>
        <v>114248.34316672457</v>
      </c>
    </row>
    <row r="58" spans="1:21" ht="14.25" x14ac:dyDescent="0.2">
      <c r="A58" s="12">
        <f t="shared" si="0"/>
        <v>45</v>
      </c>
      <c r="B58" s="23" t="s">
        <v>83</v>
      </c>
      <c r="C58" s="23"/>
      <c r="D58" s="23"/>
      <c r="E58" s="23"/>
      <c r="F58" s="23"/>
      <c r="G58" s="23"/>
      <c r="H58" s="23"/>
      <c r="I58" s="23"/>
      <c r="J58" s="23"/>
      <c r="K58" s="22"/>
      <c r="L58" s="22"/>
      <c r="M58" s="22"/>
      <c r="N58" s="22"/>
      <c r="O58" s="37">
        <v>0.94721999999999995</v>
      </c>
      <c r="P58" s="29"/>
      <c r="Q58" s="37">
        <v>0.94712200000000002</v>
      </c>
      <c r="R58" s="29"/>
      <c r="S58" s="37">
        <v>0.94277599999999995</v>
      </c>
    </row>
    <row r="59" spans="1:21" x14ac:dyDescent="0.2">
      <c r="A59" s="12">
        <f t="shared" si="0"/>
        <v>46</v>
      </c>
      <c r="B59" s="23" t="s">
        <v>30</v>
      </c>
      <c r="M59" s="33" t="s">
        <v>62</v>
      </c>
      <c r="O59" s="32">
        <f>+O57*O58</f>
        <v>68444.291649764884</v>
      </c>
      <c r="P59" s="32"/>
      <c r="Q59" s="32">
        <f>+Q57*Q58</f>
        <v>99321.228080883957</v>
      </c>
      <c r="R59" s="31"/>
      <c r="S59" s="32">
        <f>S57*S58</f>
        <v>107710.59597735193</v>
      </c>
      <c r="U59" s="14"/>
    </row>
    <row r="60" spans="1:21" x14ac:dyDescent="0.2">
      <c r="A60" s="12">
        <f t="shared" si="0"/>
        <v>47</v>
      </c>
      <c r="R60" s="20"/>
    </row>
    <row r="61" spans="1:21" x14ac:dyDescent="0.2">
      <c r="A61" s="12">
        <f t="shared" si="0"/>
        <v>48</v>
      </c>
      <c r="B61" s="23" t="s">
        <v>15</v>
      </c>
      <c r="C61" s="23"/>
      <c r="D61" s="23"/>
      <c r="E61" s="23"/>
      <c r="F61" s="23"/>
      <c r="G61" s="23"/>
      <c r="H61" s="23"/>
      <c r="I61" s="23"/>
      <c r="J61" s="23"/>
      <c r="K61" s="22"/>
      <c r="L61" s="22"/>
      <c r="M61" s="22"/>
      <c r="N61" s="22"/>
      <c r="O61" s="22"/>
      <c r="P61" s="22"/>
      <c r="Q61" s="22"/>
      <c r="R61" s="22"/>
      <c r="S61" s="22"/>
    </row>
    <row r="62" spans="1:21" ht="14.25" x14ac:dyDescent="0.2">
      <c r="A62" s="12">
        <f t="shared" si="0"/>
        <v>49</v>
      </c>
      <c r="B62" s="23" t="s">
        <v>84</v>
      </c>
      <c r="C62" s="13"/>
      <c r="D62" s="13"/>
      <c r="E62" s="13"/>
      <c r="F62" s="13"/>
      <c r="G62" s="13"/>
      <c r="H62" s="13"/>
      <c r="I62" s="13"/>
      <c r="J62" s="13"/>
      <c r="K62" s="22"/>
      <c r="L62" s="22"/>
      <c r="M62" s="36"/>
      <c r="N62" s="22"/>
      <c r="O62" s="22">
        <f>0.0491/0.61425*O57</f>
        <v>5775.9403678679319</v>
      </c>
      <c r="P62" s="22"/>
      <c r="Q62" s="22">
        <f>(0.095879-0.01422)*Q57</f>
        <v>8563.2813553659435</v>
      </c>
      <c r="R62" s="22"/>
      <c r="S62" s="22">
        <f>(0.099757-0.01485)*S57</f>
        <v>9700.4840732570829</v>
      </c>
    </row>
    <row r="63" spans="1:21" ht="14.25" x14ac:dyDescent="0.2">
      <c r="A63" s="12">
        <f t="shared" si="0"/>
        <v>50</v>
      </c>
      <c r="B63" s="23" t="s">
        <v>85</v>
      </c>
      <c r="C63" s="13"/>
      <c r="D63" s="13"/>
      <c r="E63" s="13"/>
      <c r="F63" s="13"/>
      <c r="G63" s="13"/>
      <c r="H63" s="13"/>
      <c r="I63" s="13"/>
      <c r="J63" s="13"/>
      <c r="K63" s="22"/>
      <c r="L63" s="22"/>
      <c r="M63" s="22"/>
      <c r="N63" s="22"/>
      <c r="O63" s="1">
        <f>0.0139*O57</f>
        <v>1004.3872109243174</v>
      </c>
      <c r="P63" s="1"/>
      <c r="Q63" s="1">
        <f>0.01422*Q57</f>
        <v>1491.1995110557771</v>
      </c>
      <c r="R63" s="1"/>
      <c r="S63" s="1">
        <f>0.01485*S57</f>
        <v>1696.5878960258599</v>
      </c>
    </row>
    <row r="64" spans="1:21" x14ac:dyDescent="0.2">
      <c r="A64" s="12">
        <f t="shared" si="0"/>
        <v>51</v>
      </c>
    </row>
    <row r="65" spans="1:23" x14ac:dyDescent="0.2">
      <c r="A65" s="12">
        <f t="shared" si="0"/>
        <v>52</v>
      </c>
      <c r="B65" s="23" t="s">
        <v>41</v>
      </c>
      <c r="C65" s="23"/>
      <c r="D65" s="23"/>
      <c r="E65" s="23"/>
      <c r="F65" s="23"/>
      <c r="G65" s="23"/>
      <c r="H65" s="23"/>
      <c r="I65" s="23"/>
      <c r="J65" s="23"/>
      <c r="K65" s="22"/>
      <c r="L65" s="22"/>
      <c r="M65" s="35" t="s">
        <v>63</v>
      </c>
      <c r="N65" s="22"/>
      <c r="O65" s="1">
        <f>+O35</f>
        <v>4834.3111010085722</v>
      </c>
      <c r="P65" s="1"/>
      <c r="Q65" s="1">
        <f>+Q35</f>
        <v>3281.0935210085727</v>
      </c>
      <c r="R65" s="1"/>
      <c r="S65" s="1">
        <f>+S35</f>
        <v>3453.3806710085714</v>
      </c>
    </row>
    <row r="66" spans="1:23" ht="14.25" x14ac:dyDescent="0.2">
      <c r="A66" s="12">
        <f t="shared" si="0"/>
        <v>53</v>
      </c>
      <c r="B66" s="23" t="s">
        <v>86</v>
      </c>
      <c r="O66" s="34">
        <f>O58</f>
        <v>0.94721999999999995</v>
      </c>
      <c r="P66" s="28"/>
      <c r="Q66" s="34">
        <f>Q58</f>
        <v>0.94712200000000002</v>
      </c>
      <c r="R66" s="28"/>
      <c r="S66" s="34">
        <f>S58</f>
        <v>0.94277599999999995</v>
      </c>
    </row>
    <row r="67" spans="1:23" ht="13.5" thickBot="1" x14ac:dyDescent="0.25">
      <c r="A67" s="12">
        <f t="shared" si="0"/>
        <v>54</v>
      </c>
      <c r="B67" s="23" t="s">
        <v>39</v>
      </c>
      <c r="M67" s="33" t="s">
        <v>64</v>
      </c>
      <c r="O67" s="30">
        <f>+O66*O65</f>
        <v>4579.1561610973395</v>
      </c>
      <c r="P67" s="32"/>
      <c r="Q67" s="30">
        <f>+Q66*Q65</f>
        <v>3107.5958578046816</v>
      </c>
      <c r="R67" s="31"/>
      <c r="S67" s="30">
        <f>+S66*S65</f>
        <v>3255.7644154907766</v>
      </c>
    </row>
    <row r="68" spans="1:23" ht="13.5" thickTop="1" x14ac:dyDescent="0.2">
      <c r="A68" s="12">
        <f t="shared" si="0"/>
        <v>55</v>
      </c>
      <c r="B68" s="23" t="s">
        <v>35</v>
      </c>
      <c r="C68" s="23"/>
      <c r="D68" s="23"/>
      <c r="E68" s="23"/>
      <c r="F68" s="23"/>
      <c r="G68" s="23"/>
      <c r="H68" s="23"/>
      <c r="I68" s="23"/>
      <c r="J68" s="23"/>
      <c r="K68" s="22"/>
      <c r="L68" s="22"/>
      <c r="M68" s="22" t="s">
        <v>65</v>
      </c>
      <c r="N68" s="22"/>
      <c r="O68" s="22">
        <f>+O67+O63+O62</f>
        <v>11359.483739889589</v>
      </c>
      <c r="P68" s="22"/>
      <c r="Q68" s="22">
        <f>+Q67+Q63+Q62</f>
        <v>13162.076724226401</v>
      </c>
      <c r="R68" s="22"/>
      <c r="S68" s="22">
        <f>+S67+S63+S62</f>
        <v>14652.83638477372</v>
      </c>
      <c r="V68" s="25">
        <f>0.014751/12</f>
        <v>1.2292500000000001E-3</v>
      </c>
      <c r="W68" s="25">
        <f>0.048201/0.61425/12</f>
        <v>6.5392755392755389E-3</v>
      </c>
    </row>
    <row r="69" spans="1:23" x14ac:dyDescent="0.2">
      <c r="A69" s="12">
        <f t="shared" si="0"/>
        <v>56</v>
      </c>
      <c r="B69" s="5" t="s">
        <v>45</v>
      </c>
      <c r="C69" s="23"/>
      <c r="D69" s="23"/>
      <c r="E69" s="23"/>
      <c r="F69" s="23"/>
      <c r="G69" s="23"/>
      <c r="H69" s="23"/>
      <c r="I69" s="23"/>
      <c r="J69" s="23"/>
      <c r="K69" s="29"/>
      <c r="L69" s="29"/>
      <c r="M69" s="29"/>
      <c r="N69" s="29"/>
      <c r="O69" s="27">
        <v>1.0007200000000001</v>
      </c>
      <c r="P69" s="28"/>
      <c r="Q69" s="27">
        <v>1.0007200000000001</v>
      </c>
      <c r="R69" s="28"/>
      <c r="S69" s="27">
        <v>1.0007200000000001</v>
      </c>
      <c r="V69" s="24">
        <f>+V68*47257665</f>
        <v>58091.484701250003</v>
      </c>
      <c r="W69" s="24">
        <f>+W68*45915283</f>
        <v>300252.68700081401</v>
      </c>
    </row>
    <row r="70" spans="1:23" ht="13.5" thickBot="1" x14ac:dyDescent="0.25">
      <c r="A70" s="12">
        <f t="shared" si="0"/>
        <v>57</v>
      </c>
      <c r="B70" s="23" t="s">
        <v>37</v>
      </c>
      <c r="C70" s="23"/>
      <c r="D70" s="23"/>
      <c r="E70" s="23"/>
      <c r="F70" s="23"/>
      <c r="G70" s="23"/>
      <c r="H70" s="23"/>
      <c r="I70" s="23"/>
      <c r="J70" s="23"/>
      <c r="K70" s="22"/>
      <c r="L70" s="22"/>
      <c r="M70" s="8" t="s">
        <v>66</v>
      </c>
      <c r="N70" s="22"/>
      <c r="O70" s="26">
        <f>O69*O68</f>
        <v>11367.66256818231</v>
      </c>
      <c r="P70" s="22"/>
      <c r="Q70" s="26">
        <f>Q69*Q68</f>
        <v>13171.553419467844</v>
      </c>
      <c r="R70" s="22"/>
      <c r="S70" s="26">
        <f>S69*S68</f>
        <v>14663.386426970757</v>
      </c>
    </row>
    <row r="71" spans="1:23" ht="13.5" thickTop="1" x14ac:dyDescent="0.2">
      <c r="A71" s="12">
        <f t="shared" si="0"/>
        <v>58</v>
      </c>
      <c r="B71" s="21" t="s">
        <v>1</v>
      </c>
    </row>
    <row r="72" spans="1:23" x14ac:dyDescent="0.2">
      <c r="A72" s="12">
        <f t="shared" si="0"/>
        <v>59</v>
      </c>
    </row>
    <row r="73" spans="1:23" x14ac:dyDescent="0.2">
      <c r="A73" s="12">
        <f t="shared" si="0"/>
        <v>60</v>
      </c>
      <c r="B73" s="17" t="s">
        <v>52</v>
      </c>
    </row>
    <row r="74" spans="1:23" x14ac:dyDescent="0.2">
      <c r="A74" s="12">
        <f t="shared" si="0"/>
        <v>61</v>
      </c>
      <c r="B74" s="17" t="s">
        <v>38</v>
      </c>
    </row>
    <row r="75" spans="1:23" x14ac:dyDescent="0.2">
      <c r="A75" s="12">
        <f t="shared" si="0"/>
        <v>62</v>
      </c>
      <c r="B75" s="17" t="s">
        <v>88</v>
      </c>
    </row>
    <row r="76" spans="1:23" x14ac:dyDescent="0.2">
      <c r="A76" s="12">
        <f t="shared" si="0"/>
        <v>63</v>
      </c>
      <c r="B76" s="17" t="s">
        <v>67</v>
      </c>
      <c r="C76" s="23"/>
      <c r="D76" s="23"/>
      <c r="E76" s="23"/>
      <c r="F76" s="23"/>
      <c r="G76" s="23"/>
      <c r="H76" s="23"/>
      <c r="I76" s="23"/>
      <c r="J76" s="23"/>
      <c r="K76" s="22"/>
      <c r="L76" s="22"/>
      <c r="M76" s="22"/>
      <c r="N76" s="22"/>
      <c r="O76" s="22"/>
      <c r="P76" s="22"/>
      <c r="Q76" s="22"/>
      <c r="R76" s="22"/>
      <c r="S76" s="22"/>
    </row>
    <row r="77" spans="1:23" x14ac:dyDescent="0.2">
      <c r="A77" s="12">
        <f t="shared" si="0"/>
        <v>64</v>
      </c>
      <c r="B77" s="17" t="s">
        <v>71</v>
      </c>
      <c r="C77" s="23"/>
      <c r="D77" s="23"/>
      <c r="E77" s="23"/>
      <c r="F77" s="23"/>
      <c r="G77" s="23"/>
      <c r="H77" s="23"/>
      <c r="I77" s="23"/>
      <c r="J77" s="23"/>
      <c r="K77" s="22"/>
      <c r="L77" s="22"/>
      <c r="M77" s="22"/>
      <c r="N77" s="22"/>
      <c r="O77" s="22"/>
      <c r="P77" s="22"/>
      <c r="Q77" s="22"/>
      <c r="R77" s="22"/>
      <c r="S77" s="22"/>
    </row>
    <row r="78" spans="1:23" x14ac:dyDescent="0.2">
      <c r="A78" s="12">
        <f t="shared" si="0"/>
        <v>65</v>
      </c>
      <c r="B78" s="17" t="s">
        <v>72</v>
      </c>
      <c r="C78" s="23"/>
      <c r="D78" s="23"/>
      <c r="E78" s="23"/>
      <c r="F78" s="23"/>
      <c r="G78" s="23"/>
      <c r="H78" s="23"/>
      <c r="I78" s="23"/>
      <c r="J78" s="23"/>
      <c r="K78" s="22"/>
      <c r="L78" s="22"/>
      <c r="M78" s="22"/>
      <c r="N78" s="22"/>
      <c r="O78" s="22"/>
      <c r="P78" s="22"/>
      <c r="Q78" s="22"/>
      <c r="R78" s="22"/>
      <c r="S78" s="22"/>
    </row>
    <row r="79" spans="1:23" x14ac:dyDescent="0.2">
      <c r="A79" s="12">
        <f t="shared" ref="A79:A84" si="1">+A78+1</f>
        <v>66</v>
      </c>
      <c r="B79" s="17" t="s">
        <v>73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0"/>
      <c r="N79" s="20"/>
      <c r="O79" s="20"/>
      <c r="P79" s="20"/>
      <c r="Q79" s="20"/>
      <c r="R79" s="20"/>
    </row>
    <row r="80" spans="1:23" x14ac:dyDescent="0.2">
      <c r="A80" s="12">
        <f t="shared" si="1"/>
        <v>67</v>
      </c>
      <c r="B80" s="17" t="s">
        <v>74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Q80" s="14"/>
    </row>
    <row r="81" spans="1:17" x14ac:dyDescent="0.2">
      <c r="A81" s="12">
        <f t="shared" si="1"/>
        <v>68</v>
      </c>
      <c r="B81" s="17" t="s">
        <v>75</v>
      </c>
      <c r="Q81" s="14"/>
    </row>
    <row r="82" spans="1:17" x14ac:dyDescent="0.2">
      <c r="A82" s="12">
        <f t="shared" si="1"/>
        <v>69</v>
      </c>
      <c r="B82" s="19" t="s">
        <v>76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5"/>
      <c r="Q82" s="14"/>
    </row>
    <row r="83" spans="1:17" x14ac:dyDescent="0.2">
      <c r="A83" s="12">
        <f t="shared" si="1"/>
        <v>70</v>
      </c>
      <c r="B83" s="17" t="s">
        <v>77</v>
      </c>
    </row>
    <row r="84" spans="1:17" x14ac:dyDescent="0.2">
      <c r="A84" s="12">
        <f t="shared" si="1"/>
        <v>71</v>
      </c>
      <c r="B84" s="17" t="s">
        <v>78</v>
      </c>
    </row>
    <row r="85" spans="1:17" x14ac:dyDescent="0.2">
      <c r="A85" s="12"/>
      <c r="B85" s="13"/>
    </row>
    <row r="86" spans="1:17" x14ac:dyDescent="0.2">
      <c r="A86" s="12"/>
    </row>
  </sheetData>
  <pageMargins left="0.7" right="0.7" top="0.75" bottom="0.75" header="0.3" footer="0.3"/>
  <pageSetup scale="54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