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80" yWindow="120" windowWidth="11352" windowHeight="8700"/>
  </bookViews>
  <sheets>
    <sheet name="Summary" sheetId="10" r:id="rId1"/>
    <sheet name=" Can Page 1" sheetId="5" r:id="rId2"/>
    <sheet name="Can Page 2" sheetId="2" r:id="rId3"/>
    <sheet name=" Riv Page 1" sheetId="6" r:id="rId4"/>
    <sheet name="Riv Page 2" sheetId="7" r:id="rId5"/>
    <sheet name="PE Page 1" sheetId="8" r:id="rId6"/>
    <sheet name="PE Page 2" sheetId="9" r:id="rId7"/>
  </sheets>
  <definedNames>
    <definedName name="_xlnm.Print_Area" localSheetId="1">' Can Page 1'!$A$4:$G$24</definedName>
    <definedName name="_xlnm.Print_Area" localSheetId="3">' Riv Page 1'!$A$1:$G$25</definedName>
    <definedName name="_xlnm.Print_Area" localSheetId="2">'Can Page 2'!$A$1:$E$37</definedName>
    <definedName name="_xlnm.Print_Area" localSheetId="5">'PE Page 1'!$A$1:$G$25</definedName>
    <definedName name="_xlnm.Print_Area" localSheetId="6">'PE Page 2'!$A$1:$F$85</definedName>
    <definedName name="_xlnm.Print_Area" localSheetId="4">'Riv Page 2'!$A$1:$F$85</definedName>
  </definedNames>
  <calcPr calcId="145621"/>
</workbook>
</file>

<file path=xl/calcChain.xml><?xml version="1.0" encoding="utf-8"?>
<calcChain xmlns="http://schemas.openxmlformats.org/spreadsheetml/2006/main">
  <c r="D13" i="10" l="1"/>
  <c r="C10" i="10"/>
  <c r="D10" i="10"/>
  <c r="E10" i="10"/>
  <c r="F10" i="10"/>
  <c r="G10" i="10"/>
  <c r="B10" i="10"/>
  <c r="G9" i="10"/>
  <c r="F9" i="10"/>
  <c r="E9" i="10"/>
  <c r="E8" i="10"/>
  <c r="F8" i="10"/>
  <c r="G8" i="10"/>
  <c r="D8" i="10"/>
  <c r="D7" i="10"/>
  <c r="E7" i="10"/>
  <c r="F7" i="10"/>
  <c r="G7" i="10"/>
  <c r="C7" i="10"/>
  <c r="C8" i="10"/>
  <c r="B7" i="10"/>
  <c r="G44" i="9" l="1"/>
  <c r="D44" i="9"/>
  <c r="D46" i="9"/>
  <c r="D39" i="9"/>
  <c r="D40" i="9"/>
  <c r="D10" i="9" l="1"/>
  <c r="E10" i="9" s="1"/>
  <c r="B11" i="9"/>
  <c r="B12" i="9" s="1"/>
  <c r="D11" i="9"/>
  <c r="E11" i="9" s="1"/>
  <c r="D12" i="9"/>
  <c r="B19" i="9" s="1"/>
  <c r="B17" i="9"/>
  <c r="B18" i="9"/>
  <c r="C26" i="9"/>
  <c r="D26" i="9"/>
  <c r="D28" i="9" s="1"/>
  <c r="D37" i="9" s="1"/>
  <c r="E26" i="9"/>
  <c r="C27" i="9"/>
  <c r="D27" i="9"/>
  <c r="E27" i="9"/>
  <c r="C28" i="9"/>
  <c r="C37" i="9" s="1"/>
  <c r="E28" i="9"/>
  <c r="E37" i="9" s="1"/>
  <c r="D29" i="9"/>
  <c r="B31" i="9"/>
  <c r="B35" i="9"/>
  <c r="D35" i="9"/>
  <c r="B36" i="9"/>
  <c r="C36" i="9"/>
  <c r="D36" i="9"/>
  <c r="E36" i="9"/>
  <c r="B37" i="9"/>
  <c r="B38" i="9"/>
  <c r="D38" i="9"/>
  <c r="B39" i="9"/>
  <c r="B40" i="9" s="1"/>
  <c r="D56" i="9"/>
  <c r="D67" i="9" s="1"/>
  <c r="E56" i="9"/>
  <c r="D57" i="9"/>
  <c r="E57" i="9"/>
  <c r="D58" i="9"/>
  <c r="D69" i="9" s="1"/>
  <c r="E59" i="9"/>
  <c r="D59" i="9" s="1"/>
  <c r="D64" i="9"/>
  <c r="E64" i="9"/>
  <c r="D65" i="9"/>
  <c r="E65" i="9"/>
  <c r="D66" i="9"/>
  <c r="E66" i="9"/>
  <c r="E67" i="9"/>
  <c r="D68" i="9"/>
  <c r="E68" i="9"/>
  <c r="C12" i="8"/>
  <c r="D60" i="9" l="1"/>
  <c r="D31" i="9"/>
  <c r="C29" i="9"/>
  <c r="C38" i="9" s="1"/>
  <c r="E12" i="9"/>
  <c r="E58" i="9"/>
  <c r="E35" i="9"/>
  <c r="C35" i="9"/>
  <c r="E29" i="9"/>
  <c r="E38" i="9" s="1"/>
  <c r="D10" i="7"/>
  <c r="E10" i="7"/>
  <c r="B11" i="7"/>
  <c r="D11" i="7"/>
  <c r="E11" i="7" s="1"/>
  <c r="E12" i="7" s="1"/>
  <c r="B12" i="7"/>
  <c r="B17" i="7"/>
  <c r="D28" i="7" s="1"/>
  <c r="D37" i="7" s="1"/>
  <c r="B18" i="7"/>
  <c r="C26" i="7"/>
  <c r="C28" i="7" s="1"/>
  <c r="C37" i="7" s="1"/>
  <c r="D26" i="7"/>
  <c r="E26" i="7"/>
  <c r="C27" i="7"/>
  <c r="D27" i="7"/>
  <c r="D29" i="7" s="1"/>
  <c r="D38" i="7" s="1"/>
  <c r="E27" i="7"/>
  <c r="E28" i="7"/>
  <c r="E37" i="7" s="1"/>
  <c r="B30" i="7"/>
  <c r="B31" i="7" s="1"/>
  <c r="B35" i="7"/>
  <c r="C35" i="7"/>
  <c r="D35" i="7"/>
  <c r="E35" i="7"/>
  <c r="B36" i="7"/>
  <c r="C36" i="7"/>
  <c r="E36" i="7"/>
  <c r="B37" i="7"/>
  <c r="B38" i="7"/>
  <c r="E56" i="7"/>
  <c r="D56" i="7" s="1"/>
  <c r="D57" i="7"/>
  <c r="D58" i="7"/>
  <c r="E58" i="7"/>
  <c r="D64" i="7"/>
  <c r="E64" i="7"/>
  <c r="D65" i="7"/>
  <c r="E65" i="7"/>
  <c r="D66" i="7"/>
  <c r="E66" i="7"/>
  <c r="E67" i="7"/>
  <c r="D68" i="7"/>
  <c r="D69" i="7"/>
  <c r="E69" i="7"/>
  <c r="D45" i="9" l="1"/>
  <c r="D48" i="9"/>
  <c r="D49" i="9" s="1"/>
  <c r="D83" i="9" s="1"/>
  <c r="C10" i="8"/>
  <c r="C14" i="8" s="1"/>
  <c r="C16" i="8" s="1"/>
  <c r="E57" i="7"/>
  <c r="C31" i="9"/>
  <c r="D31" i="7"/>
  <c r="D44" i="7" s="1"/>
  <c r="C29" i="7"/>
  <c r="E31" i="9"/>
  <c r="E44" i="9" s="1"/>
  <c r="E39" i="9"/>
  <c r="E40" i="9" s="1"/>
  <c r="C39" i="9"/>
  <c r="C40" i="9" s="1"/>
  <c r="E60" i="9"/>
  <c r="E69" i="9"/>
  <c r="D60" i="7"/>
  <c r="D67" i="7"/>
  <c r="C31" i="7"/>
  <c r="C38" i="7"/>
  <c r="B39" i="7"/>
  <c r="B40" i="7" s="1"/>
  <c r="D36" i="7"/>
  <c r="E29" i="7"/>
  <c r="D12" i="7"/>
  <c r="C37" i="2"/>
  <c r="D22" i="2"/>
  <c r="D36" i="2"/>
  <c r="D34" i="2"/>
  <c r="D33" i="2"/>
  <c r="D32" i="2"/>
  <c r="D31" i="2"/>
  <c r="D25" i="2"/>
  <c r="D24" i="2"/>
  <c r="D23" i="2"/>
  <c r="B35" i="2"/>
  <c r="D35" i="2" s="1"/>
  <c r="B30" i="2"/>
  <c r="D30" i="2" s="1"/>
  <c r="B26" i="2"/>
  <c r="E60" i="7" l="1"/>
  <c r="E68" i="7"/>
  <c r="D70" i="9"/>
  <c r="D71" i="9" s="1"/>
  <c r="D73" i="9" s="1"/>
  <c r="D77" i="9"/>
  <c r="D84" i="9" s="1"/>
  <c r="E46" i="9"/>
  <c r="B19" i="7"/>
  <c r="C12" i="6"/>
  <c r="D39" i="7"/>
  <c r="D40" i="7" s="1"/>
  <c r="D46" i="7" s="1"/>
  <c r="C39" i="7"/>
  <c r="C40" i="7" s="1"/>
  <c r="E31" i="7"/>
  <c r="E38" i="7"/>
  <c r="E44" i="7"/>
  <c r="B37" i="2"/>
  <c r="D26" i="2"/>
  <c r="C10" i="5" s="1"/>
  <c r="D37" i="2"/>
  <c r="C18" i="5" s="1"/>
  <c r="B11" i="2"/>
  <c r="D11" i="2" s="1"/>
  <c r="E11" i="2" s="1"/>
  <c r="D10" i="2"/>
  <c r="D74" i="9" l="1"/>
  <c r="D82" i="9" s="1"/>
  <c r="D81" i="9"/>
  <c r="E45" i="9"/>
  <c r="E48" i="9"/>
  <c r="E49" i="9" s="1"/>
  <c r="E83" i="9" s="1"/>
  <c r="D45" i="7"/>
  <c r="D48" i="7"/>
  <c r="D49" i="7" s="1"/>
  <c r="D83" i="7" s="1"/>
  <c r="C10" i="6"/>
  <c r="C14" i="6" s="1"/>
  <c r="C16" i="6" s="1"/>
  <c r="E39" i="7"/>
  <c r="E40" i="7" s="1"/>
  <c r="E46" i="7" s="1"/>
  <c r="B12" i="2"/>
  <c r="B16" i="2"/>
  <c r="B18" i="2"/>
  <c r="E10" i="2"/>
  <c r="E12" i="2" s="1"/>
  <c r="D12" i="2"/>
  <c r="D85" i="9" l="1"/>
  <c r="C18" i="8" s="1"/>
  <c r="C20" i="8" s="1"/>
  <c r="C24" i="8" s="1"/>
  <c r="E70" i="9"/>
  <c r="E71" i="9" s="1"/>
  <c r="E73" i="9" s="1"/>
  <c r="E77" i="9"/>
  <c r="E84" i="9" s="1"/>
  <c r="E45" i="7"/>
  <c r="E48" i="7"/>
  <c r="E49" i="7" s="1"/>
  <c r="E83" i="7" s="1"/>
  <c r="D70" i="7"/>
  <c r="D71" i="7" s="1"/>
  <c r="D73" i="7" s="1"/>
  <c r="D77" i="7"/>
  <c r="D84" i="7" s="1"/>
  <c r="C12" i="5"/>
  <c r="E74" i="9" l="1"/>
  <c r="E82" i="9" s="1"/>
  <c r="E81" i="9"/>
  <c r="D74" i="7"/>
  <c r="D82" i="7" s="1"/>
  <c r="D81" i="7"/>
  <c r="E70" i="7"/>
  <c r="E71" i="7" s="1"/>
  <c r="E73" i="7" s="1"/>
  <c r="E77" i="7"/>
  <c r="E84" i="7" s="1"/>
  <c r="C14" i="5"/>
  <c r="C16" i="5" s="1"/>
  <c r="D85" i="7" l="1"/>
  <c r="C18" i="6" s="1"/>
  <c r="C20" i="6" s="1"/>
  <c r="C24" i="6" s="1"/>
  <c r="E85" i="9"/>
  <c r="E74" i="7"/>
  <c r="E82" i="7" s="1"/>
  <c r="E81" i="7"/>
  <c r="C20" i="5"/>
  <c r="C24" i="5" l="1"/>
  <c r="E85" i="7"/>
</calcChain>
</file>

<file path=xl/sharedStrings.xml><?xml version="1.0" encoding="utf-8"?>
<sst xmlns="http://schemas.openxmlformats.org/spreadsheetml/2006/main" count="264" uniqueCount="102">
  <si>
    <t xml:space="preserve">Jurisdictional Adjusted Net Operating Income (Loss) </t>
  </si>
  <si>
    <t xml:space="preserve">Net Operating Income Deficiency (Excess) </t>
  </si>
  <si>
    <t xml:space="preserve">Net Operating Income Multiplier </t>
  </si>
  <si>
    <t>Capital Structure</t>
  </si>
  <si>
    <t>Long Term Debt</t>
  </si>
  <si>
    <t>Common Equity</t>
  </si>
  <si>
    <t xml:space="preserve">   Total</t>
  </si>
  <si>
    <t>Ratio</t>
  </si>
  <si>
    <t>Cost Rate</t>
  </si>
  <si>
    <t>Pre Tax COC</t>
  </si>
  <si>
    <t xml:space="preserve"> Wtd Cost Rate</t>
  </si>
  <si>
    <t>Rate of Return on Rate Base</t>
  </si>
  <si>
    <t xml:space="preserve">Jurisdictional Adjusted Rate Base </t>
  </si>
  <si>
    <t>Required Jurisdictional Net Operating Income</t>
  </si>
  <si>
    <t>Required Net Operating Income</t>
  </si>
  <si>
    <t>Jurisdictional Rate Base - MFR B-1</t>
  </si>
  <si>
    <t>Jurisdictional NOI</t>
  </si>
  <si>
    <t>FIRST YEAR OPERATIONS ($000)</t>
  </si>
  <si>
    <t>Juris Rate Base - MFR B-1</t>
  </si>
  <si>
    <t>Plant In Service</t>
  </si>
  <si>
    <t>Accum Provision Depreciation</t>
  </si>
  <si>
    <t>Working Capital</t>
  </si>
  <si>
    <t>Other - Deferred Taxes</t>
  </si>
  <si>
    <t xml:space="preserve">     Total</t>
  </si>
  <si>
    <t>($000)</t>
  </si>
  <si>
    <t>Capital</t>
  </si>
  <si>
    <t>Fixed O&amp;M</t>
  </si>
  <si>
    <t>Variable O&amp;M</t>
  </si>
  <si>
    <t>Property Insurance</t>
  </si>
  <si>
    <t>Depreciation</t>
  </si>
  <si>
    <t>Juris NOI - MFR C-1</t>
  </si>
  <si>
    <t>Property Taxes</t>
  </si>
  <si>
    <t>Payroll Taxes</t>
  </si>
  <si>
    <t>Income Taxes</t>
  </si>
  <si>
    <t xml:space="preserve">   Total NOI</t>
  </si>
  <si>
    <t xml:space="preserve">Revenue Requirement </t>
  </si>
  <si>
    <t>KO -16 Adj</t>
  </si>
  <si>
    <t>Revised</t>
  </si>
  <si>
    <t>Revenue Requirement Calculation</t>
  </si>
  <si>
    <t>CANAVERAL MODERNIZATION PROJECT
ESTIMATED FIRST YEAR REVENUE REQUIREMENTS
($000)</t>
  </si>
  <si>
    <t xml:space="preserve"> </t>
  </si>
  <si>
    <t>RIVIERA MODERNIZATION PROJECT
ESTIMATED FIRST YEAR REVENUE REQUIREMENTS
($000)</t>
  </si>
  <si>
    <t xml:space="preserve">    Juris Net Operating Income</t>
  </si>
  <si>
    <t>Other Income Taxes</t>
  </si>
  <si>
    <t>Income Tax - Interest Expense</t>
  </si>
  <si>
    <t>Income Tax - Operating Expenses</t>
  </si>
  <si>
    <t>Operating Expenses</t>
  </si>
  <si>
    <t>12/31/2014- 12/31/2015</t>
  </si>
  <si>
    <t>6/01/2014- 5/31/2015</t>
  </si>
  <si>
    <t>Juris Net Operating Income</t>
  </si>
  <si>
    <t>Juris Other Income Taxes</t>
  </si>
  <si>
    <t>Juris Operating Expenses</t>
  </si>
  <si>
    <t xml:space="preserve">   Total Juris Operating Expenses</t>
  </si>
  <si>
    <t>Taxes Other Than Income Taxes - Prop Tax</t>
  </si>
  <si>
    <t>Depreciation - Transmission</t>
  </si>
  <si>
    <t>Depreciation - Other Production</t>
  </si>
  <si>
    <t>Capital Replacement</t>
  </si>
  <si>
    <t xml:space="preserve">   Total Operating Expenses</t>
  </si>
  <si>
    <t>Juris Interest Expense</t>
  </si>
  <si>
    <t>Juris Rate Base</t>
  </si>
  <si>
    <t>Juris Factor</t>
  </si>
  <si>
    <t>Average Rate Base</t>
  </si>
  <si>
    <t xml:space="preserve">      Juris Net Plant</t>
  </si>
  <si>
    <t>Deferred Taxes</t>
  </si>
  <si>
    <t>Transmission Reserve</t>
  </si>
  <si>
    <t>Other Production Reserve</t>
  </si>
  <si>
    <t>Transmission Plant</t>
  </si>
  <si>
    <t>Other Production Plant</t>
  </si>
  <si>
    <t>12/31/2015</t>
  </si>
  <si>
    <t>5/31/2015</t>
  </si>
  <si>
    <t>12/31/2014</t>
  </si>
  <si>
    <t>6/01/2014</t>
  </si>
  <si>
    <t>Juris Net Plant</t>
  </si>
  <si>
    <t xml:space="preserve">     Net Plant</t>
  </si>
  <si>
    <t>Net Plant</t>
  </si>
  <si>
    <t>Juris Factor - Property Insurance</t>
  </si>
  <si>
    <t>Juris Factor - Transmission</t>
  </si>
  <si>
    <t>Juris Factor - Generation</t>
  </si>
  <si>
    <t>Rate of Return</t>
  </si>
  <si>
    <t>Transmission Depreciation Rate</t>
  </si>
  <si>
    <t>Production Depreciation Rate</t>
  </si>
  <si>
    <t>Income Tax Rate</t>
  </si>
  <si>
    <t>Assumptions</t>
  </si>
  <si>
    <t>PORT EVERGLADES MODERNIZATION PROJECT
ESTIMATED FIRST YEAR REVENUE REQUIREMENTS
($000)</t>
  </si>
  <si>
    <t>12/31/2016- 12/31/2017</t>
  </si>
  <si>
    <t>6/01/2016- 5/31/2017</t>
  </si>
  <si>
    <t>12/31/2017</t>
  </si>
  <si>
    <t>5/31/2017</t>
  </si>
  <si>
    <t>12/31/2016</t>
  </si>
  <si>
    <t>6/01/2016</t>
  </si>
  <si>
    <t>GBRA O&amp;M Summary</t>
  </si>
  <si>
    <t>CCEC</t>
  </si>
  <si>
    <t>RBEC</t>
  </si>
  <si>
    <t>PEEC</t>
  </si>
  <si>
    <t>Difference 2013-2017:</t>
  </si>
  <si>
    <t>OPC 002179   FPL RC-16</t>
  </si>
  <si>
    <t>OPC 002180   FPL RC-16</t>
  </si>
  <si>
    <t>OPC 002181   FPL RC-16</t>
  </si>
  <si>
    <t>OPC 002182   FPL RC-16</t>
  </si>
  <si>
    <t>OPC 002183   FPL RC-16</t>
  </si>
  <si>
    <t>OPC 002184   FPL RC-16</t>
  </si>
  <si>
    <t>OPC 002185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</si>
</sst>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2" formatCode="_(&quot;$&quot;* #,##0_);_(&quot;$&quot;* \(#,##0\);_(&quot;$&quot;* &quot;-&quot;_);_(@_)"/>
    <numFmt numFmtId="164" formatCode="0.000%"/>
    <numFmt numFmtId="165" formatCode="#,##0.00000"/>
    <numFmt numFmtId="166" formatCode="&quot;$&quot;#,##0"/>
    <numFmt numFmtId="167" formatCode="0.000000"/>
    <numFmt numFmtId="168" formatCode="0.00000%"/>
  </numFmts>
  <fonts count="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3" fillId="0" borderId="1" xfId="0" applyFont="1" applyBorder="1"/>
    <xf numFmtId="0" fontId="3" fillId="0" borderId="0" xfId="0" applyNumberFormat="1" applyFont="1" applyAlignment="1"/>
    <xf numFmtId="5" fontId="3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/>
    <xf numFmtId="37" fontId="3" fillId="0" borderId="0" xfId="0" applyNumberFormat="1" applyFont="1"/>
    <xf numFmtId="37" fontId="4" fillId="0" borderId="0" xfId="0" applyNumberFormat="1" applyFont="1"/>
    <xf numFmtId="165" fontId="3" fillId="0" borderId="0" xfId="0" applyNumberFormat="1" applyFont="1"/>
    <xf numFmtId="165" fontId="4" fillId="0" borderId="0" xfId="0" applyNumberFormat="1" applyFont="1"/>
    <xf numFmtId="166" fontId="3" fillId="0" borderId="2" xfId="0" applyNumberFormat="1" applyFont="1" applyBorder="1"/>
    <xf numFmtId="164" fontId="3" fillId="0" borderId="0" xfId="0" applyNumberFormat="1" applyFont="1"/>
    <xf numFmtId="3" fontId="3" fillId="0" borderId="1" xfId="0" applyNumberFormat="1" applyFont="1" applyBorder="1" applyAlignment="1">
      <alignment horizontal="center" wrapText="1"/>
    </xf>
    <xf numFmtId="0" fontId="5" fillId="0" borderId="0" xfId="0" applyFont="1"/>
    <xf numFmtId="164" fontId="5" fillId="0" borderId="0" xfId="0" applyNumberFormat="1" applyFont="1"/>
    <xf numFmtId="164" fontId="5" fillId="0" borderId="2" xfId="0" applyNumberFormat="1" applyFont="1" applyBorder="1"/>
    <xf numFmtId="37" fontId="5" fillId="0" borderId="0" xfId="0" applyNumberFormat="1" applyFont="1"/>
    <xf numFmtId="37" fontId="5" fillId="0" borderId="3" xfId="0" applyNumberFormat="1" applyFont="1" applyBorder="1"/>
    <xf numFmtId="0" fontId="5" fillId="0" borderId="0" xfId="0" quotePrefix="1" applyFont="1" applyAlignment="1">
      <alignment horizontal="center"/>
    </xf>
    <xf numFmtId="0" fontId="5" fillId="0" borderId="0" xfId="0" applyFont="1" applyFill="1" applyBorder="1"/>
    <xf numFmtId="37" fontId="5" fillId="0" borderId="0" xfId="0" applyNumberFormat="1" applyFont="1" applyBorder="1"/>
    <xf numFmtId="37" fontId="5" fillId="0" borderId="4" xfId="0" applyNumberFormat="1" applyFont="1" applyBorder="1"/>
    <xf numFmtId="37" fontId="1" fillId="0" borderId="0" xfId="0" applyNumberFormat="1" applyFont="1"/>
    <xf numFmtId="37" fontId="1" fillId="0" borderId="3" xfId="0" applyNumberFormat="1" applyFont="1" applyBorder="1"/>
    <xf numFmtId="0" fontId="1" fillId="0" borderId="0" xfId="0" applyFont="1"/>
    <xf numFmtId="37" fontId="1" fillId="0" borderId="4" xfId="0" applyNumberFormat="1" applyFont="1" applyBorder="1"/>
    <xf numFmtId="37" fontId="1" fillId="0" borderId="0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7" fontId="1" fillId="0" borderId="2" xfId="0" applyNumberFormat="1" applyFont="1" applyBorder="1"/>
    <xf numFmtId="0" fontId="2" fillId="0" borderId="0" xfId="0" applyFont="1"/>
    <xf numFmtId="164" fontId="2" fillId="0" borderId="1" xfId="0" applyNumberFormat="1" applyFont="1" applyBorder="1" applyAlignment="1">
      <alignment horizontal="center" wrapText="1"/>
    </xf>
    <xf numFmtId="164" fontId="2" fillId="0" borderId="1" xfId="0" quotePrefix="1" applyNumberFormat="1" applyFont="1" applyBorder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167" fontId="1" fillId="0" borderId="0" xfId="0" applyNumberFormat="1" applyFont="1"/>
    <xf numFmtId="164" fontId="2" fillId="0" borderId="1" xfId="0" quotePrefix="1" applyNumberFormat="1" applyFont="1" applyBorder="1" applyAlignment="1">
      <alignment horizontal="center"/>
    </xf>
    <xf numFmtId="168" fontId="1" fillId="0" borderId="0" xfId="0" applyNumberFormat="1" applyFont="1"/>
    <xf numFmtId="164" fontId="1" fillId="0" borderId="2" xfId="0" applyNumberFormat="1" applyFont="1" applyBorder="1"/>
    <xf numFmtId="10" fontId="0" fillId="0" borderId="0" xfId="1" applyNumberFormat="1" applyFont="1"/>
    <xf numFmtId="0" fontId="3" fillId="0" borderId="3" xfId="0" applyFont="1" applyBorder="1" applyAlignment="1">
      <alignment horizontal="center"/>
    </xf>
    <xf numFmtId="42" fontId="0" fillId="0" borderId="0" xfId="2" applyFont="1"/>
    <xf numFmtId="42" fontId="0" fillId="0" borderId="3" xfId="2" applyFont="1" applyBorder="1"/>
    <xf numFmtId="42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 wrapText="1"/>
    </xf>
  </cellXfs>
  <cellStyles count="3">
    <cellStyle name="Currency [0]" xfId="2" builtinId="7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D2" sqref="D2"/>
    </sheetView>
  </sheetViews>
  <sheetFormatPr defaultRowHeight="13.2" x14ac:dyDescent="0.25"/>
  <cols>
    <col min="1" max="1" width="13.44140625" customWidth="1"/>
    <col min="3" max="3" width="11.33203125" bestFit="1" customWidth="1"/>
    <col min="6" max="6" width="8.6640625" bestFit="1" customWidth="1"/>
  </cols>
  <sheetData>
    <row r="1" spans="1:7" ht="31.8" customHeight="1" x14ac:dyDescent="0.25">
      <c r="A1" s="54" t="s">
        <v>95</v>
      </c>
    </row>
    <row r="2" spans="1:7" x14ac:dyDescent="0.25">
      <c r="A2" t="s">
        <v>90</v>
      </c>
    </row>
    <row r="6" spans="1:7" x14ac:dyDescent="0.25">
      <c r="B6" s="48">
        <v>2013</v>
      </c>
      <c r="C6" s="48">
        <v>2014</v>
      </c>
      <c r="D6" s="48">
        <v>2015</v>
      </c>
      <c r="E6" s="48">
        <v>2016</v>
      </c>
      <c r="F6" s="48">
        <v>2017</v>
      </c>
      <c r="G6" s="48">
        <v>2018</v>
      </c>
    </row>
    <row r="7" spans="1:7" x14ac:dyDescent="0.25">
      <c r="A7" t="s">
        <v>91</v>
      </c>
      <c r="B7" s="49">
        <f>('Can Page 2'!D30+'Can Page 2'!D31)*9/12</f>
        <v>8158.5</v>
      </c>
      <c r="C7" s="49">
        <f>'Can Page 2'!$D$30+'Can Page 2'!$D$31</f>
        <v>10878</v>
      </c>
      <c r="D7" s="49">
        <f>'Can Page 2'!$D$30+'Can Page 2'!$D$31</f>
        <v>10878</v>
      </c>
      <c r="E7" s="49">
        <f>'Can Page 2'!$D$30+'Can Page 2'!$D$31</f>
        <v>10878</v>
      </c>
      <c r="F7" s="49">
        <f>'Can Page 2'!$D$30+'Can Page 2'!$D$31</f>
        <v>10878</v>
      </c>
      <c r="G7" s="49">
        <f>'Can Page 2'!$D$30+'Can Page 2'!$D$31</f>
        <v>10878</v>
      </c>
    </row>
    <row r="8" spans="1:7" x14ac:dyDescent="0.25">
      <c r="A8" t="s">
        <v>92</v>
      </c>
      <c r="B8" s="49">
        <v>0</v>
      </c>
      <c r="C8" s="49">
        <f>+('Riv Page 2'!E53+'Riv Page 2'!E54)*0.75/1000</f>
        <v>6236.9647500000001</v>
      </c>
      <c r="D8" s="49">
        <f>+('Riv Page 2'!$E$53+'Riv Page 2'!$E$54)/1000</f>
        <v>8315.9529999999995</v>
      </c>
      <c r="E8" s="49">
        <f>+('Riv Page 2'!$E$53+'Riv Page 2'!$E$54)/1000</f>
        <v>8315.9529999999995</v>
      </c>
      <c r="F8" s="49">
        <f>+('Riv Page 2'!$E$53+'Riv Page 2'!$E$54)/1000</f>
        <v>8315.9529999999995</v>
      </c>
      <c r="G8" s="49">
        <f>+('Riv Page 2'!$E$53+'Riv Page 2'!$E$54)/1000</f>
        <v>8315.9529999999995</v>
      </c>
    </row>
    <row r="9" spans="1:7" x14ac:dyDescent="0.25">
      <c r="A9" t="s">
        <v>93</v>
      </c>
      <c r="B9" s="50">
        <v>0</v>
      </c>
      <c r="C9" s="50">
        <v>0</v>
      </c>
      <c r="D9" s="50">
        <v>0</v>
      </c>
      <c r="E9" s="50">
        <f>('PE Page 2'!$E$64+'PE Page 2'!$E$65)*9/12/1000</f>
        <v>8101.5454241399993</v>
      </c>
      <c r="F9" s="50">
        <f>('PE Page 2'!$E$64+'PE Page 2'!$E$65)/1000</f>
        <v>10802.06056552</v>
      </c>
      <c r="G9" s="50">
        <f>('PE Page 2'!$E$64+'PE Page 2'!$E$65)/1000</f>
        <v>10802.06056552</v>
      </c>
    </row>
    <row r="10" spans="1:7" x14ac:dyDescent="0.25">
      <c r="A10" s="2" t="s">
        <v>6</v>
      </c>
      <c r="B10" s="51">
        <f>SUM(B7:B9)</f>
        <v>8158.5</v>
      </c>
      <c r="C10" s="51">
        <f t="shared" ref="C10:G10" si="0">SUM(C7:C9)</f>
        <v>17114.964749999999</v>
      </c>
      <c r="D10" s="51">
        <f t="shared" si="0"/>
        <v>19193.953000000001</v>
      </c>
      <c r="E10" s="51">
        <f t="shared" si="0"/>
        <v>27295.498424140002</v>
      </c>
      <c r="F10" s="51">
        <f t="shared" si="0"/>
        <v>29996.013565519999</v>
      </c>
      <c r="G10" s="51">
        <f t="shared" si="0"/>
        <v>29996.013565519999</v>
      </c>
    </row>
    <row r="13" spans="1:7" x14ac:dyDescent="0.25">
      <c r="B13" s="2" t="s">
        <v>94</v>
      </c>
      <c r="D13" s="51">
        <f>+F10-B10</f>
        <v>21837.513565519999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zoomScaleNormal="100" workbookViewId="0">
      <selection activeCell="A2" sqref="A2"/>
    </sheetView>
  </sheetViews>
  <sheetFormatPr defaultRowHeight="13.2" x14ac:dyDescent="0.25"/>
  <cols>
    <col min="1" max="1" width="13.44140625" style="1" customWidth="1"/>
    <col min="2" max="2" width="5.6640625" style="2" customWidth="1"/>
    <col min="3" max="3" width="16.6640625" style="7" customWidth="1"/>
    <col min="4" max="4" width="1.6640625" style="2" customWidth="1"/>
    <col min="5" max="5" width="12.6640625" style="3" customWidth="1"/>
    <col min="6" max="6" width="1.6640625" style="2" customWidth="1"/>
    <col min="7" max="7" width="6.5546875" customWidth="1"/>
  </cols>
  <sheetData>
    <row r="1" spans="1:5" ht="31.8" customHeight="1" x14ac:dyDescent="0.25">
      <c r="A1" s="54" t="s">
        <v>96</v>
      </c>
    </row>
    <row r="4" spans="1:5" ht="65.400000000000006" customHeight="1" x14ac:dyDescent="0.25">
      <c r="A4" s="52" t="s">
        <v>39</v>
      </c>
      <c r="B4" s="53"/>
      <c r="C4" s="53"/>
    </row>
    <row r="7" spans="1:5" ht="47.25" customHeight="1" thickBot="1" x14ac:dyDescent="0.3">
      <c r="A7" s="4" t="s">
        <v>38</v>
      </c>
      <c r="C7" s="15" t="s">
        <v>17</v>
      </c>
      <c r="E7" s="2"/>
    </row>
    <row r="10" spans="1:5" x14ac:dyDescent="0.25">
      <c r="A10" s="5" t="s">
        <v>12</v>
      </c>
      <c r="C10" s="6">
        <f>'Can Page 2'!D26</f>
        <v>811808.89276376041</v>
      </c>
    </row>
    <row r="11" spans="1:5" x14ac:dyDescent="0.25">
      <c r="A11" s="5"/>
    </row>
    <row r="12" spans="1:5" x14ac:dyDescent="0.25">
      <c r="A12" s="5" t="s">
        <v>11</v>
      </c>
      <c r="C12" s="14">
        <f>'Can Page 2'!D12</f>
        <v>8.428285920688125E-2</v>
      </c>
      <c r="E12" s="2"/>
    </row>
    <row r="13" spans="1:5" ht="13.8" thickBot="1" x14ac:dyDescent="0.3">
      <c r="A13" s="5"/>
      <c r="E13" s="2"/>
    </row>
    <row r="14" spans="1:5" x14ac:dyDescent="0.25">
      <c r="A14" s="5" t="s">
        <v>13</v>
      </c>
      <c r="C14" s="8">
        <f>C10*C12</f>
        <v>68421.574611702177</v>
      </c>
    </row>
    <row r="15" spans="1:5" x14ac:dyDescent="0.25">
      <c r="A15" s="5"/>
    </row>
    <row r="16" spans="1:5" x14ac:dyDescent="0.25">
      <c r="A16" s="5" t="s">
        <v>14</v>
      </c>
      <c r="C16" s="7">
        <f>C14</f>
        <v>68421.574611702177</v>
      </c>
    </row>
    <row r="17" spans="1:7" x14ac:dyDescent="0.25">
      <c r="A17" s="5"/>
    </row>
    <row r="18" spans="1:7" x14ac:dyDescent="0.25">
      <c r="A18" s="5" t="s">
        <v>0</v>
      </c>
      <c r="C18" s="9">
        <f>'Can Page 2'!D37</f>
        <v>-31875.750571885637</v>
      </c>
      <c r="E18" s="10"/>
      <c r="G18" s="47"/>
    </row>
    <row r="19" spans="1:7" ht="13.8" thickBot="1" x14ac:dyDescent="0.3">
      <c r="A19" s="5"/>
    </row>
    <row r="20" spans="1:7" x14ac:dyDescent="0.25">
      <c r="A20" s="5" t="s">
        <v>1</v>
      </c>
      <c r="C20" s="8">
        <f>C16-C18</f>
        <v>100297.32518358782</v>
      </c>
    </row>
    <row r="21" spans="1:7" x14ac:dyDescent="0.25">
      <c r="A21" s="5"/>
    </row>
    <row r="22" spans="1:7" x14ac:dyDescent="0.25">
      <c r="A22" s="5" t="s">
        <v>2</v>
      </c>
      <c r="C22" s="11">
        <v>1.63188</v>
      </c>
      <c r="E22" s="12"/>
    </row>
    <row r="23" spans="1:7" ht="13.8" thickBot="1" x14ac:dyDescent="0.3">
      <c r="A23" s="5"/>
    </row>
    <row r="24" spans="1:7" x14ac:dyDescent="0.25">
      <c r="A24" s="5" t="s">
        <v>35</v>
      </c>
      <c r="C24" s="13">
        <f>C20*C22</f>
        <v>163673.19902059328</v>
      </c>
    </row>
  </sheetData>
  <mergeCells count="1">
    <mergeCell ref="A4:C4"/>
  </mergeCells>
  <phoneticPr fontId="1" type="noConversion"/>
  <printOptions horizontalCentered="1"/>
  <pageMargins left="0.75" right="0.75" top="1" bottom="1" header="0.5" footer="0.5"/>
  <pageSetup scale="90" orientation="portrait" r:id="rId1"/>
  <headerFooter alignWithMargins="0">
    <oddHeader>&amp;RDocket No. 120015-EI
MFR A-1 Canaveral, Riviera, Port Everglades
Exhibit REB-9, Page 1 of 6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workbookViewId="0">
      <selection activeCell="A2" sqref="A2"/>
    </sheetView>
  </sheetViews>
  <sheetFormatPr defaultColWidth="9.109375" defaultRowHeight="10.199999999999999" x14ac:dyDescent="0.2"/>
  <cols>
    <col min="1" max="1" width="13.44140625" style="16" customWidth="1"/>
    <col min="2" max="5" width="12.6640625" style="17" customWidth="1"/>
    <col min="6" max="6" width="12.6640625" style="16" customWidth="1"/>
    <col min="7" max="8" width="10.6640625" style="16" customWidth="1"/>
    <col min="9" max="16384" width="9.109375" style="16"/>
  </cols>
  <sheetData>
    <row r="1" spans="1:6" s="27" customFormat="1" ht="31.8" customHeight="1" x14ac:dyDescent="0.2">
      <c r="A1" s="54" t="s">
        <v>97</v>
      </c>
      <c r="B1" s="33"/>
      <c r="C1" s="33"/>
      <c r="D1" s="33"/>
      <c r="E1" s="33"/>
      <c r="F1" s="34"/>
    </row>
    <row r="2" spans="1:6" s="27" customFormat="1" x14ac:dyDescent="0.2">
      <c r="B2" s="33"/>
      <c r="C2" s="33"/>
      <c r="D2" s="33"/>
      <c r="E2" s="33"/>
      <c r="F2" s="34"/>
    </row>
    <row r="3" spans="1:6" s="27" customFormat="1" x14ac:dyDescent="0.2">
      <c r="B3" s="33"/>
      <c r="C3" s="33"/>
      <c r="D3" s="33"/>
      <c r="E3" s="33"/>
      <c r="F3" s="34"/>
    </row>
    <row r="4" spans="1:6" s="27" customFormat="1" ht="45" customHeight="1" x14ac:dyDescent="0.25">
      <c r="A4" s="52" t="s">
        <v>39</v>
      </c>
      <c r="B4" s="52"/>
      <c r="C4" s="52"/>
      <c r="D4" s="52"/>
      <c r="E4" s="52"/>
      <c r="F4" s="34"/>
    </row>
    <row r="8" spans="1:6" ht="10.8" thickBot="1" x14ac:dyDescent="0.25">
      <c r="A8" s="30" t="s">
        <v>3</v>
      </c>
      <c r="B8" s="31" t="s">
        <v>7</v>
      </c>
      <c r="C8" s="31" t="s">
        <v>8</v>
      </c>
      <c r="D8" s="31" t="s">
        <v>10</v>
      </c>
      <c r="E8" s="31" t="s">
        <v>9</v>
      </c>
    </row>
    <row r="10" spans="1:6" x14ac:dyDescent="0.2">
      <c r="A10" s="16" t="s">
        <v>4</v>
      </c>
      <c r="B10" s="17">
        <v>0.39030900000000002</v>
      </c>
      <c r="C10" s="17">
        <v>5.1921180928139632E-2</v>
      </c>
      <c r="D10" s="17">
        <f>B10*C10</f>
        <v>2.0265304206881253E-2</v>
      </c>
      <c r="E10" s="17">
        <f>D10</f>
        <v>2.0265304206881253E-2</v>
      </c>
    </row>
    <row r="11" spans="1:6" ht="10.8" thickBot="1" x14ac:dyDescent="0.25">
      <c r="A11" s="16" t="s">
        <v>5</v>
      </c>
      <c r="B11" s="17">
        <f>1-B10</f>
        <v>0.60969099999999998</v>
      </c>
      <c r="C11" s="17">
        <v>0.105</v>
      </c>
      <c r="D11" s="17">
        <f>B11*C11</f>
        <v>6.401755499999999E-2</v>
      </c>
      <c r="E11" s="17">
        <f>D11/(1-0.38575)</f>
        <v>0.10422068376068375</v>
      </c>
    </row>
    <row r="12" spans="1:6" x14ac:dyDescent="0.2">
      <c r="A12" s="16" t="s">
        <v>6</v>
      </c>
      <c r="B12" s="18">
        <f>SUM(B10:B11)</f>
        <v>1</v>
      </c>
      <c r="D12" s="18">
        <f>SUM(D10:D11)</f>
        <v>8.428285920688125E-2</v>
      </c>
      <c r="E12" s="18">
        <f>SUM(E10:E11)</f>
        <v>0.12448598796756499</v>
      </c>
    </row>
    <row r="16" spans="1:6" x14ac:dyDescent="0.2">
      <c r="A16" s="16" t="s">
        <v>15</v>
      </c>
      <c r="B16" s="19">
        <f>D26</f>
        <v>811808.89276376041</v>
      </c>
    </row>
    <row r="17" spans="1:5" x14ac:dyDescent="0.2">
      <c r="B17" s="16"/>
      <c r="C17" s="16"/>
      <c r="D17" s="16"/>
      <c r="E17" s="16"/>
    </row>
    <row r="18" spans="1:5" x14ac:dyDescent="0.2">
      <c r="A18" s="16" t="s">
        <v>16</v>
      </c>
      <c r="B18" s="19">
        <f>D37</f>
        <v>-31875.750571885637</v>
      </c>
      <c r="C18" s="16"/>
      <c r="D18" s="16"/>
      <c r="E18" s="16"/>
    </row>
    <row r="19" spans="1:5" x14ac:dyDescent="0.2">
      <c r="B19" s="16"/>
      <c r="C19" s="16"/>
      <c r="D19" s="16"/>
      <c r="E19" s="16"/>
    </row>
    <row r="20" spans="1:5" x14ac:dyDescent="0.2">
      <c r="B20" s="16"/>
      <c r="C20" s="16"/>
      <c r="D20" s="16"/>
      <c r="E20" s="16"/>
    </row>
    <row r="21" spans="1:5" ht="10.8" thickBot="1" x14ac:dyDescent="0.25">
      <c r="A21" s="30" t="s">
        <v>18</v>
      </c>
      <c r="B21" s="32" t="s">
        <v>24</v>
      </c>
      <c r="C21" s="32" t="s">
        <v>36</v>
      </c>
      <c r="D21" s="32" t="s">
        <v>37</v>
      </c>
      <c r="E21" s="16"/>
    </row>
    <row r="22" spans="1:5" x14ac:dyDescent="0.2">
      <c r="A22" s="16" t="s">
        <v>19</v>
      </c>
      <c r="B22" s="19">
        <v>956492</v>
      </c>
      <c r="C22" s="25">
        <v>-10069.46976976539</v>
      </c>
      <c r="D22" s="25">
        <f>B22+C22</f>
        <v>946422.53023023461</v>
      </c>
      <c r="E22" s="16"/>
    </row>
    <row r="23" spans="1:5" x14ac:dyDescent="0.2">
      <c r="A23" s="16" t="s">
        <v>20</v>
      </c>
      <c r="B23" s="19">
        <v>-15557</v>
      </c>
      <c r="C23" s="25">
        <v>165.96847340605564</v>
      </c>
      <c r="D23" s="25">
        <f t="shared" ref="D23:D25" si="0">B23+C23</f>
        <v>-15391.031526593944</v>
      </c>
      <c r="E23" s="16"/>
    </row>
    <row r="24" spans="1:5" x14ac:dyDescent="0.2">
      <c r="A24" s="16" t="s">
        <v>21</v>
      </c>
      <c r="B24" s="19">
        <v>0</v>
      </c>
      <c r="C24" s="25">
        <v>0</v>
      </c>
      <c r="D24" s="25">
        <f t="shared" si="0"/>
        <v>0</v>
      </c>
      <c r="E24" s="16"/>
    </row>
    <row r="25" spans="1:5" x14ac:dyDescent="0.2">
      <c r="A25" s="16" t="s">
        <v>22</v>
      </c>
      <c r="B25" s="20">
        <v>-119610</v>
      </c>
      <c r="C25" s="26">
        <v>387.39406011975302</v>
      </c>
      <c r="D25" s="26">
        <f t="shared" si="0"/>
        <v>-119222.60593988025</v>
      </c>
      <c r="E25" s="16"/>
    </row>
    <row r="26" spans="1:5" x14ac:dyDescent="0.2">
      <c r="A26" s="16" t="s">
        <v>23</v>
      </c>
      <c r="B26" s="19">
        <f>SUM(B22:B25)</f>
        <v>821325</v>
      </c>
      <c r="C26" s="25">
        <v>-9516.1072362395807</v>
      </c>
      <c r="D26" s="25">
        <f>SUM(D22:D25)</f>
        <v>811808.89276376041</v>
      </c>
      <c r="E26" s="21" t="s">
        <v>25</v>
      </c>
    </row>
    <row r="27" spans="1:5" x14ac:dyDescent="0.2">
      <c r="B27" s="16"/>
      <c r="C27" s="27"/>
      <c r="D27" s="27"/>
      <c r="E27" s="16"/>
    </row>
    <row r="28" spans="1:5" x14ac:dyDescent="0.2">
      <c r="B28" s="16"/>
      <c r="C28" s="27"/>
      <c r="D28" s="27"/>
      <c r="E28" s="16"/>
    </row>
    <row r="29" spans="1:5" ht="10.8" thickBot="1" x14ac:dyDescent="0.25">
      <c r="A29" s="30" t="s">
        <v>30</v>
      </c>
      <c r="B29" s="32" t="s">
        <v>24</v>
      </c>
      <c r="C29" s="32" t="s">
        <v>36</v>
      </c>
      <c r="D29" s="32" t="s">
        <v>37</v>
      </c>
      <c r="E29" s="16"/>
    </row>
    <row r="30" spans="1:5" x14ac:dyDescent="0.2">
      <c r="A30" s="22" t="s">
        <v>26</v>
      </c>
      <c r="B30" s="19">
        <f>5777+31+586</f>
        <v>6394</v>
      </c>
      <c r="C30" s="25"/>
      <c r="D30" s="25">
        <f t="shared" ref="D30:D36" si="1">B30+C30</f>
        <v>6394</v>
      </c>
      <c r="E30" s="21" t="s">
        <v>26</v>
      </c>
    </row>
    <row r="31" spans="1:5" x14ac:dyDescent="0.2">
      <c r="A31" s="22" t="s">
        <v>27</v>
      </c>
      <c r="B31" s="19">
        <v>4484</v>
      </c>
      <c r="C31" s="25"/>
      <c r="D31" s="25">
        <f t="shared" si="1"/>
        <v>4484</v>
      </c>
      <c r="E31" s="21" t="s">
        <v>27</v>
      </c>
    </row>
    <row r="32" spans="1:5" x14ac:dyDescent="0.2">
      <c r="A32" s="22" t="s">
        <v>28</v>
      </c>
      <c r="B32" s="19">
        <v>1249</v>
      </c>
      <c r="C32" s="25"/>
      <c r="D32" s="25">
        <f t="shared" si="1"/>
        <v>1249</v>
      </c>
      <c r="E32" s="21" t="s">
        <v>25</v>
      </c>
    </row>
    <row r="33" spans="1:5" x14ac:dyDescent="0.2">
      <c r="A33" s="16" t="s">
        <v>29</v>
      </c>
      <c r="B33" s="23">
        <v>31502.400000000001</v>
      </c>
      <c r="C33" s="25">
        <v>-331.34156385307142</v>
      </c>
      <c r="D33" s="29">
        <f t="shared" si="1"/>
        <v>31171.05843614693</v>
      </c>
      <c r="E33" s="21" t="s">
        <v>25</v>
      </c>
    </row>
    <row r="34" spans="1:5" x14ac:dyDescent="0.2">
      <c r="A34" s="16" t="s">
        <v>31</v>
      </c>
      <c r="B34" s="23">
        <v>17670.2</v>
      </c>
      <c r="C34" s="25">
        <v>-211.73586426129623</v>
      </c>
      <c r="D34" s="29">
        <f t="shared" si="1"/>
        <v>17458.464135738704</v>
      </c>
      <c r="E34" s="21" t="s">
        <v>25</v>
      </c>
    </row>
    <row r="35" spans="1:5" x14ac:dyDescent="0.2">
      <c r="A35" s="16" t="s">
        <v>32</v>
      </c>
      <c r="B35" s="23">
        <f>277+2+7</f>
        <v>286</v>
      </c>
      <c r="C35" s="25"/>
      <c r="D35" s="29">
        <f t="shared" si="1"/>
        <v>286</v>
      </c>
      <c r="E35" s="16"/>
    </row>
    <row r="36" spans="1:5" x14ac:dyDescent="0.2">
      <c r="A36" s="16" t="s">
        <v>33</v>
      </c>
      <c r="B36" s="23">
        <v>-29494</v>
      </c>
      <c r="C36" s="25">
        <v>327.22800000000001</v>
      </c>
      <c r="D36" s="29">
        <f t="shared" si="1"/>
        <v>-29166.772000000001</v>
      </c>
      <c r="E36" s="16"/>
    </row>
    <row r="37" spans="1:5" x14ac:dyDescent="0.2">
      <c r="A37" s="16" t="s">
        <v>34</v>
      </c>
      <c r="B37" s="24">
        <f>-SUM(B30:B36)</f>
        <v>-32091.600000000006</v>
      </c>
      <c r="C37" s="28">
        <f>SUM(C30:C36)</f>
        <v>-215.84942811436764</v>
      </c>
      <c r="D37" s="28">
        <f>-SUM(D30:D36)</f>
        <v>-31875.750571885637</v>
      </c>
      <c r="E37" s="16"/>
    </row>
    <row r="38" spans="1:5" x14ac:dyDescent="0.2">
      <c r="B38" s="16"/>
      <c r="C38" s="16"/>
      <c r="D38" s="16"/>
      <c r="E38" s="16"/>
    </row>
    <row r="39" spans="1:5" x14ac:dyDescent="0.2">
      <c r="B39" s="16"/>
      <c r="C39" s="16"/>
      <c r="D39" s="16"/>
      <c r="E39" s="16"/>
    </row>
    <row r="40" spans="1:5" x14ac:dyDescent="0.2">
      <c r="B40" s="16"/>
      <c r="C40" s="16"/>
      <c r="D40" s="16"/>
      <c r="E40" s="16"/>
    </row>
    <row r="41" spans="1:5" x14ac:dyDescent="0.2">
      <c r="B41" s="16"/>
      <c r="C41" s="16"/>
      <c r="D41" s="16"/>
      <c r="E41" s="16"/>
    </row>
    <row r="42" spans="1:5" x14ac:dyDescent="0.2">
      <c r="B42" s="16"/>
      <c r="C42" s="16"/>
      <c r="D42" s="16"/>
      <c r="E42" s="16"/>
    </row>
    <row r="43" spans="1:5" x14ac:dyDescent="0.2">
      <c r="B43" s="16"/>
      <c r="C43" s="16"/>
      <c r="D43" s="16"/>
      <c r="E43" s="16"/>
    </row>
    <row r="44" spans="1:5" x14ac:dyDescent="0.2">
      <c r="B44" s="16"/>
      <c r="C44" s="16"/>
      <c r="D44" s="16"/>
      <c r="E44" s="16"/>
    </row>
    <row r="45" spans="1:5" x14ac:dyDescent="0.2">
      <c r="B45" s="16"/>
      <c r="C45" s="16"/>
      <c r="D45" s="16"/>
      <c r="E45" s="16"/>
    </row>
    <row r="46" spans="1:5" x14ac:dyDescent="0.2">
      <c r="B46" s="16"/>
      <c r="C46" s="16"/>
      <c r="D46" s="16"/>
      <c r="E46" s="16"/>
    </row>
    <row r="47" spans="1:5" x14ac:dyDescent="0.2">
      <c r="B47" s="16"/>
      <c r="C47" s="16"/>
      <c r="D47" s="16"/>
      <c r="E47" s="16"/>
    </row>
    <row r="48" spans="1:5" x14ac:dyDescent="0.2">
      <c r="B48" s="16"/>
      <c r="C48" s="16"/>
      <c r="D48" s="16"/>
      <c r="E48" s="16"/>
    </row>
    <row r="49" spans="2:5" x14ac:dyDescent="0.2">
      <c r="B49" s="16"/>
      <c r="C49" s="16"/>
      <c r="D49" s="16"/>
      <c r="E49" s="16"/>
    </row>
    <row r="50" spans="2:5" x14ac:dyDescent="0.2">
      <c r="B50" s="16"/>
      <c r="C50" s="16"/>
      <c r="D50" s="16"/>
      <c r="E50" s="16"/>
    </row>
    <row r="51" spans="2:5" x14ac:dyDescent="0.2">
      <c r="B51" s="16"/>
      <c r="C51" s="16"/>
      <c r="D51" s="16"/>
      <c r="E51" s="16"/>
    </row>
    <row r="52" spans="2:5" x14ac:dyDescent="0.2">
      <c r="B52" s="16"/>
      <c r="C52" s="16"/>
      <c r="D52" s="16"/>
      <c r="E52" s="16"/>
    </row>
    <row r="53" spans="2:5" x14ac:dyDescent="0.2">
      <c r="B53" s="16"/>
      <c r="C53" s="16"/>
      <c r="D53" s="16"/>
      <c r="E53" s="16"/>
    </row>
    <row r="54" spans="2:5" x14ac:dyDescent="0.2">
      <c r="B54" s="16"/>
      <c r="C54" s="16"/>
      <c r="D54" s="16"/>
      <c r="E54" s="16"/>
    </row>
    <row r="55" spans="2:5" x14ac:dyDescent="0.2">
      <c r="B55" s="16"/>
      <c r="C55" s="16"/>
      <c r="D55" s="16"/>
      <c r="E55" s="16"/>
    </row>
    <row r="56" spans="2:5" x14ac:dyDescent="0.2">
      <c r="B56" s="16"/>
      <c r="C56" s="16"/>
      <c r="D56" s="16"/>
      <c r="E56" s="16"/>
    </row>
    <row r="57" spans="2:5" x14ac:dyDescent="0.2">
      <c r="B57" s="16"/>
      <c r="C57" s="16"/>
      <c r="D57" s="16"/>
      <c r="E57" s="16"/>
    </row>
    <row r="58" spans="2:5" x14ac:dyDescent="0.2">
      <c r="B58" s="16"/>
      <c r="C58" s="16"/>
      <c r="D58" s="16"/>
      <c r="E58" s="16"/>
    </row>
    <row r="59" spans="2:5" x14ac:dyDescent="0.2">
      <c r="B59" s="16"/>
      <c r="C59" s="16"/>
      <c r="D59" s="16"/>
      <c r="E59" s="16"/>
    </row>
    <row r="60" spans="2:5" x14ac:dyDescent="0.2">
      <c r="B60" s="16"/>
      <c r="C60" s="16"/>
      <c r="D60" s="16"/>
      <c r="E60" s="16"/>
    </row>
    <row r="61" spans="2:5" x14ac:dyDescent="0.2">
      <c r="B61" s="16"/>
      <c r="C61" s="16"/>
      <c r="D61" s="16"/>
      <c r="E61" s="16"/>
    </row>
    <row r="62" spans="2:5" x14ac:dyDescent="0.2">
      <c r="B62" s="16"/>
      <c r="C62" s="16"/>
      <c r="D62" s="16"/>
      <c r="E62" s="16"/>
    </row>
    <row r="63" spans="2:5" x14ac:dyDescent="0.2">
      <c r="B63" s="16"/>
      <c r="C63" s="16"/>
      <c r="D63" s="16"/>
      <c r="E63" s="16"/>
    </row>
    <row r="64" spans="2:5" x14ac:dyDescent="0.2">
      <c r="B64" s="16"/>
      <c r="C64" s="16"/>
      <c r="D64" s="16"/>
      <c r="E64" s="16"/>
    </row>
    <row r="65" spans="2:5" x14ac:dyDescent="0.2">
      <c r="B65" s="16"/>
      <c r="C65" s="16"/>
      <c r="D65" s="16"/>
      <c r="E65" s="16"/>
    </row>
    <row r="66" spans="2:5" x14ac:dyDescent="0.2">
      <c r="B66" s="16"/>
      <c r="C66" s="16"/>
      <c r="D66" s="16"/>
      <c r="E66" s="16"/>
    </row>
    <row r="67" spans="2:5" x14ac:dyDescent="0.2">
      <c r="B67" s="16"/>
      <c r="C67" s="16"/>
      <c r="D67" s="16"/>
      <c r="E67" s="16"/>
    </row>
    <row r="68" spans="2:5" x14ac:dyDescent="0.2">
      <c r="B68" s="16"/>
      <c r="C68" s="16"/>
      <c r="D68" s="16"/>
      <c r="E68" s="16"/>
    </row>
    <row r="69" spans="2:5" x14ac:dyDescent="0.2">
      <c r="B69" s="16"/>
      <c r="C69" s="16"/>
      <c r="D69" s="16"/>
      <c r="E69" s="16"/>
    </row>
    <row r="70" spans="2:5" x14ac:dyDescent="0.2">
      <c r="B70" s="16"/>
      <c r="C70" s="16"/>
      <c r="D70" s="16"/>
      <c r="E70" s="16"/>
    </row>
    <row r="71" spans="2:5" x14ac:dyDescent="0.2">
      <c r="B71" s="16"/>
      <c r="C71" s="16"/>
      <c r="D71" s="16"/>
      <c r="E71" s="16"/>
    </row>
    <row r="72" spans="2:5" x14ac:dyDescent="0.2">
      <c r="B72" s="16"/>
      <c r="C72" s="16"/>
      <c r="D72" s="16"/>
      <c r="E72" s="16"/>
    </row>
    <row r="73" spans="2:5" x14ac:dyDescent="0.2">
      <c r="B73" s="16"/>
      <c r="C73" s="16"/>
      <c r="D73" s="16"/>
      <c r="E73" s="16"/>
    </row>
    <row r="74" spans="2:5" x14ac:dyDescent="0.2">
      <c r="B74" s="16"/>
      <c r="C74" s="16"/>
      <c r="D74" s="16"/>
      <c r="E74" s="16"/>
    </row>
    <row r="75" spans="2:5" x14ac:dyDescent="0.2">
      <c r="B75" s="16"/>
      <c r="C75" s="16"/>
      <c r="D75" s="16"/>
      <c r="E75" s="16"/>
    </row>
    <row r="76" spans="2:5" x14ac:dyDescent="0.2">
      <c r="B76" s="16"/>
      <c r="C76" s="16"/>
      <c r="D76" s="16"/>
      <c r="E76" s="16"/>
    </row>
    <row r="77" spans="2:5" x14ac:dyDescent="0.2">
      <c r="B77" s="16"/>
      <c r="C77" s="16"/>
      <c r="D77" s="16"/>
      <c r="E77" s="16"/>
    </row>
    <row r="78" spans="2:5" x14ac:dyDescent="0.2">
      <c r="B78" s="16"/>
      <c r="C78" s="16"/>
      <c r="D78" s="16"/>
      <c r="E78" s="16"/>
    </row>
    <row r="79" spans="2:5" x14ac:dyDescent="0.2">
      <c r="B79" s="16"/>
      <c r="C79" s="16"/>
      <c r="D79" s="16"/>
      <c r="E79" s="16"/>
    </row>
    <row r="80" spans="2:5" x14ac:dyDescent="0.2">
      <c r="B80" s="16"/>
      <c r="C80" s="16"/>
      <c r="D80" s="16"/>
      <c r="E80" s="16"/>
    </row>
    <row r="81" spans="2:5" x14ac:dyDescent="0.2">
      <c r="B81" s="16"/>
      <c r="C81" s="16"/>
      <c r="D81" s="16"/>
      <c r="E81" s="16"/>
    </row>
  </sheetData>
  <mergeCells count="1">
    <mergeCell ref="A4:E4"/>
  </mergeCells>
  <phoneticPr fontId="1" type="noConversion"/>
  <printOptions horizontalCentered="1"/>
  <pageMargins left="0.75" right="0.75" top="1" bottom="1" header="0.5" footer="0.5"/>
  <pageSetup orientation="portrait" r:id="rId1"/>
  <headerFooter alignWithMargins="0">
    <oddHeader>&amp;RDocket No. 120015-EI
MFR A-1 Canaveral, Riviera, Port Everglades
Exhibit REB-9, Page 1 of 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Normal="100" workbookViewId="0">
      <selection activeCell="A2" sqref="A2"/>
    </sheetView>
  </sheetViews>
  <sheetFormatPr defaultRowHeight="13.2" x14ac:dyDescent="0.25"/>
  <cols>
    <col min="1" max="1" width="13.44140625" style="1" customWidth="1"/>
    <col min="2" max="2" width="5.6640625" style="2" customWidth="1"/>
    <col min="3" max="3" width="16.6640625" style="7" customWidth="1"/>
    <col min="4" max="4" width="1.6640625" style="2" customWidth="1"/>
    <col min="5" max="5" width="12.6640625" style="3" customWidth="1"/>
    <col min="6" max="6" width="1.6640625" style="2" customWidth="1"/>
  </cols>
  <sheetData>
    <row r="1" spans="1:5" ht="31.8" customHeight="1" x14ac:dyDescent="0.25">
      <c r="A1" s="54" t="s">
        <v>98</v>
      </c>
    </row>
    <row r="4" spans="1:5" ht="55.8" customHeight="1" x14ac:dyDescent="0.25">
      <c r="A4" s="52" t="s">
        <v>41</v>
      </c>
      <c r="B4" s="53"/>
      <c r="C4" s="53"/>
    </row>
    <row r="6" spans="1:5" x14ac:dyDescent="0.25">
      <c r="C6" s="36" t="s">
        <v>40</v>
      </c>
      <c r="E6" s="35"/>
    </row>
    <row r="7" spans="1:5" ht="40.200000000000003" thickBot="1" x14ac:dyDescent="0.3">
      <c r="A7" s="4" t="s">
        <v>38</v>
      </c>
      <c r="C7" s="15" t="s">
        <v>17</v>
      </c>
      <c r="E7" s="2"/>
    </row>
    <row r="10" spans="1:5" x14ac:dyDescent="0.25">
      <c r="A10" s="5" t="s">
        <v>12</v>
      </c>
      <c r="C10" s="6">
        <f>'Riv Page 2'!D46/1000</f>
        <v>1220926.4441936153</v>
      </c>
    </row>
    <row r="11" spans="1:5" x14ac:dyDescent="0.25">
      <c r="A11" s="5"/>
    </row>
    <row r="12" spans="1:5" x14ac:dyDescent="0.25">
      <c r="A12" s="5" t="s">
        <v>11</v>
      </c>
      <c r="C12" s="14">
        <f>'Riv Page 2'!D12</f>
        <v>8.428285920688125E-2</v>
      </c>
      <c r="E12" s="2"/>
    </row>
    <row r="13" spans="1:5" ht="13.8" thickBot="1" x14ac:dyDescent="0.3">
      <c r="A13" s="5"/>
      <c r="E13" s="2"/>
    </row>
    <row r="14" spans="1:5" x14ac:dyDescent="0.25">
      <c r="A14" s="5" t="s">
        <v>13</v>
      </c>
      <c r="C14" s="8">
        <f>C10*C12</f>
        <v>102903.17159792864</v>
      </c>
    </row>
    <row r="15" spans="1:5" x14ac:dyDescent="0.25">
      <c r="A15" s="5"/>
    </row>
    <row r="16" spans="1:5" x14ac:dyDescent="0.25">
      <c r="A16" s="5" t="s">
        <v>14</v>
      </c>
      <c r="C16" s="7">
        <f>C14</f>
        <v>102903.17159792864</v>
      </c>
    </row>
    <row r="17" spans="1:5" x14ac:dyDescent="0.25">
      <c r="A17" s="5"/>
    </row>
    <row r="18" spans="1:5" x14ac:dyDescent="0.25">
      <c r="A18" s="5" t="s">
        <v>0</v>
      </c>
      <c r="C18" s="9">
        <f>'Riv Page 2'!D85/1000</f>
        <v>-40252.673137846345</v>
      </c>
      <c r="E18" s="10"/>
    </row>
    <row r="19" spans="1:5" ht="13.8" thickBot="1" x14ac:dyDescent="0.3">
      <c r="A19" s="5"/>
    </row>
    <row r="20" spans="1:5" x14ac:dyDescent="0.25">
      <c r="A20" s="5" t="s">
        <v>1</v>
      </c>
      <c r="C20" s="8">
        <f>C16-C18</f>
        <v>143155.84473577497</v>
      </c>
    </row>
    <row r="21" spans="1:5" x14ac:dyDescent="0.25">
      <c r="A21" s="5"/>
    </row>
    <row r="22" spans="1:5" x14ac:dyDescent="0.25">
      <c r="A22" s="5" t="s">
        <v>2</v>
      </c>
      <c r="C22" s="11">
        <v>1.63188</v>
      </c>
      <c r="E22" s="12"/>
    </row>
    <row r="23" spans="1:5" ht="13.8" thickBot="1" x14ac:dyDescent="0.3">
      <c r="A23" s="5"/>
    </row>
    <row r="24" spans="1:5" x14ac:dyDescent="0.25">
      <c r="A24" s="5" t="s">
        <v>35</v>
      </c>
      <c r="C24" s="13">
        <f>C20*C22</f>
        <v>233613.15990741644</v>
      </c>
    </row>
  </sheetData>
  <mergeCells count="1">
    <mergeCell ref="A4:C4"/>
  </mergeCells>
  <printOptions horizontalCentered="1"/>
  <pageMargins left="0.75" right="0.75" top="1" bottom="1" header="0.5" footer="0.5"/>
  <pageSetup scale="86" orientation="portrait" r:id="rId1"/>
  <headerFooter alignWithMargins="0">
    <oddHeader>&amp;RDocket No. 120015-EI
MFR A-1 Canaveral, Riviera, Port Everglades
Exhibit REB-9, Page 1 of 6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1"/>
  <sheetViews>
    <sheetView workbookViewId="0">
      <selection activeCell="A2" sqref="A2"/>
    </sheetView>
  </sheetViews>
  <sheetFormatPr defaultColWidth="9.109375" defaultRowHeight="10.199999999999999" x14ac:dyDescent="0.2"/>
  <cols>
    <col min="1" max="1" width="13.44140625" style="27" customWidth="1"/>
    <col min="2" max="5" width="12.6640625" style="33" customWidth="1"/>
    <col min="6" max="6" width="12.6640625" style="34" customWidth="1"/>
    <col min="7" max="8" width="10.6640625" style="27" customWidth="1"/>
    <col min="9" max="16384" width="9.109375" style="27"/>
  </cols>
  <sheetData>
    <row r="1" spans="1:5" ht="31.8" customHeight="1" x14ac:dyDescent="0.2">
      <c r="A1" s="54" t="s">
        <v>99</v>
      </c>
    </row>
    <row r="4" spans="1:5" ht="45" customHeight="1" x14ac:dyDescent="0.25">
      <c r="A4" s="52" t="s">
        <v>41</v>
      </c>
      <c r="B4" s="52"/>
      <c r="C4" s="52"/>
      <c r="D4" s="52"/>
      <c r="E4" s="52"/>
    </row>
    <row r="8" spans="1:5" ht="10.8" thickBot="1" x14ac:dyDescent="0.25">
      <c r="A8" s="30" t="s">
        <v>3</v>
      </c>
      <c r="B8" s="31" t="s">
        <v>7</v>
      </c>
      <c r="C8" s="31" t="s">
        <v>8</v>
      </c>
      <c r="D8" s="31" t="s">
        <v>10</v>
      </c>
      <c r="E8" s="31" t="s">
        <v>9</v>
      </c>
    </row>
    <row r="10" spans="1:5" x14ac:dyDescent="0.2">
      <c r="A10" s="27" t="s">
        <v>4</v>
      </c>
      <c r="B10" s="33">
        <v>0.39030900000000002</v>
      </c>
      <c r="C10" s="17">
        <v>5.1921180928139632E-2</v>
      </c>
      <c r="D10" s="33">
        <f>B10*C10</f>
        <v>2.0265304206881253E-2</v>
      </c>
      <c r="E10" s="33">
        <f>D10</f>
        <v>2.0265304206881253E-2</v>
      </c>
    </row>
    <row r="11" spans="1:5" ht="10.8" thickBot="1" x14ac:dyDescent="0.25">
      <c r="A11" s="27" t="s">
        <v>5</v>
      </c>
      <c r="B11" s="33">
        <f>1-B10</f>
        <v>0.60969099999999998</v>
      </c>
      <c r="C11" s="17">
        <v>0.105</v>
      </c>
      <c r="D11" s="33">
        <f>B11*C11</f>
        <v>6.401755499999999E-2</v>
      </c>
      <c r="E11" s="33">
        <f>D11/(1-B16)</f>
        <v>0.10422068376068375</v>
      </c>
    </row>
    <row r="12" spans="1:5" x14ac:dyDescent="0.2">
      <c r="A12" s="27" t="s">
        <v>6</v>
      </c>
      <c r="B12" s="46">
        <f>SUM(B10:B11)</f>
        <v>1</v>
      </c>
      <c r="D12" s="46">
        <f>SUM(D10:D11)</f>
        <v>8.428285920688125E-2</v>
      </c>
      <c r="E12" s="46">
        <f>SUM(E10:E11)</f>
        <v>0.12448598796756499</v>
      </c>
    </row>
    <row r="15" spans="1:5" ht="10.8" thickBot="1" x14ac:dyDescent="0.25">
      <c r="A15" s="30" t="s">
        <v>82</v>
      </c>
    </row>
    <row r="16" spans="1:5" x14ac:dyDescent="0.2">
      <c r="A16" s="27" t="s">
        <v>81</v>
      </c>
      <c r="B16" s="33">
        <v>0.38574999999999998</v>
      </c>
    </row>
    <row r="17" spans="1:5" x14ac:dyDescent="0.2">
      <c r="A17" s="27" t="s">
        <v>80</v>
      </c>
      <c r="B17" s="33">
        <f>1/25</f>
        <v>0.04</v>
      </c>
    </row>
    <row r="18" spans="1:5" x14ac:dyDescent="0.2">
      <c r="A18" s="27" t="s">
        <v>79</v>
      </c>
      <c r="B18" s="33">
        <f>1/40</f>
        <v>2.5000000000000001E-2</v>
      </c>
    </row>
    <row r="19" spans="1:5" x14ac:dyDescent="0.2">
      <c r="A19" s="27" t="s">
        <v>78</v>
      </c>
      <c r="B19" s="45">
        <f>D12</f>
        <v>8.428285920688125E-2</v>
      </c>
    </row>
    <row r="20" spans="1:5" x14ac:dyDescent="0.2">
      <c r="A20" s="27" t="s">
        <v>77</v>
      </c>
      <c r="B20" s="45">
        <v>0.98140000000000005</v>
      </c>
    </row>
    <row r="21" spans="1:5" x14ac:dyDescent="0.2">
      <c r="A21" s="27" t="s">
        <v>76</v>
      </c>
      <c r="B21" s="45">
        <v>0.89472399999999996</v>
      </c>
    </row>
    <row r="22" spans="1:5" x14ac:dyDescent="0.2">
      <c r="A22" s="27" t="s">
        <v>75</v>
      </c>
      <c r="B22" s="45">
        <v>0.97922399999999998</v>
      </c>
    </row>
    <row r="23" spans="1:5" x14ac:dyDescent="0.2">
      <c r="B23" s="45"/>
    </row>
    <row r="25" spans="1:5" ht="10.8" thickBot="1" x14ac:dyDescent="0.25">
      <c r="A25" s="30" t="s">
        <v>74</v>
      </c>
      <c r="B25" s="44" t="s">
        <v>71</v>
      </c>
      <c r="C25" s="44" t="s">
        <v>70</v>
      </c>
      <c r="D25" s="44" t="s">
        <v>69</v>
      </c>
      <c r="E25" s="44" t="s">
        <v>68</v>
      </c>
    </row>
    <row r="26" spans="1:5" x14ac:dyDescent="0.2">
      <c r="A26" s="27" t="s">
        <v>67</v>
      </c>
      <c r="B26" s="25">
        <v>1116295066</v>
      </c>
      <c r="C26" s="25">
        <f t="shared" ref="C26:E27" si="0">$B26</f>
        <v>1116295066</v>
      </c>
      <c r="D26" s="25">
        <f t="shared" si="0"/>
        <v>1116295066</v>
      </c>
      <c r="E26" s="25">
        <f t="shared" si="0"/>
        <v>1116295066</v>
      </c>
    </row>
    <row r="27" spans="1:5" x14ac:dyDescent="0.2">
      <c r="A27" s="27" t="s">
        <v>66</v>
      </c>
      <c r="B27" s="25">
        <v>159287859</v>
      </c>
      <c r="C27" s="25">
        <f t="shared" si="0"/>
        <v>159287859</v>
      </c>
      <c r="D27" s="25">
        <f t="shared" si="0"/>
        <v>159287859</v>
      </c>
      <c r="E27" s="25">
        <f t="shared" si="0"/>
        <v>159287859</v>
      </c>
    </row>
    <row r="28" spans="1:5" x14ac:dyDescent="0.2">
      <c r="A28" s="27" t="s">
        <v>65</v>
      </c>
      <c r="B28" s="25">
        <v>0</v>
      </c>
      <c r="C28" s="25">
        <f>-C26*$B$17*(7/12)</f>
        <v>-26046884.873333335</v>
      </c>
      <c r="D28" s="25">
        <f>-D26*$B$17*(12/12)</f>
        <v>-44651802.640000001</v>
      </c>
      <c r="E28" s="25">
        <f>-E26*$B$17*(19/12)</f>
        <v>-70698687.513333336</v>
      </c>
    </row>
    <row r="29" spans="1:5" x14ac:dyDescent="0.2">
      <c r="A29" s="27" t="s">
        <v>64</v>
      </c>
      <c r="B29" s="25">
        <v>0</v>
      </c>
      <c r="C29" s="25">
        <f>-C27*$B$18*(7/12)</f>
        <v>-2322947.9437500001</v>
      </c>
      <c r="D29" s="25">
        <f>-D27*$B$18*(12/12)</f>
        <v>-3982196.4750000001</v>
      </c>
      <c r="E29" s="25">
        <f>-E27*$B$18*(19/12)</f>
        <v>-6305144.4187500002</v>
      </c>
    </row>
    <row r="30" spans="1:5" ht="10.8" thickBot="1" x14ac:dyDescent="0.25">
      <c r="A30" s="27" t="s">
        <v>63</v>
      </c>
      <c r="B30" s="25">
        <f>12680494 + 2963200</f>
        <v>15643694</v>
      </c>
      <c r="C30" s="25">
        <v>6196447</v>
      </c>
      <c r="D30" s="25">
        <v>-2109956</v>
      </c>
      <c r="E30" s="25">
        <v>-13738919</v>
      </c>
    </row>
    <row r="31" spans="1:5" x14ac:dyDescent="0.2">
      <c r="A31" s="27" t="s">
        <v>73</v>
      </c>
      <c r="B31" s="37">
        <f>SUM(B26:B30)</f>
        <v>1291226619</v>
      </c>
      <c r="C31" s="37">
        <f>SUM(C26:C30)</f>
        <v>1253409539.1829166</v>
      </c>
      <c r="D31" s="37">
        <f>SUM(D26:D30)</f>
        <v>1224838969.885</v>
      </c>
      <c r="E31" s="37">
        <f>SUM(E26:E30)</f>
        <v>1184840174.0679166</v>
      </c>
    </row>
    <row r="32" spans="1:5" x14ac:dyDescent="0.2">
      <c r="B32" s="29"/>
      <c r="C32" s="29"/>
      <c r="D32" s="29"/>
      <c r="E32" s="29"/>
    </row>
    <row r="33" spans="1:6" x14ac:dyDescent="0.2">
      <c r="B33" s="25"/>
    </row>
    <row r="34" spans="1:6" ht="10.8" thickBot="1" x14ac:dyDescent="0.25">
      <c r="A34" s="30" t="s">
        <v>72</v>
      </c>
      <c r="B34" s="44" t="s">
        <v>71</v>
      </c>
      <c r="C34" s="44" t="s">
        <v>70</v>
      </c>
      <c r="D34" s="44" t="s">
        <v>69</v>
      </c>
      <c r="E34" s="44" t="s">
        <v>68</v>
      </c>
    </row>
    <row r="35" spans="1:6" x14ac:dyDescent="0.2">
      <c r="A35" s="27" t="s">
        <v>67</v>
      </c>
      <c r="B35" s="25">
        <f>B26*$B$20</f>
        <v>1095531977.7724001</v>
      </c>
      <c r="C35" s="25">
        <f>C26*$B$20</f>
        <v>1095531977.7724001</v>
      </c>
      <c r="D35" s="25">
        <f>D26*$B$20</f>
        <v>1095531977.7724001</v>
      </c>
      <c r="E35" s="25">
        <f>E26*$B$20</f>
        <v>1095531977.7724001</v>
      </c>
    </row>
    <row r="36" spans="1:6" x14ac:dyDescent="0.2">
      <c r="A36" s="27" t="s">
        <v>66</v>
      </c>
      <c r="B36" s="25">
        <f>B27*$B$21</f>
        <v>142518670.35591599</v>
      </c>
      <c r="C36" s="25">
        <f>C27*$B$21</f>
        <v>142518670.35591599</v>
      </c>
      <c r="D36" s="25">
        <f>D27*$B$21</f>
        <v>142518670.35591599</v>
      </c>
      <c r="E36" s="25">
        <f>E27*$B$21</f>
        <v>142518670.35591599</v>
      </c>
    </row>
    <row r="37" spans="1:6" x14ac:dyDescent="0.2">
      <c r="A37" s="27" t="s">
        <v>65</v>
      </c>
      <c r="B37" s="25">
        <f>B28*$B$20</f>
        <v>0</v>
      </c>
      <c r="C37" s="25">
        <f>C28*$B$20</f>
        <v>-25562412.814689334</v>
      </c>
      <c r="D37" s="25">
        <f>D28*$B$20</f>
        <v>-43821279.110896006</v>
      </c>
      <c r="E37" s="25">
        <f>E28*$B$20</f>
        <v>-69383691.925585344</v>
      </c>
    </row>
    <row r="38" spans="1:6" x14ac:dyDescent="0.2">
      <c r="A38" s="27" t="s">
        <v>64</v>
      </c>
      <c r="B38" s="25">
        <f>B29*$B$21</f>
        <v>0</v>
      </c>
      <c r="C38" s="25">
        <f>C29*$B$21</f>
        <v>-2078397.2760237751</v>
      </c>
      <c r="D38" s="25">
        <f>D29*$B$21</f>
        <v>-3562966.7588979001</v>
      </c>
      <c r="E38" s="25">
        <f>E29*$B$21</f>
        <v>-5641364.034921675</v>
      </c>
    </row>
    <row r="39" spans="1:6" ht="10.8" thickBot="1" x14ac:dyDescent="0.25">
      <c r="A39" s="27" t="s">
        <v>63</v>
      </c>
      <c r="B39" s="25">
        <f>B30*(SUM(B35:B38)/(SUM(B26:B29)))</f>
        <v>15183399.774515679</v>
      </c>
      <c r="C39" s="25">
        <f>C30*(SUM(C35:C38)/(SUM(C26:C29)))</f>
        <v>6013599.8063902641</v>
      </c>
      <c r="D39" s="25">
        <f>D30*(SUM(D35:D38)/(SUM(D26:D29)))</f>
        <v>-2047561.774123312</v>
      </c>
      <c r="E39" s="25">
        <f>E30*(SUM(E35:E38)/(SUM(E26:E29)))</f>
        <v>-13331380.88102388</v>
      </c>
    </row>
    <row r="40" spans="1:6" x14ac:dyDescent="0.2">
      <c r="A40" s="27" t="s">
        <v>62</v>
      </c>
      <c r="B40" s="37">
        <f>SUM(B35:B39)</f>
        <v>1253234047.9028318</v>
      </c>
      <c r="C40" s="37">
        <f>SUM(C35:C39)</f>
        <v>1216423437.8439932</v>
      </c>
      <c r="D40" s="37">
        <f>SUM(D35:D39)</f>
        <v>1188618840.4843988</v>
      </c>
      <c r="E40" s="37">
        <f>SUM(E35:E39)</f>
        <v>1149694211.2867854</v>
      </c>
    </row>
    <row r="41" spans="1:6" x14ac:dyDescent="0.2">
      <c r="B41" s="25"/>
    </row>
    <row r="42" spans="1:6" x14ac:dyDescent="0.2">
      <c r="B42" s="25"/>
    </row>
    <row r="43" spans="1:6" ht="21" thickBot="1" x14ac:dyDescent="0.25">
      <c r="B43" s="25"/>
      <c r="C43" s="27"/>
      <c r="D43" s="40" t="s">
        <v>48</v>
      </c>
      <c r="E43" s="39" t="s">
        <v>47</v>
      </c>
    </row>
    <row r="44" spans="1:6" x14ac:dyDescent="0.2">
      <c r="A44" s="38" t="s">
        <v>61</v>
      </c>
      <c r="B44" s="25"/>
      <c r="C44" s="27"/>
      <c r="D44" s="25">
        <f>(B31+D31)/2</f>
        <v>1258032794.4425001</v>
      </c>
      <c r="E44" s="25">
        <f>(C31+E31)/2</f>
        <v>1219124856.6254168</v>
      </c>
    </row>
    <row r="45" spans="1:6" x14ac:dyDescent="0.2">
      <c r="A45" s="27" t="s">
        <v>60</v>
      </c>
      <c r="B45" s="25"/>
      <c r="C45" s="27"/>
      <c r="D45" s="43">
        <f>D46/D44</f>
        <v>0.97050446505623211</v>
      </c>
      <c r="E45" s="43">
        <f>E46/E44</f>
        <v>0.97041645745796723</v>
      </c>
    </row>
    <row r="46" spans="1:6" x14ac:dyDescent="0.2">
      <c r="A46" s="38" t="s">
        <v>59</v>
      </c>
      <c r="B46" s="25"/>
      <c r="C46" s="27"/>
      <c r="D46" s="25">
        <f>(B40+D40)/2</f>
        <v>1220926444.1936154</v>
      </c>
      <c r="E46" s="25">
        <f>(C40+E40)/2</f>
        <v>1183058824.5653892</v>
      </c>
      <c r="F46" s="41" t="s">
        <v>25</v>
      </c>
    </row>
    <row r="47" spans="1:6" x14ac:dyDescent="0.2">
      <c r="B47" s="25"/>
    </row>
    <row r="48" spans="1:6" x14ac:dyDescent="0.2">
      <c r="A48" s="38" t="s">
        <v>58</v>
      </c>
      <c r="B48" s="25"/>
      <c r="C48" s="25" t="s">
        <v>40</v>
      </c>
      <c r="D48" s="25">
        <f>D46*$D$10</f>
        <v>24742445.805809446</v>
      </c>
      <c r="E48" s="25">
        <f>E46*$D$10</f>
        <v>23975046.974452972</v>
      </c>
    </row>
    <row r="49" spans="1:7" x14ac:dyDescent="0.2">
      <c r="A49" s="38" t="s">
        <v>44</v>
      </c>
      <c r="B49" s="25"/>
      <c r="C49" s="25" t="s">
        <v>40</v>
      </c>
      <c r="D49" s="25">
        <f>-D48*$B$16</f>
        <v>-9544398.4695909936</v>
      </c>
      <c r="E49" s="25">
        <f>-E48*$B$16</f>
        <v>-9248374.3703952339</v>
      </c>
    </row>
    <row r="50" spans="1:7" x14ac:dyDescent="0.2">
      <c r="B50" s="25"/>
    </row>
    <row r="51" spans="1:7" x14ac:dyDescent="0.2">
      <c r="B51" s="25"/>
    </row>
    <row r="52" spans="1:7" ht="21" thickBot="1" x14ac:dyDescent="0.25">
      <c r="A52" s="30" t="s">
        <v>46</v>
      </c>
      <c r="B52" s="25"/>
      <c r="C52" s="27"/>
      <c r="D52" s="40" t="s">
        <v>48</v>
      </c>
      <c r="E52" s="39" t="s">
        <v>47</v>
      </c>
    </row>
    <row r="53" spans="1:7" x14ac:dyDescent="0.2">
      <c r="A53" s="42" t="s">
        <v>26</v>
      </c>
      <c r="B53" s="25"/>
      <c r="C53" s="27"/>
      <c r="D53" s="25">
        <v>7237474</v>
      </c>
      <c r="E53" s="25">
        <v>7237474</v>
      </c>
    </row>
    <row r="54" spans="1:7" x14ac:dyDescent="0.2">
      <c r="A54" s="42" t="s">
        <v>27</v>
      </c>
      <c r="B54" s="25"/>
      <c r="C54" s="27"/>
      <c r="D54" s="25">
        <v>1078479</v>
      </c>
      <c r="E54" s="25">
        <v>1078479</v>
      </c>
      <c r="G54" s="25"/>
    </row>
    <row r="55" spans="1:7" hidden="1" x14ac:dyDescent="0.2">
      <c r="A55" s="42" t="s">
        <v>56</v>
      </c>
      <c r="B55" s="25"/>
      <c r="C55" s="27"/>
      <c r="D55" s="25">
        <v>0</v>
      </c>
      <c r="E55" s="25">
        <v>0</v>
      </c>
    </row>
    <row r="56" spans="1:7" x14ac:dyDescent="0.2">
      <c r="A56" s="42" t="s">
        <v>28</v>
      </c>
      <c r="B56" s="25"/>
      <c r="C56" s="27"/>
      <c r="D56" s="25">
        <f>397210 + 56680 + E56*(5/12)</f>
        <v>787023.33333333337</v>
      </c>
      <c r="E56" s="25">
        <f>699680 + 99840</f>
        <v>799520</v>
      </c>
    </row>
    <row r="57" spans="1:7" x14ac:dyDescent="0.2">
      <c r="A57" s="27" t="s">
        <v>55</v>
      </c>
      <c r="B57" s="25"/>
      <c r="C57" s="27"/>
      <c r="D57" s="25">
        <f>$B$26*$B$17*(12/12)</f>
        <v>44651802.640000001</v>
      </c>
      <c r="E57" s="25">
        <f>$B$26*$B$17*(12/12)</f>
        <v>44651802.640000001</v>
      </c>
    </row>
    <row r="58" spans="1:7" x14ac:dyDescent="0.2">
      <c r="A58" s="27" t="s">
        <v>54</v>
      </c>
      <c r="B58" s="25"/>
      <c r="C58" s="27"/>
      <c r="D58" s="25">
        <f xml:space="preserve"> $B$27*$B$18*(12/12)</f>
        <v>3982196.4750000001</v>
      </c>
      <c r="E58" s="25">
        <f xml:space="preserve"> $B$27*$B$18*(12/12)</f>
        <v>3982196.4750000001</v>
      </c>
    </row>
    <row r="59" spans="1:7" ht="10.8" thickBot="1" x14ac:dyDescent="0.25">
      <c r="A59" s="27" t="s">
        <v>53</v>
      </c>
      <c r="B59" s="25"/>
      <c r="C59" s="27"/>
      <c r="D59" s="25">
        <v>23576735</v>
      </c>
      <c r="E59" s="25">
        <v>22748803</v>
      </c>
    </row>
    <row r="60" spans="1:7" x14ac:dyDescent="0.2">
      <c r="A60" s="27" t="s">
        <v>57</v>
      </c>
      <c r="B60" s="25"/>
      <c r="C60" s="27"/>
      <c r="D60" s="37">
        <f>SUM(D53:D59)</f>
        <v>81313710.448333338</v>
      </c>
      <c r="E60" s="37">
        <f>SUM(E53:E59)</f>
        <v>80498275.11500001</v>
      </c>
    </row>
    <row r="61" spans="1:7" x14ac:dyDescent="0.2">
      <c r="B61" s="25"/>
      <c r="C61" s="27"/>
    </row>
    <row r="62" spans="1:7" x14ac:dyDescent="0.2">
      <c r="B62" s="25"/>
      <c r="C62" s="27"/>
    </row>
    <row r="63" spans="1:7" ht="21" thickBot="1" x14ac:dyDescent="0.25">
      <c r="A63" s="30" t="s">
        <v>51</v>
      </c>
      <c r="B63" s="25"/>
      <c r="C63" s="27"/>
      <c r="D63" s="40" t="s">
        <v>48</v>
      </c>
      <c r="E63" s="39" t="s">
        <v>47</v>
      </c>
    </row>
    <row r="64" spans="1:7" x14ac:dyDescent="0.2">
      <c r="A64" s="42" t="s">
        <v>26</v>
      </c>
      <c r="B64" s="25"/>
      <c r="C64" s="27"/>
      <c r="D64" s="25">
        <f t="shared" ref="D64:E66" si="1">D53*$B$20</f>
        <v>7102856.9835999999</v>
      </c>
      <c r="E64" s="25">
        <f t="shared" si="1"/>
        <v>7102856.9835999999</v>
      </c>
      <c r="F64" s="41" t="s">
        <v>26</v>
      </c>
    </row>
    <row r="65" spans="1:8" x14ac:dyDescent="0.2">
      <c r="A65" s="42" t="s">
        <v>27</v>
      </c>
      <c r="B65" s="25"/>
      <c r="C65" s="27"/>
      <c r="D65" s="25">
        <f t="shared" si="1"/>
        <v>1058419.2905999999</v>
      </c>
      <c r="E65" s="25">
        <f t="shared" si="1"/>
        <v>1058419.2905999999</v>
      </c>
      <c r="F65" s="41" t="s">
        <v>27</v>
      </c>
    </row>
    <row r="66" spans="1:8" hidden="1" x14ac:dyDescent="0.2">
      <c r="A66" s="42" t="s">
        <v>56</v>
      </c>
      <c r="B66" s="25"/>
      <c r="C66" s="27"/>
      <c r="D66" s="25">
        <f t="shared" si="1"/>
        <v>0</v>
      </c>
      <c r="E66" s="25">
        <f t="shared" si="1"/>
        <v>0</v>
      </c>
      <c r="H66" s="25"/>
    </row>
    <row r="67" spans="1:8" x14ac:dyDescent="0.2">
      <c r="A67" s="42" t="s">
        <v>28</v>
      </c>
      <c r="B67" s="25"/>
      <c r="C67" s="27"/>
      <c r="D67" s="25">
        <f>D56*$B$22</f>
        <v>770672.13656000001</v>
      </c>
      <c r="E67" s="25">
        <f>E56*$B$22</f>
        <v>782909.17247999995</v>
      </c>
      <c r="F67" s="41" t="s">
        <v>25</v>
      </c>
    </row>
    <row r="68" spans="1:8" x14ac:dyDescent="0.2">
      <c r="A68" s="27" t="s">
        <v>55</v>
      </c>
      <c r="B68" s="25"/>
      <c r="C68" s="27"/>
      <c r="D68" s="25">
        <f>D57*$B$20</f>
        <v>43821279.110896006</v>
      </c>
      <c r="E68" s="25">
        <f>E57*$B$20</f>
        <v>43821279.110896006</v>
      </c>
      <c r="F68" s="41" t="s">
        <v>25</v>
      </c>
    </row>
    <row r="69" spans="1:8" x14ac:dyDescent="0.2">
      <c r="A69" s="27" t="s">
        <v>54</v>
      </c>
      <c r="B69" s="25"/>
      <c r="C69" s="27"/>
      <c r="D69" s="25">
        <f>D58*$B$21</f>
        <v>3562966.7588979001</v>
      </c>
      <c r="E69" s="25">
        <f>E58*$B$21</f>
        <v>3562966.7588979001</v>
      </c>
      <c r="F69" s="41" t="s">
        <v>25</v>
      </c>
    </row>
    <row r="70" spans="1:8" ht="10.8" thickBot="1" x14ac:dyDescent="0.25">
      <c r="A70" s="27" t="s">
        <v>53</v>
      </c>
      <c r="B70" s="25"/>
      <c r="C70" s="27"/>
      <c r="D70" s="25">
        <f>D59*D45</f>
        <v>22881326.588947546</v>
      </c>
      <c r="E70" s="25">
        <f>E59*E45</f>
        <v>22075812.818669178</v>
      </c>
      <c r="F70" s="41" t="s">
        <v>25</v>
      </c>
    </row>
    <row r="71" spans="1:8" x14ac:dyDescent="0.2">
      <c r="A71" s="27" t="s">
        <v>52</v>
      </c>
      <c r="B71" s="25"/>
      <c r="C71" s="27"/>
      <c r="D71" s="37">
        <f>SUM(D64:D70)</f>
        <v>79197520.869501457</v>
      </c>
      <c r="E71" s="37">
        <f>SUM(E64:E70)</f>
        <v>78404244.135143086</v>
      </c>
    </row>
    <row r="72" spans="1:8" x14ac:dyDescent="0.2">
      <c r="B72" s="25"/>
      <c r="C72" s="27"/>
    </row>
    <row r="73" spans="1:8" x14ac:dyDescent="0.2">
      <c r="A73" s="38" t="s">
        <v>51</v>
      </c>
      <c r="B73" s="25"/>
      <c r="C73" s="27"/>
      <c r="D73" s="25">
        <f>D71</f>
        <v>79197520.869501457</v>
      </c>
      <c r="E73" s="25">
        <f>E71</f>
        <v>78404244.135143086</v>
      </c>
    </row>
    <row r="74" spans="1:8" x14ac:dyDescent="0.2">
      <c r="A74" s="38" t="s">
        <v>45</v>
      </c>
      <c r="B74" s="25"/>
      <c r="C74" s="27"/>
      <c r="D74" s="25">
        <f>-D73*$B$16</f>
        <v>-30550443.675410185</v>
      </c>
      <c r="E74" s="25">
        <f>-E73*$B$16</f>
        <v>-30244437.175131444</v>
      </c>
    </row>
    <row r="75" spans="1:8" x14ac:dyDescent="0.2">
      <c r="B75" s="25"/>
      <c r="C75" s="27"/>
    </row>
    <row r="76" spans="1:8" x14ac:dyDescent="0.2">
      <c r="A76" s="38" t="s">
        <v>43</v>
      </c>
      <c r="B76" s="25"/>
      <c r="C76" s="27"/>
      <c r="D76" s="25">
        <v>-1184945</v>
      </c>
      <c r="E76" s="25">
        <v>-1184945</v>
      </c>
      <c r="H76" s="25"/>
    </row>
    <row r="77" spans="1:8" x14ac:dyDescent="0.2">
      <c r="A77" s="38" t="s">
        <v>50</v>
      </c>
      <c r="B77" s="25"/>
      <c r="C77" s="27"/>
      <c r="D77" s="25">
        <f>D76*D45</f>
        <v>-1149994.4133460571</v>
      </c>
      <c r="E77" s="25">
        <f>E76*E45</f>
        <v>-1149890.129182531</v>
      </c>
    </row>
    <row r="78" spans="1:8" x14ac:dyDescent="0.2">
      <c r="A78" s="38"/>
      <c r="B78" s="25"/>
      <c r="C78" s="27"/>
      <c r="D78" s="25"/>
      <c r="E78" s="25"/>
    </row>
    <row r="79" spans="1:8" x14ac:dyDescent="0.2">
      <c r="B79" s="25"/>
      <c r="C79" s="27"/>
    </row>
    <row r="80" spans="1:8" ht="21" thickBot="1" x14ac:dyDescent="0.25">
      <c r="A80" s="30" t="s">
        <v>49</v>
      </c>
      <c r="B80" s="25"/>
      <c r="C80" s="27"/>
      <c r="D80" s="40" t="s">
        <v>48</v>
      </c>
      <c r="E80" s="39" t="s">
        <v>47</v>
      </c>
    </row>
    <row r="81" spans="1:5" x14ac:dyDescent="0.2">
      <c r="A81" s="27" t="s">
        <v>46</v>
      </c>
      <c r="B81" s="25"/>
      <c r="C81" s="27"/>
      <c r="D81" s="25">
        <f>-D73</f>
        <v>-79197520.869501457</v>
      </c>
      <c r="E81" s="25">
        <f>-E73</f>
        <v>-78404244.135143086</v>
      </c>
    </row>
    <row r="82" spans="1:5" x14ac:dyDescent="0.2">
      <c r="A82" s="27" t="s">
        <v>45</v>
      </c>
      <c r="B82" s="25"/>
      <c r="C82" s="27"/>
      <c r="D82" s="25">
        <f>-D74</f>
        <v>30550443.675410185</v>
      </c>
      <c r="E82" s="25">
        <f>-E74</f>
        <v>30244437.175131444</v>
      </c>
    </row>
    <row r="83" spans="1:5" x14ac:dyDescent="0.2">
      <c r="A83" s="27" t="s">
        <v>44</v>
      </c>
      <c r="B83" s="25"/>
      <c r="C83" s="27"/>
      <c r="D83" s="25">
        <f>-D49</f>
        <v>9544398.4695909936</v>
      </c>
      <c r="E83" s="25">
        <f>-E49</f>
        <v>9248374.3703952339</v>
      </c>
    </row>
    <row r="84" spans="1:5" ht="10.8" thickBot="1" x14ac:dyDescent="0.25">
      <c r="A84" s="27" t="s">
        <v>43</v>
      </c>
      <c r="B84" s="25"/>
      <c r="C84" s="27"/>
      <c r="D84" s="25">
        <f>D77</f>
        <v>-1149994.4133460571</v>
      </c>
      <c r="E84" s="25">
        <f>E77</f>
        <v>-1149890.129182531</v>
      </c>
    </row>
    <row r="85" spans="1:5" x14ac:dyDescent="0.2">
      <c r="A85" s="38" t="s">
        <v>42</v>
      </c>
      <c r="B85" s="25"/>
      <c r="C85" s="27"/>
      <c r="D85" s="37">
        <f>SUM(D81:D84)</f>
        <v>-40252673.137846343</v>
      </c>
      <c r="E85" s="37">
        <f>SUM(E81:E84)</f>
        <v>-40061322.718798943</v>
      </c>
    </row>
    <row r="86" spans="1:5" x14ac:dyDescent="0.2">
      <c r="B86" s="25"/>
    </row>
    <row r="87" spans="1:5" x14ac:dyDescent="0.2">
      <c r="B87" s="27"/>
      <c r="C87" s="27"/>
      <c r="D87" s="27"/>
      <c r="E87" s="27"/>
    </row>
    <row r="88" spans="1:5" x14ac:dyDescent="0.2">
      <c r="B88" s="27"/>
      <c r="C88" s="27"/>
      <c r="D88" s="27"/>
      <c r="E88" s="27"/>
    </row>
    <row r="89" spans="1:5" x14ac:dyDescent="0.2">
      <c r="B89" s="27"/>
      <c r="C89" s="27"/>
      <c r="D89" s="27"/>
      <c r="E89" s="27"/>
    </row>
    <row r="90" spans="1:5" x14ac:dyDescent="0.2">
      <c r="B90" s="27"/>
      <c r="C90" s="27"/>
      <c r="D90" s="27"/>
      <c r="E90" s="27"/>
    </row>
    <row r="91" spans="1:5" x14ac:dyDescent="0.2">
      <c r="B91" s="27"/>
      <c r="C91" s="27"/>
      <c r="D91" s="27"/>
      <c r="E91" s="27"/>
    </row>
    <row r="92" spans="1:5" x14ac:dyDescent="0.2">
      <c r="B92" s="27"/>
      <c r="C92" s="27"/>
      <c r="D92" s="27"/>
      <c r="E92" s="27"/>
    </row>
    <row r="93" spans="1:5" x14ac:dyDescent="0.2">
      <c r="B93" s="27"/>
      <c r="C93" s="27"/>
      <c r="D93" s="27"/>
      <c r="E93" s="27"/>
    </row>
    <row r="94" spans="1:5" x14ac:dyDescent="0.2">
      <c r="B94" s="27"/>
      <c r="C94" s="27"/>
      <c r="D94" s="27"/>
      <c r="E94" s="27"/>
    </row>
    <row r="95" spans="1:5" x14ac:dyDescent="0.2">
      <c r="B95" s="27"/>
      <c r="C95" s="27"/>
      <c r="D95" s="27"/>
      <c r="E95" s="27"/>
    </row>
    <row r="96" spans="1:5" x14ac:dyDescent="0.2">
      <c r="B96" s="27"/>
      <c r="C96" s="27"/>
      <c r="D96" s="27"/>
      <c r="E96" s="27"/>
    </row>
    <row r="97" spans="2:5" x14ac:dyDescent="0.2">
      <c r="B97" s="27"/>
      <c r="C97" s="27"/>
      <c r="D97" s="27"/>
      <c r="E97" s="27"/>
    </row>
    <row r="98" spans="2:5" x14ac:dyDescent="0.2">
      <c r="B98" s="27"/>
      <c r="C98" s="27"/>
      <c r="D98" s="27"/>
      <c r="E98" s="27"/>
    </row>
    <row r="99" spans="2:5" x14ac:dyDescent="0.2">
      <c r="B99" s="27"/>
      <c r="C99" s="27"/>
      <c r="D99" s="27"/>
      <c r="E99" s="27"/>
    </row>
    <row r="100" spans="2:5" x14ac:dyDescent="0.2">
      <c r="B100" s="27"/>
      <c r="C100" s="27"/>
      <c r="D100" s="27"/>
      <c r="E100" s="27"/>
    </row>
    <row r="101" spans="2:5" x14ac:dyDescent="0.2">
      <c r="B101" s="27"/>
      <c r="C101" s="27"/>
      <c r="D101" s="27"/>
      <c r="E101" s="27"/>
    </row>
    <row r="102" spans="2:5" x14ac:dyDescent="0.2">
      <c r="B102" s="27"/>
      <c r="C102" s="27"/>
      <c r="D102" s="27"/>
      <c r="E102" s="27"/>
    </row>
    <row r="103" spans="2:5" x14ac:dyDescent="0.2">
      <c r="B103" s="27"/>
      <c r="C103" s="27"/>
      <c r="D103" s="27"/>
      <c r="E103" s="27"/>
    </row>
    <row r="104" spans="2:5" x14ac:dyDescent="0.2">
      <c r="B104" s="27"/>
      <c r="C104" s="27"/>
      <c r="D104" s="27"/>
      <c r="E104" s="27"/>
    </row>
    <row r="105" spans="2:5" x14ac:dyDescent="0.2">
      <c r="B105" s="27"/>
      <c r="C105" s="27"/>
      <c r="D105" s="27"/>
      <c r="E105" s="27"/>
    </row>
    <row r="106" spans="2:5" x14ac:dyDescent="0.2">
      <c r="B106" s="27"/>
      <c r="C106" s="27"/>
      <c r="D106" s="27"/>
      <c r="E106" s="27"/>
    </row>
    <row r="107" spans="2:5" x14ac:dyDescent="0.2">
      <c r="B107" s="27"/>
      <c r="C107" s="27"/>
      <c r="D107" s="27"/>
      <c r="E107" s="27"/>
    </row>
    <row r="108" spans="2:5" x14ac:dyDescent="0.2">
      <c r="B108" s="27"/>
      <c r="C108" s="27"/>
      <c r="D108" s="27"/>
      <c r="E108" s="27"/>
    </row>
    <row r="109" spans="2:5" x14ac:dyDescent="0.2">
      <c r="B109" s="27"/>
      <c r="C109" s="27"/>
      <c r="D109" s="27"/>
      <c r="E109" s="27"/>
    </row>
    <row r="110" spans="2:5" x14ac:dyDescent="0.2">
      <c r="B110" s="27"/>
      <c r="C110" s="27"/>
      <c r="D110" s="27"/>
      <c r="E110" s="27"/>
    </row>
    <row r="111" spans="2:5" x14ac:dyDescent="0.2">
      <c r="B111" s="27"/>
      <c r="C111" s="27"/>
      <c r="D111" s="27"/>
      <c r="E111" s="27"/>
    </row>
    <row r="112" spans="2:5" x14ac:dyDescent="0.2">
      <c r="B112" s="27"/>
      <c r="C112" s="27"/>
      <c r="D112" s="27"/>
      <c r="E112" s="27"/>
    </row>
    <row r="113" spans="2:5" x14ac:dyDescent="0.2">
      <c r="B113" s="27"/>
      <c r="C113" s="27"/>
      <c r="D113" s="27"/>
      <c r="E113" s="27"/>
    </row>
    <row r="114" spans="2:5" x14ac:dyDescent="0.2">
      <c r="B114" s="27"/>
      <c r="C114" s="27"/>
      <c r="D114" s="27"/>
      <c r="E114" s="27"/>
    </row>
    <row r="115" spans="2:5" x14ac:dyDescent="0.2">
      <c r="B115" s="27"/>
      <c r="C115" s="27"/>
      <c r="D115" s="27"/>
      <c r="E115" s="27"/>
    </row>
    <row r="116" spans="2:5" x14ac:dyDescent="0.2">
      <c r="B116" s="27"/>
      <c r="C116" s="27"/>
      <c r="D116" s="27"/>
      <c r="E116" s="27"/>
    </row>
    <row r="117" spans="2:5" x14ac:dyDescent="0.2">
      <c r="B117" s="27"/>
      <c r="C117" s="27"/>
      <c r="D117" s="27"/>
      <c r="E117" s="27"/>
    </row>
    <row r="118" spans="2:5" x14ac:dyDescent="0.2">
      <c r="B118" s="27"/>
      <c r="C118" s="27"/>
      <c r="D118" s="27"/>
      <c r="E118" s="27"/>
    </row>
    <row r="119" spans="2:5" x14ac:dyDescent="0.2">
      <c r="B119" s="27"/>
      <c r="C119" s="27"/>
      <c r="D119" s="27"/>
      <c r="E119" s="27"/>
    </row>
    <row r="120" spans="2:5" x14ac:dyDescent="0.2">
      <c r="B120" s="27"/>
      <c r="C120" s="27"/>
      <c r="D120" s="27"/>
      <c r="E120" s="27"/>
    </row>
    <row r="121" spans="2:5" x14ac:dyDescent="0.2">
      <c r="B121" s="27"/>
      <c r="C121" s="27"/>
      <c r="D121" s="27"/>
      <c r="E121" s="27"/>
    </row>
    <row r="122" spans="2:5" x14ac:dyDescent="0.2">
      <c r="B122" s="27"/>
      <c r="C122" s="27"/>
      <c r="D122" s="27"/>
      <c r="E122" s="27"/>
    </row>
    <row r="123" spans="2:5" x14ac:dyDescent="0.2">
      <c r="B123" s="27"/>
      <c r="C123" s="27"/>
      <c r="D123" s="27"/>
      <c r="E123" s="27"/>
    </row>
    <row r="124" spans="2:5" x14ac:dyDescent="0.2">
      <c r="B124" s="27"/>
      <c r="C124" s="27"/>
      <c r="D124" s="27"/>
      <c r="E124" s="27"/>
    </row>
    <row r="125" spans="2:5" x14ac:dyDescent="0.2">
      <c r="B125" s="27"/>
      <c r="C125" s="27"/>
      <c r="D125" s="27"/>
      <c r="E125" s="27"/>
    </row>
    <row r="126" spans="2:5" x14ac:dyDescent="0.2">
      <c r="B126" s="27"/>
      <c r="C126" s="27"/>
      <c r="D126" s="27"/>
      <c r="E126" s="27"/>
    </row>
    <row r="127" spans="2:5" x14ac:dyDescent="0.2">
      <c r="B127" s="27"/>
      <c r="C127" s="27"/>
      <c r="D127" s="27"/>
      <c r="E127" s="27"/>
    </row>
    <row r="128" spans="2:5" x14ac:dyDescent="0.2">
      <c r="B128" s="27"/>
      <c r="C128" s="27"/>
      <c r="D128" s="27"/>
      <c r="E128" s="27"/>
    </row>
    <row r="129" spans="2:5" x14ac:dyDescent="0.2">
      <c r="B129" s="27"/>
      <c r="C129" s="27"/>
      <c r="D129" s="27"/>
      <c r="E129" s="27"/>
    </row>
    <row r="130" spans="2:5" x14ac:dyDescent="0.2">
      <c r="B130" s="27"/>
      <c r="C130" s="27"/>
      <c r="D130" s="27"/>
      <c r="E130" s="27"/>
    </row>
    <row r="131" spans="2:5" x14ac:dyDescent="0.2">
      <c r="B131" s="27"/>
      <c r="C131" s="27"/>
      <c r="D131" s="27"/>
      <c r="E131" s="27"/>
    </row>
    <row r="132" spans="2:5" x14ac:dyDescent="0.2">
      <c r="B132" s="27"/>
      <c r="C132" s="27"/>
      <c r="D132" s="27"/>
      <c r="E132" s="27"/>
    </row>
    <row r="133" spans="2:5" x14ac:dyDescent="0.2">
      <c r="B133" s="27"/>
      <c r="C133" s="27"/>
      <c r="D133" s="27"/>
      <c r="E133" s="27"/>
    </row>
    <row r="134" spans="2:5" x14ac:dyDescent="0.2">
      <c r="B134" s="27"/>
      <c r="C134" s="27"/>
      <c r="D134" s="27"/>
      <c r="E134" s="27"/>
    </row>
    <row r="135" spans="2:5" x14ac:dyDescent="0.2">
      <c r="B135" s="27"/>
      <c r="C135" s="27"/>
      <c r="D135" s="27"/>
      <c r="E135" s="27"/>
    </row>
    <row r="136" spans="2:5" x14ac:dyDescent="0.2">
      <c r="B136" s="27"/>
      <c r="C136" s="27"/>
      <c r="D136" s="27"/>
      <c r="E136" s="27"/>
    </row>
    <row r="137" spans="2:5" x14ac:dyDescent="0.2">
      <c r="B137" s="27"/>
      <c r="C137" s="27"/>
      <c r="D137" s="27"/>
      <c r="E137" s="27"/>
    </row>
    <row r="138" spans="2:5" x14ac:dyDescent="0.2">
      <c r="B138" s="27"/>
      <c r="C138" s="27"/>
      <c r="D138" s="27"/>
      <c r="E138" s="27"/>
    </row>
    <row r="139" spans="2:5" x14ac:dyDescent="0.2">
      <c r="B139" s="27"/>
      <c r="C139" s="27"/>
      <c r="D139" s="27"/>
      <c r="E139" s="27"/>
    </row>
    <row r="140" spans="2:5" x14ac:dyDescent="0.2">
      <c r="B140" s="27"/>
      <c r="C140" s="27"/>
      <c r="D140" s="27"/>
      <c r="E140" s="27"/>
    </row>
    <row r="141" spans="2:5" x14ac:dyDescent="0.2">
      <c r="B141" s="27"/>
      <c r="C141" s="27"/>
      <c r="D141" s="27"/>
      <c r="E141" s="27"/>
    </row>
    <row r="142" spans="2:5" x14ac:dyDescent="0.2">
      <c r="B142" s="27"/>
      <c r="C142" s="27"/>
      <c r="D142" s="27"/>
      <c r="E142" s="27"/>
    </row>
    <row r="143" spans="2:5" x14ac:dyDescent="0.2">
      <c r="B143" s="27"/>
      <c r="C143" s="27"/>
      <c r="D143" s="27"/>
      <c r="E143" s="27"/>
    </row>
    <row r="144" spans="2:5" x14ac:dyDescent="0.2">
      <c r="B144" s="27"/>
      <c r="C144" s="27"/>
      <c r="D144" s="27"/>
      <c r="E144" s="27"/>
    </row>
    <row r="145" spans="2:5" x14ac:dyDescent="0.2">
      <c r="B145" s="27"/>
      <c r="C145" s="27"/>
      <c r="D145" s="27"/>
      <c r="E145" s="27"/>
    </row>
    <row r="146" spans="2:5" x14ac:dyDescent="0.2">
      <c r="B146" s="27"/>
      <c r="C146" s="27"/>
      <c r="D146" s="27"/>
      <c r="E146" s="27"/>
    </row>
    <row r="147" spans="2:5" x14ac:dyDescent="0.2">
      <c r="B147" s="27"/>
      <c r="C147" s="27"/>
      <c r="D147" s="27"/>
      <c r="E147" s="27"/>
    </row>
    <row r="148" spans="2:5" x14ac:dyDescent="0.2">
      <c r="B148" s="27"/>
      <c r="C148" s="27"/>
      <c r="D148" s="27"/>
      <c r="E148" s="27"/>
    </row>
    <row r="149" spans="2:5" x14ac:dyDescent="0.2">
      <c r="B149" s="27"/>
      <c r="C149" s="27"/>
      <c r="D149" s="27"/>
      <c r="E149" s="27"/>
    </row>
    <row r="150" spans="2:5" x14ac:dyDescent="0.2">
      <c r="B150" s="27"/>
      <c r="C150" s="27"/>
      <c r="D150" s="27"/>
      <c r="E150" s="27"/>
    </row>
    <row r="151" spans="2:5" x14ac:dyDescent="0.2">
      <c r="B151" s="27"/>
      <c r="C151" s="27"/>
      <c r="D151" s="27"/>
      <c r="E151" s="27"/>
    </row>
  </sheetData>
  <mergeCells count="1">
    <mergeCell ref="A4:E4"/>
  </mergeCells>
  <printOptions horizontalCentered="1"/>
  <pageMargins left="0.75" right="0.75" top="1" bottom="1" header="0.5" footer="0.5"/>
  <pageSetup scale="65" orientation="portrait" r:id="rId1"/>
  <headerFooter alignWithMargins="0">
    <oddHeader>&amp;RDocket No. 120015-EI
MFR A-1 Canaveral, Riviera, Port Everglades
Exhibit REB-9, Page 1 of 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Normal="100" workbookViewId="0">
      <selection activeCell="A2" sqref="A2"/>
    </sheetView>
  </sheetViews>
  <sheetFormatPr defaultRowHeight="13.2" x14ac:dyDescent="0.25"/>
  <cols>
    <col min="1" max="1" width="13.44140625" style="1" customWidth="1"/>
    <col min="2" max="2" width="5.6640625" style="2" customWidth="1"/>
    <col min="3" max="3" width="16.6640625" style="7" customWidth="1"/>
    <col min="4" max="4" width="1.6640625" style="2" customWidth="1"/>
    <col min="5" max="5" width="12.6640625" style="3" customWidth="1"/>
    <col min="6" max="6" width="1.6640625" style="2" customWidth="1"/>
  </cols>
  <sheetData>
    <row r="1" spans="1:5" ht="31.8" customHeight="1" x14ac:dyDescent="0.25">
      <c r="A1" s="54" t="s">
        <v>100</v>
      </c>
    </row>
    <row r="4" spans="1:5" ht="71.400000000000006" customHeight="1" x14ac:dyDescent="0.25">
      <c r="A4" s="52" t="s">
        <v>83</v>
      </c>
      <c r="B4" s="53"/>
      <c r="C4" s="53"/>
    </row>
    <row r="6" spans="1:5" x14ac:dyDescent="0.25">
      <c r="C6" s="36" t="s">
        <v>40</v>
      </c>
      <c r="E6" s="35"/>
    </row>
    <row r="7" spans="1:5" ht="40.200000000000003" thickBot="1" x14ac:dyDescent="0.3">
      <c r="A7" s="4" t="s">
        <v>38</v>
      </c>
      <c r="C7" s="15" t="s">
        <v>17</v>
      </c>
      <c r="E7" s="2"/>
    </row>
    <row r="10" spans="1:5" x14ac:dyDescent="0.25">
      <c r="A10" s="5" t="s">
        <v>12</v>
      </c>
      <c r="C10" s="6">
        <f>'PE Page 2'!D46/1000</f>
        <v>1144823.6709884363</v>
      </c>
    </row>
    <row r="11" spans="1:5" x14ac:dyDescent="0.25">
      <c r="A11" s="5"/>
    </row>
    <row r="12" spans="1:5" x14ac:dyDescent="0.25">
      <c r="A12" s="5" t="s">
        <v>11</v>
      </c>
      <c r="C12" s="14">
        <f>'PE Page 2'!D12</f>
        <v>8.428285920688125E-2</v>
      </c>
      <c r="E12" s="2"/>
    </row>
    <row r="13" spans="1:5" ht="13.8" thickBot="1" x14ac:dyDescent="0.3">
      <c r="A13" s="5"/>
      <c r="E13" s="2"/>
    </row>
    <row r="14" spans="1:5" x14ac:dyDescent="0.25">
      <c r="A14" s="5" t="s">
        <v>13</v>
      </c>
      <c r="C14" s="8">
        <f>C10*C12</f>
        <v>96489.012278623326</v>
      </c>
    </row>
    <row r="15" spans="1:5" x14ac:dyDescent="0.25">
      <c r="A15" s="5"/>
    </row>
    <row r="16" spans="1:5" x14ac:dyDescent="0.25">
      <c r="A16" s="5" t="s">
        <v>14</v>
      </c>
      <c r="C16" s="7">
        <f>C14</f>
        <v>96489.012278623326</v>
      </c>
    </row>
    <row r="17" spans="1:5" x14ac:dyDescent="0.25">
      <c r="A17" s="5"/>
    </row>
    <row r="18" spans="1:5" x14ac:dyDescent="0.25">
      <c r="A18" s="5" t="s">
        <v>0</v>
      </c>
      <c r="C18" s="9">
        <f>'PE Page 2'!D85/1000</f>
        <v>-35618.472299919587</v>
      </c>
      <c r="E18" s="10"/>
    </row>
    <row r="19" spans="1:5" ht="13.8" thickBot="1" x14ac:dyDescent="0.3">
      <c r="A19" s="5"/>
    </row>
    <row r="20" spans="1:5" x14ac:dyDescent="0.25">
      <c r="A20" s="5" t="s">
        <v>1</v>
      </c>
      <c r="C20" s="8">
        <f>C16-C18</f>
        <v>132107.48457854291</v>
      </c>
    </row>
    <row r="21" spans="1:5" x14ac:dyDescent="0.25">
      <c r="A21" s="5"/>
    </row>
    <row r="22" spans="1:5" x14ac:dyDescent="0.25">
      <c r="A22" s="5" t="s">
        <v>2</v>
      </c>
      <c r="C22" s="11">
        <v>1.63188</v>
      </c>
      <c r="E22" s="12"/>
    </row>
    <row r="23" spans="1:5" ht="13.8" thickBot="1" x14ac:dyDescent="0.3">
      <c r="A23" s="5"/>
    </row>
    <row r="24" spans="1:5" x14ac:dyDescent="0.25">
      <c r="A24" s="5" t="s">
        <v>35</v>
      </c>
      <c r="C24" s="13">
        <f>C20*C22</f>
        <v>215583.56193403259</v>
      </c>
    </row>
  </sheetData>
  <mergeCells count="1">
    <mergeCell ref="A4:C4"/>
  </mergeCells>
  <printOptions horizontalCentered="1"/>
  <pageMargins left="0.75" right="0.75" top="1" bottom="1" header="0.5" footer="0.5"/>
  <pageSetup scale="85" orientation="portrait" r:id="rId1"/>
  <headerFooter alignWithMargins="0">
    <oddHeader>&amp;RDocket No. 120015-EI
MFR A-1 Canaveral, Riviera, Port Everglades
Exhibit REB-9, Page 1 of 6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1"/>
  <sheetViews>
    <sheetView workbookViewId="0">
      <selection activeCell="A2" sqref="A2"/>
    </sheetView>
  </sheetViews>
  <sheetFormatPr defaultColWidth="9.109375" defaultRowHeight="10.199999999999999" x14ac:dyDescent="0.2"/>
  <cols>
    <col min="1" max="1" width="13.44140625" style="27" customWidth="1"/>
    <col min="2" max="5" width="12.6640625" style="33" customWidth="1"/>
    <col min="6" max="6" width="12.6640625" style="34" customWidth="1"/>
    <col min="7" max="8" width="10.6640625" style="27" customWidth="1"/>
    <col min="9" max="16384" width="9.109375" style="27"/>
  </cols>
  <sheetData>
    <row r="1" spans="1:5" ht="31.8" customHeight="1" x14ac:dyDescent="0.2">
      <c r="A1" s="54" t="s">
        <v>101</v>
      </c>
    </row>
    <row r="4" spans="1:5" ht="45" customHeight="1" x14ac:dyDescent="0.25">
      <c r="A4" s="52" t="s">
        <v>83</v>
      </c>
      <c r="B4" s="52"/>
      <c r="C4" s="52"/>
      <c r="D4" s="52"/>
      <c r="E4" s="52"/>
    </row>
    <row r="8" spans="1:5" ht="10.8" thickBot="1" x14ac:dyDescent="0.25">
      <c r="A8" s="30" t="s">
        <v>3</v>
      </c>
      <c r="B8" s="31" t="s">
        <v>7</v>
      </c>
      <c r="C8" s="31" t="s">
        <v>8</v>
      </c>
      <c r="D8" s="31" t="s">
        <v>10</v>
      </c>
      <c r="E8" s="31" t="s">
        <v>9</v>
      </c>
    </row>
    <row r="10" spans="1:5" x14ac:dyDescent="0.2">
      <c r="A10" s="27" t="s">
        <v>4</v>
      </c>
      <c r="B10" s="33">
        <v>0.39030900000000002</v>
      </c>
      <c r="C10" s="17">
        <v>5.1921180928139632E-2</v>
      </c>
      <c r="D10" s="33">
        <f>B10*C10</f>
        <v>2.0265304206881253E-2</v>
      </c>
      <c r="E10" s="33">
        <f>D10</f>
        <v>2.0265304206881253E-2</v>
      </c>
    </row>
    <row r="11" spans="1:5" ht="10.8" thickBot="1" x14ac:dyDescent="0.25">
      <c r="A11" s="27" t="s">
        <v>5</v>
      </c>
      <c r="B11" s="33">
        <f>1-B10</f>
        <v>0.60969099999999998</v>
      </c>
      <c r="C11" s="17">
        <v>0.105</v>
      </c>
      <c r="D11" s="33">
        <f>B11*C11</f>
        <v>6.401755499999999E-2</v>
      </c>
      <c r="E11" s="33">
        <f>D11/(1-B16)</f>
        <v>0.10422068376068375</v>
      </c>
    </row>
    <row r="12" spans="1:5" x14ac:dyDescent="0.2">
      <c r="A12" s="27" t="s">
        <v>6</v>
      </c>
      <c r="B12" s="46">
        <f>SUM(B10:B11)</f>
        <v>1</v>
      </c>
      <c r="D12" s="46">
        <f>SUM(D10:D11)</f>
        <v>8.428285920688125E-2</v>
      </c>
      <c r="E12" s="46">
        <f>SUM(E10:E11)</f>
        <v>0.12448598796756499</v>
      </c>
    </row>
    <row r="15" spans="1:5" ht="10.8" thickBot="1" x14ac:dyDescent="0.25">
      <c r="A15" s="30" t="s">
        <v>82</v>
      </c>
    </row>
    <row r="16" spans="1:5" x14ac:dyDescent="0.2">
      <c r="A16" s="27" t="s">
        <v>81</v>
      </c>
      <c r="B16" s="33">
        <v>0.38574999999999998</v>
      </c>
    </row>
    <row r="17" spans="1:5" x14ac:dyDescent="0.2">
      <c r="A17" s="27" t="s">
        <v>80</v>
      </c>
      <c r="B17" s="33">
        <f>1/30</f>
        <v>3.3333333333333333E-2</v>
      </c>
    </row>
    <row r="18" spans="1:5" x14ac:dyDescent="0.2">
      <c r="A18" s="27" t="s">
        <v>79</v>
      </c>
      <c r="B18" s="33">
        <f>1/40</f>
        <v>2.5000000000000001E-2</v>
      </c>
    </row>
    <row r="19" spans="1:5" x14ac:dyDescent="0.2">
      <c r="A19" s="27" t="s">
        <v>78</v>
      </c>
      <c r="B19" s="45">
        <f>D12</f>
        <v>8.428285920688125E-2</v>
      </c>
    </row>
    <row r="20" spans="1:5" x14ac:dyDescent="0.2">
      <c r="A20" s="27" t="s">
        <v>77</v>
      </c>
      <c r="B20" s="45">
        <v>0.98140000000000005</v>
      </c>
    </row>
    <row r="21" spans="1:5" x14ac:dyDescent="0.2">
      <c r="A21" s="27" t="s">
        <v>76</v>
      </c>
      <c r="B21" s="45">
        <v>0.89472399999999996</v>
      </c>
    </row>
    <row r="22" spans="1:5" x14ac:dyDescent="0.2">
      <c r="A22" s="27" t="s">
        <v>75</v>
      </c>
      <c r="B22" s="45">
        <v>0.97922399999999998</v>
      </c>
    </row>
    <row r="23" spans="1:5" x14ac:dyDescent="0.2">
      <c r="B23" s="45"/>
    </row>
    <row r="25" spans="1:5" ht="10.8" thickBot="1" x14ac:dyDescent="0.25">
      <c r="A25" s="30" t="s">
        <v>74</v>
      </c>
      <c r="B25" s="44" t="s">
        <v>89</v>
      </c>
      <c r="C25" s="44" t="s">
        <v>88</v>
      </c>
      <c r="D25" s="44" t="s">
        <v>87</v>
      </c>
      <c r="E25" s="44" t="s">
        <v>86</v>
      </c>
    </row>
    <row r="26" spans="1:5" x14ac:dyDescent="0.2">
      <c r="A26" s="27" t="s">
        <v>67</v>
      </c>
      <c r="B26" s="25">
        <v>1150606224</v>
      </c>
      <c r="C26" s="25">
        <f t="shared" ref="C26:E27" si="0">$B26</f>
        <v>1150606224</v>
      </c>
      <c r="D26" s="25">
        <f t="shared" si="0"/>
        <v>1150606224</v>
      </c>
      <c r="E26" s="25">
        <f t="shared" si="0"/>
        <v>1150606224</v>
      </c>
    </row>
    <row r="27" spans="1:5" x14ac:dyDescent="0.2">
      <c r="A27" s="27" t="s">
        <v>66</v>
      </c>
      <c r="B27" s="25">
        <v>34160608</v>
      </c>
      <c r="C27" s="25">
        <f t="shared" si="0"/>
        <v>34160608</v>
      </c>
      <c r="D27" s="25">
        <f t="shared" si="0"/>
        <v>34160608</v>
      </c>
      <c r="E27" s="25">
        <f t="shared" si="0"/>
        <v>34160608</v>
      </c>
    </row>
    <row r="28" spans="1:5" x14ac:dyDescent="0.2">
      <c r="A28" s="27" t="s">
        <v>65</v>
      </c>
      <c r="B28" s="25">
        <v>0</v>
      </c>
      <c r="C28" s="25">
        <f>-C26*$B$17*(7/12)</f>
        <v>-22372898.800000001</v>
      </c>
      <c r="D28" s="25">
        <f>-D26*$B$17*(12/12)</f>
        <v>-38353540.799999997</v>
      </c>
      <c r="E28" s="25">
        <f>-E26*$B$17*(19/12)</f>
        <v>-60726439.599999994</v>
      </c>
    </row>
    <row r="29" spans="1:5" x14ac:dyDescent="0.2">
      <c r="A29" s="27" t="s">
        <v>64</v>
      </c>
      <c r="B29" s="25">
        <v>0</v>
      </c>
      <c r="C29" s="25">
        <f>-C27*$B$18*(7/12)</f>
        <v>-498175.53333333338</v>
      </c>
      <c r="D29" s="25">
        <f>-D27*$B$18*(12/12)</f>
        <v>-854015.20000000007</v>
      </c>
      <c r="E29" s="25">
        <f>-E27*$B$18*(19/12)</f>
        <v>-1352190.7333333334</v>
      </c>
    </row>
    <row r="30" spans="1:5" ht="10.8" thickBot="1" x14ac:dyDescent="0.25">
      <c r="A30" s="27" t="s">
        <v>63</v>
      </c>
      <c r="B30" s="25">
        <v>12254368</v>
      </c>
      <c r="C30" s="25">
        <v>3876975</v>
      </c>
      <c r="D30" s="25">
        <v>-3557867</v>
      </c>
      <c r="E30" s="25">
        <v>-13966647</v>
      </c>
    </row>
    <row r="31" spans="1:5" x14ac:dyDescent="0.2">
      <c r="A31" s="27" t="s">
        <v>73</v>
      </c>
      <c r="B31" s="37">
        <f>SUM(B26:B30)</f>
        <v>1197021200</v>
      </c>
      <c r="C31" s="37">
        <f>SUM(C26:C30)</f>
        <v>1165772732.6666667</v>
      </c>
      <c r="D31" s="37">
        <f>SUM(D26:D30)</f>
        <v>1142001409</v>
      </c>
      <c r="E31" s="37">
        <f>SUM(E26:E30)</f>
        <v>1108721554.6666667</v>
      </c>
    </row>
    <row r="32" spans="1:5" x14ac:dyDescent="0.2">
      <c r="B32" s="29"/>
      <c r="C32" s="29"/>
      <c r="D32" s="29"/>
      <c r="E32" s="29"/>
    </row>
    <row r="33" spans="1:7" x14ac:dyDescent="0.2">
      <c r="B33" s="25"/>
    </row>
    <row r="34" spans="1:7" ht="10.8" thickBot="1" x14ac:dyDescent="0.25">
      <c r="A34" s="30" t="s">
        <v>72</v>
      </c>
      <c r="B34" s="44" t="s">
        <v>89</v>
      </c>
      <c r="C34" s="44" t="s">
        <v>88</v>
      </c>
      <c r="D34" s="44" t="s">
        <v>87</v>
      </c>
      <c r="E34" s="44" t="s">
        <v>86</v>
      </c>
    </row>
    <row r="35" spans="1:7" x14ac:dyDescent="0.2">
      <c r="A35" s="27" t="s">
        <v>67</v>
      </c>
      <c r="B35" s="25">
        <f>B26*$B$20</f>
        <v>1129204948.2336001</v>
      </c>
      <c r="C35" s="25">
        <f>C26*$B$20</f>
        <v>1129204948.2336001</v>
      </c>
      <c r="D35" s="25">
        <f>D26*$B$20</f>
        <v>1129204948.2336001</v>
      </c>
      <c r="E35" s="25">
        <f>E26*$B$20</f>
        <v>1129204948.2336001</v>
      </c>
    </row>
    <row r="36" spans="1:7" x14ac:dyDescent="0.2">
      <c r="A36" s="27" t="s">
        <v>66</v>
      </c>
      <c r="B36" s="25">
        <f>B27*$B$21</f>
        <v>30564315.832192</v>
      </c>
      <c r="C36" s="25">
        <f>C27*$B$21</f>
        <v>30564315.832192</v>
      </c>
      <c r="D36" s="25">
        <f>D27*$B$21</f>
        <v>30564315.832192</v>
      </c>
      <c r="E36" s="25">
        <f>E27*$B$21</f>
        <v>30564315.832192</v>
      </c>
    </row>
    <row r="37" spans="1:7" x14ac:dyDescent="0.2">
      <c r="A37" s="27" t="s">
        <v>65</v>
      </c>
      <c r="B37" s="25">
        <f>B28*$B$20</f>
        <v>0</v>
      </c>
      <c r="C37" s="25">
        <f>C28*$B$20</f>
        <v>-21956762.882320002</v>
      </c>
      <c r="D37" s="25">
        <f>D28*$B$20</f>
        <v>-37640164.941119999</v>
      </c>
      <c r="E37" s="25">
        <f>E28*$B$20</f>
        <v>-59596927.82344</v>
      </c>
    </row>
    <row r="38" spans="1:7" x14ac:dyDescent="0.2">
      <c r="A38" s="27" t="s">
        <v>64</v>
      </c>
      <c r="B38" s="25">
        <f>B29*$B$21</f>
        <v>0</v>
      </c>
      <c r="C38" s="25">
        <f>C29*$B$21</f>
        <v>-445729.60588613339</v>
      </c>
      <c r="D38" s="25">
        <f>D29*$B$21</f>
        <v>-764107.89580479998</v>
      </c>
      <c r="E38" s="25">
        <f>E29*$B$21</f>
        <v>-1209837.5016909332</v>
      </c>
    </row>
    <row r="39" spans="1:7" ht="10.8" thickBot="1" x14ac:dyDescent="0.25">
      <c r="A39" s="27" t="s">
        <v>63</v>
      </c>
      <c r="B39" s="25">
        <f>B30*(SUM(B35:B38)/(SUM(B26:B29)))</f>
        <v>11995811.304879095</v>
      </c>
      <c r="C39" s="25">
        <f>C30*(SUM(C35:C38)/(SUM(C26:C29)))</f>
        <v>3795127.4975754353</v>
      </c>
      <c r="D39" s="25">
        <f>D30*(SUM(D35:D38)/(SUM(D26:D29)))</f>
        <v>-3482724.6226658607</v>
      </c>
      <c r="E39" s="25">
        <f>E30*(SUM(E35:E38)/(SUM(E26:E29)))</f>
        <v>-13671490.68046047</v>
      </c>
    </row>
    <row r="40" spans="1:7" x14ac:dyDescent="0.2">
      <c r="A40" s="27" t="s">
        <v>62</v>
      </c>
      <c r="B40" s="37">
        <f>SUM(B35:B39)</f>
        <v>1171765075.3706713</v>
      </c>
      <c r="C40" s="37">
        <f>SUM(C35:C39)</f>
        <v>1141161899.0751615</v>
      </c>
      <c r="D40" s="37">
        <f>SUM(D35:D39)</f>
        <v>1117882266.6062014</v>
      </c>
      <c r="E40" s="37">
        <f>SUM(E35:E39)</f>
        <v>1085291008.0602007</v>
      </c>
    </row>
    <row r="41" spans="1:7" x14ac:dyDescent="0.2">
      <c r="B41" s="25"/>
    </row>
    <row r="42" spans="1:7" x14ac:dyDescent="0.2">
      <c r="B42" s="25"/>
    </row>
    <row r="43" spans="1:7" ht="21" thickBot="1" x14ac:dyDescent="0.25">
      <c r="B43" s="25"/>
      <c r="C43" s="27"/>
      <c r="D43" s="40" t="s">
        <v>85</v>
      </c>
      <c r="E43" s="39" t="s">
        <v>84</v>
      </c>
    </row>
    <row r="44" spans="1:7" x14ac:dyDescent="0.2">
      <c r="A44" s="38" t="s">
        <v>61</v>
      </c>
      <c r="B44" s="25"/>
      <c r="C44" s="27"/>
      <c r="D44" s="25">
        <f>(B31+D31)/2</f>
        <v>1169511304.5</v>
      </c>
      <c r="E44" s="25">
        <f>(C31+E31)/2</f>
        <v>1137247143.6666667</v>
      </c>
      <c r="G44" s="25">
        <f>(B30+D30)/2</f>
        <v>4348250.5</v>
      </c>
    </row>
    <row r="45" spans="1:7" x14ac:dyDescent="0.2">
      <c r="A45" s="27" t="s">
        <v>60</v>
      </c>
      <c r="B45" s="25"/>
      <c r="C45" s="27"/>
      <c r="D45" s="43">
        <f>D46/D44</f>
        <v>0.97889064140160797</v>
      </c>
      <c r="E45" s="43">
        <f>E46/E44</f>
        <v>0.97887821461433688</v>
      </c>
    </row>
    <row r="46" spans="1:7" x14ac:dyDescent="0.2">
      <c r="A46" s="38" t="s">
        <v>59</v>
      </c>
      <c r="B46" s="25"/>
      <c r="C46" s="27"/>
      <c r="D46" s="25">
        <f>(B40+D40)/2</f>
        <v>1144823670.9884362</v>
      </c>
      <c r="E46" s="25">
        <f>(C40+E40)/2</f>
        <v>1113226453.5676811</v>
      </c>
      <c r="F46" s="41" t="s">
        <v>25</v>
      </c>
    </row>
    <row r="47" spans="1:7" x14ac:dyDescent="0.2">
      <c r="B47" s="25"/>
    </row>
    <row r="48" spans="1:7" x14ac:dyDescent="0.2">
      <c r="A48" s="38" t="s">
        <v>58</v>
      </c>
      <c r="B48" s="25"/>
      <c r="C48" s="25" t="s">
        <v>40</v>
      </c>
      <c r="D48" s="25">
        <f>D46*$D$10</f>
        <v>23200199.955819197</v>
      </c>
      <c r="E48" s="25">
        <f>E46*$D$10</f>
        <v>22559872.732696626</v>
      </c>
    </row>
    <row r="49" spans="1:6" x14ac:dyDescent="0.2">
      <c r="A49" s="38" t="s">
        <v>44</v>
      </c>
      <c r="B49" s="25"/>
      <c r="C49" s="25" t="s">
        <v>40</v>
      </c>
      <c r="D49" s="25">
        <f>-D48*$B$16</f>
        <v>-8949477.1329572555</v>
      </c>
      <c r="E49" s="25">
        <f>-E48*$B$16</f>
        <v>-8702470.9066377226</v>
      </c>
    </row>
    <row r="50" spans="1:6" x14ac:dyDescent="0.2">
      <c r="B50" s="25"/>
    </row>
    <row r="51" spans="1:6" x14ac:dyDescent="0.2">
      <c r="B51" s="25"/>
    </row>
    <row r="52" spans="1:6" ht="21" thickBot="1" x14ac:dyDescent="0.25">
      <c r="A52" s="30" t="s">
        <v>46</v>
      </c>
      <c r="B52" s="25"/>
      <c r="C52" s="27"/>
      <c r="D52" s="40" t="s">
        <v>85</v>
      </c>
      <c r="E52" s="39" t="s">
        <v>84</v>
      </c>
    </row>
    <row r="53" spans="1:6" x14ac:dyDescent="0.2">
      <c r="A53" s="42" t="s">
        <v>26</v>
      </c>
      <c r="B53" s="25"/>
      <c r="C53" s="27"/>
      <c r="D53" s="25">
        <v>10000000</v>
      </c>
      <c r="E53" s="25">
        <v>10000000</v>
      </c>
      <c r="F53" s="34" t="s">
        <v>26</v>
      </c>
    </row>
    <row r="54" spans="1:6" x14ac:dyDescent="0.2">
      <c r="A54" s="42" t="s">
        <v>27</v>
      </c>
      <c r="B54" s="25"/>
      <c r="C54" s="27"/>
      <c r="D54" s="25">
        <v>1006786.8</v>
      </c>
      <c r="E54" s="25">
        <v>1006786.8</v>
      </c>
      <c r="F54" s="34" t="s">
        <v>27</v>
      </c>
    </row>
    <row r="55" spans="1:6" hidden="1" x14ac:dyDescent="0.2">
      <c r="A55" s="42" t="s">
        <v>56</v>
      </c>
      <c r="B55" s="25"/>
      <c r="C55" s="27"/>
      <c r="D55" s="25">
        <v>0</v>
      </c>
      <c r="E55" s="25">
        <v>0</v>
      </c>
    </row>
    <row r="56" spans="1:6" x14ac:dyDescent="0.2">
      <c r="A56" s="42" t="s">
        <v>28</v>
      </c>
      <c r="B56" s="25"/>
      <c r="C56" s="27"/>
      <c r="D56" s="25">
        <f>315458 + 9366 + E56*(5/12)</f>
        <v>563163.58333333337</v>
      </c>
      <c r="E56" s="25">
        <f>555522 + 16493</f>
        <v>572015</v>
      </c>
      <c r="F56" s="34" t="s">
        <v>25</v>
      </c>
    </row>
    <row r="57" spans="1:6" x14ac:dyDescent="0.2">
      <c r="A57" s="27" t="s">
        <v>55</v>
      </c>
      <c r="B57" s="25"/>
      <c r="C57" s="27"/>
      <c r="D57" s="25">
        <f>$B$26*$B$17*(12/12)</f>
        <v>38353540.799999997</v>
      </c>
      <c r="E57" s="25">
        <f>$B$26*$B$17*(12/12)</f>
        <v>38353540.799999997</v>
      </c>
      <c r="F57" s="34" t="s">
        <v>25</v>
      </c>
    </row>
    <row r="58" spans="1:6" x14ac:dyDescent="0.2">
      <c r="A58" s="27" t="s">
        <v>54</v>
      </c>
      <c r="B58" s="25"/>
      <c r="C58" s="27"/>
      <c r="D58" s="25">
        <f xml:space="preserve"> $B$27*$B$18*(12/12)</f>
        <v>854015.20000000007</v>
      </c>
      <c r="E58" s="25">
        <f xml:space="preserve"> $B$27*$B$18*(12/12)</f>
        <v>854015.20000000007</v>
      </c>
      <c r="F58" s="34" t="s">
        <v>25</v>
      </c>
    </row>
    <row r="59" spans="1:6" ht="10.8" thickBot="1" x14ac:dyDescent="0.25">
      <c r="A59" s="27" t="s">
        <v>53</v>
      </c>
      <c r="B59" s="25"/>
      <c r="C59" s="27"/>
      <c r="D59" s="25">
        <f>12349840 + 366657 +E59*(5/12)</f>
        <v>21624364.5</v>
      </c>
      <c r="E59" s="25">
        <f>20759493 + 619389</f>
        <v>21378882</v>
      </c>
      <c r="F59" s="34" t="s">
        <v>25</v>
      </c>
    </row>
    <row r="60" spans="1:6" x14ac:dyDescent="0.2">
      <c r="A60" s="27" t="s">
        <v>57</v>
      </c>
      <c r="B60" s="25"/>
      <c r="C60" s="27"/>
      <c r="D60" s="37">
        <f>SUM(D53:D59)</f>
        <v>72401870.883333325</v>
      </c>
      <c r="E60" s="37">
        <f>SUM(E53:E59)</f>
        <v>72165239.799999997</v>
      </c>
    </row>
    <row r="61" spans="1:6" x14ac:dyDescent="0.2">
      <c r="B61" s="25"/>
      <c r="C61" s="27"/>
    </row>
    <row r="62" spans="1:6" x14ac:dyDescent="0.2">
      <c r="B62" s="25"/>
      <c r="C62" s="27"/>
    </row>
    <row r="63" spans="1:6" ht="21" thickBot="1" x14ac:dyDescent="0.25">
      <c r="A63" s="30" t="s">
        <v>51</v>
      </c>
      <c r="B63" s="25"/>
      <c r="C63" s="27"/>
      <c r="D63" s="40" t="s">
        <v>85</v>
      </c>
      <c r="E63" s="39" t="s">
        <v>84</v>
      </c>
    </row>
    <row r="64" spans="1:6" x14ac:dyDescent="0.2">
      <c r="A64" s="42" t="s">
        <v>26</v>
      </c>
      <c r="B64" s="25"/>
      <c r="C64" s="27"/>
      <c r="D64" s="25">
        <f t="shared" ref="D64:E66" si="1">D53*$B$20</f>
        <v>9814000</v>
      </c>
      <c r="E64" s="25">
        <f t="shared" si="1"/>
        <v>9814000</v>
      </c>
    </row>
    <row r="65" spans="1:5" x14ac:dyDescent="0.2">
      <c r="A65" s="42" t="s">
        <v>27</v>
      </c>
      <c r="B65" s="25"/>
      <c r="C65" s="27"/>
      <c r="D65" s="25">
        <f t="shared" si="1"/>
        <v>988060.56552000006</v>
      </c>
      <c r="E65" s="25">
        <f t="shared" si="1"/>
        <v>988060.56552000006</v>
      </c>
    </row>
    <row r="66" spans="1:5" x14ac:dyDescent="0.2">
      <c r="A66" s="42" t="s">
        <v>56</v>
      </c>
      <c r="B66" s="25"/>
      <c r="C66" s="27"/>
      <c r="D66" s="25">
        <f t="shared" si="1"/>
        <v>0</v>
      </c>
      <c r="E66" s="25">
        <f t="shared" si="1"/>
        <v>0</v>
      </c>
    </row>
    <row r="67" spans="1:5" x14ac:dyDescent="0.2">
      <c r="A67" s="42" t="s">
        <v>28</v>
      </c>
      <c r="B67" s="25"/>
      <c r="C67" s="27"/>
      <c r="D67" s="25">
        <f>D56*$B$22</f>
        <v>551463.29672600003</v>
      </c>
      <c r="E67" s="25">
        <f>E56*$B$22</f>
        <v>560130.81635999994</v>
      </c>
    </row>
    <row r="68" spans="1:5" x14ac:dyDescent="0.2">
      <c r="A68" s="27" t="s">
        <v>55</v>
      </c>
      <c r="B68" s="25"/>
      <c r="C68" s="27"/>
      <c r="D68" s="25">
        <f>D57*$B$20</f>
        <v>37640164.941119999</v>
      </c>
      <c r="E68" s="25">
        <f>E57*$B$20</f>
        <v>37640164.941119999</v>
      </c>
    </row>
    <row r="69" spans="1:5" x14ac:dyDescent="0.2">
      <c r="A69" s="27" t="s">
        <v>54</v>
      </c>
      <c r="B69" s="25"/>
      <c r="C69" s="27"/>
      <c r="D69" s="25">
        <f>D58*$B$21</f>
        <v>764107.89580479998</v>
      </c>
      <c r="E69" s="25">
        <f>E58*$B$21</f>
        <v>764107.89580479998</v>
      </c>
    </row>
    <row r="70" spans="1:5" ht="10.8" thickBot="1" x14ac:dyDescent="0.25">
      <c r="A70" s="27" t="s">
        <v>53</v>
      </c>
      <c r="B70" s="25"/>
      <c r="C70" s="27"/>
      <c r="D70" s="25">
        <f>D59*D45</f>
        <v>21167888.035307162</v>
      </c>
      <c r="E70" s="25">
        <f>E59*E45</f>
        <v>20927321.842610583</v>
      </c>
    </row>
    <row r="71" spans="1:5" x14ac:dyDescent="0.2">
      <c r="A71" s="27" t="s">
        <v>52</v>
      </c>
      <c r="B71" s="25"/>
      <c r="C71" s="27"/>
      <c r="D71" s="37">
        <f>SUM(D64:D70)</f>
        <v>70925684.734477967</v>
      </c>
      <c r="E71" s="37">
        <f>SUM(E64:E70)</f>
        <v>70693786.061415374</v>
      </c>
    </row>
    <row r="72" spans="1:5" x14ac:dyDescent="0.2">
      <c r="B72" s="25"/>
      <c r="C72" s="27"/>
    </row>
    <row r="73" spans="1:5" x14ac:dyDescent="0.2">
      <c r="A73" s="38" t="s">
        <v>51</v>
      </c>
      <c r="B73" s="25"/>
      <c r="C73" s="27"/>
      <c r="D73" s="25">
        <f>D71</f>
        <v>70925684.734477967</v>
      </c>
      <c r="E73" s="25">
        <f>E71</f>
        <v>70693786.061415374</v>
      </c>
    </row>
    <row r="74" spans="1:5" x14ac:dyDescent="0.2">
      <c r="A74" s="38" t="s">
        <v>45</v>
      </c>
      <c r="B74" s="25"/>
      <c r="C74" s="27"/>
      <c r="D74" s="25">
        <f>-D73*$B$16</f>
        <v>-27359582.886324875</v>
      </c>
      <c r="E74" s="25">
        <f>-E73*$B$16</f>
        <v>-27270127.973190978</v>
      </c>
    </row>
    <row r="75" spans="1:5" x14ac:dyDescent="0.2">
      <c r="B75" s="25"/>
      <c r="C75" s="27"/>
    </row>
    <row r="76" spans="1:5" x14ac:dyDescent="0.2">
      <c r="A76" s="38" t="s">
        <v>43</v>
      </c>
      <c r="B76" s="25"/>
      <c r="C76" s="27"/>
      <c r="D76" s="25">
        <v>-1023452</v>
      </c>
      <c r="E76" s="25">
        <v>-1023452</v>
      </c>
    </row>
    <row r="77" spans="1:5" x14ac:dyDescent="0.2">
      <c r="A77" s="38" t="s">
        <v>50</v>
      </c>
      <c r="B77" s="25"/>
      <c r="C77" s="27"/>
      <c r="D77" s="25">
        <f>D76*D45</f>
        <v>-1001847.5847237585</v>
      </c>
      <c r="E77" s="25">
        <f>E76*E45</f>
        <v>-1001834.8665034723</v>
      </c>
    </row>
    <row r="78" spans="1:5" x14ac:dyDescent="0.2">
      <c r="A78" s="38"/>
      <c r="B78" s="25"/>
      <c r="C78" s="27"/>
      <c r="D78" s="25"/>
      <c r="E78" s="25"/>
    </row>
    <row r="79" spans="1:5" x14ac:dyDescent="0.2">
      <c r="B79" s="25"/>
      <c r="C79" s="27"/>
    </row>
    <row r="80" spans="1:5" ht="21" thickBot="1" x14ac:dyDescent="0.25">
      <c r="A80" s="30" t="s">
        <v>49</v>
      </c>
      <c r="B80" s="25"/>
      <c r="C80" s="27"/>
      <c r="D80" s="40" t="s">
        <v>85</v>
      </c>
      <c r="E80" s="39" t="s">
        <v>84</v>
      </c>
    </row>
    <row r="81" spans="1:5" x14ac:dyDescent="0.2">
      <c r="A81" s="27" t="s">
        <v>46</v>
      </c>
      <c r="B81" s="25"/>
      <c r="C81" s="27"/>
      <c r="D81" s="25">
        <f>-D73</f>
        <v>-70925684.734477967</v>
      </c>
      <c r="E81" s="25">
        <f>-E73</f>
        <v>-70693786.061415374</v>
      </c>
    </row>
    <row r="82" spans="1:5" x14ac:dyDescent="0.2">
      <c r="A82" s="27" t="s">
        <v>45</v>
      </c>
      <c r="B82" s="25"/>
      <c r="C82" s="27"/>
      <c r="D82" s="25">
        <f>-D74</f>
        <v>27359582.886324875</v>
      </c>
      <c r="E82" s="25">
        <f>-E74</f>
        <v>27270127.973190978</v>
      </c>
    </row>
    <row r="83" spans="1:5" x14ac:dyDescent="0.2">
      <c r="A83" s="27" t="s">
        <v>44</v>
      </c>
      <c r="B83" s="25"/>
      <c r="C83" s="27"/>
      <c r="D83" s="25">
        <f>-D49</f>
        <v>8949477.1329572555</v>
      </c>
      <c r="E83" s="25">
        <f>-E49</f>
        <v>8702470.9066377226</v>
      </c>
    </row>
    <row r="84" spans="1:5" ht="10.8" thickBot="1" x14ac:dyDescent="0.25">
      <c r="A84" s="27" t="s">
        <v>43</v>
      </c>
      <c r="B84" s="25"/>
      <c r="C84" s="27"/>
      <c r="D84" s="25">
        <f>D77</f>
        <v>-1001847.5847237585</v>
      </c>
      <c r="E84" s="25">
        <f>E77</f>
        <v>-1001834.8665034723</v>
      </c>
    </row>
    <row r="85" spans="1:5" x14ac:dyDescent="0.2">
      <c r="A85" s="38" t="s">
        <v>42</v>
      </c>
      <c r="B85" s="25"/>
      <c r="C85" s="27"/>
      <c r="D85" s="37">
        <f>SUM(D81:D84)</f>
        <v>-35618472.29991959</v>
      </c>
      <c r="E85" s="37">
        <f>SUM(E81:E84)</f>
        <v>-35723022.048090145</v>
      </c>
    </row>
    <row r="86" spans="1:5" x14ac:dyDescent="0.2">
      <c r="B86" s="25"/>
    </row>
    <row r="87" spans="1:5" x14ac:dyDescent="0.2">
      <c r="B87" s="27"/>
      <c r="C87" s="27"/>
      <c r="D87" s="27"/>
      <c r="E87" s="27"/>
    </row>
    <row r="88" spans="1:5" x14ac:dyDescent="0.2">
      <c r="B88" s="27"/>
      <c r="C88" s="27"/>
      <c r="D88" s="27"/>
      <c r="E88" s="27"/>
    </row>
    <row r="89" spans="1:5" x14ac:dyDescent="0.2">
      <c r="B89" s="27"/>
      <c r="C89" s="27"/>
      <c r="D89" s="27"/>
      <c r="E89" s="27"/>
    </row>
    <row r="90" spans="1:5" x14ac:dyDescent="0.2">
      <c r="B90" s="27"/>
      <c r="C90" s="27"/>
      <c r="D90" s="27"/>
      <c r="E90" s="27"/>
    </row>
    <row r="91" spans="1:5" x14ac:dyDescent="0.2">
      <c r="B91" s="27"/>
      <c r="C91" s="27"/>
      <c r="D91" s="27"/>
      <c r="E91" s="27"/>
    </row>
    <row r="92" spans="1:5" x14ac:dyDescent="0.2">
      <c r="B92" s="27"/>
      <c r="C92" s="27"/>
      <c r="D92" s="27"/>
      <c r="E92" s="27"/>
    </row>
    <row r="93" spans="1:5" x14ac:dyDescent="0.2">
      <c r="B93" s="27"/>
      <c r="C93" s="27"/>
      <c r="D93" s="27"/>
      <c r="E93" s="27"/>
    </row>
    <row r="94" spans="1:5" x14ac:dyDescent="0.2">
      <c r="B94" s="27"/>
      <c r="C94" s="27"/>
      <c r="D94" s="27"/>
      <c r="E94" s="27"/>
    </row>
    <row r="95" spans="1:5" x14ac:dyDescent="0.2">
      <c r="B95" s="27"/>
      <c r="C95" s="27"/>
      <c r="D95" s="27"/>
      <c r="E95" s="27"/>
    </row>
    <row r="96" spans="1:5" x14ac:dyDescent="0.2">
      <c r="B96" s="27"/>
      <c r="C96" s="27"/>
      <c r="D96" s="27"/>
      <c r="E96" s="27"/>
    </row>
    <row r="97" spans="2:5" x14ac:dyDescent="0.2">
      <c r="B97" s="27"/>
      <c r="C97" s="27"/>
      <c r="D97" s="27"/>
      <c r="E97" s="27"/>
    </row>
    <row r="98" spans="2:5" x14ac:dyDescent="0.2">
      <c r="B98" s="27"/>
      <c r="C98" s="27"/>
      <c r="D98" s="27"/>
      <c r="E98" s="27"/>
    </row>
    <row r="99" spans="2:5" x14ac:dyDescent="0.2">
      <c r="B99" s="27"/>
      <c r="C99" s="27"/>
      <c r="D99" s="27"/>
      <c r="E99" s="27"/>
    </row>
    <row r="100" spans="2:5" x14ac:dyDescent="0.2">
      <c r="B100" s="27"/>
      <c r="C100" s="27"/>
      <c r="D100" s="27"/>
      <c r="E100" s="27"/>
    </row>
    <row r="101" spans="2:5" x14ac:dyDescent="0.2">
      <c r="B101" s="27"/>
      <c r="C101" s="27"/>
      <c r="D101" s="27"/>
      <c r="E101" s="27"/>
    </row>
    <row r="102" spans="2:5" x14ac:dyDescent="0.2">
      <c r="B102" s="27"/>
      <c r="C102" s="27"/>
      <c r="D102" s="27"/>
      <c r="E102" s="27"/>
    </row>
    <row r="103" spans="2:5" x14ac:dyDescent="0.2">
      <c r="B103" s="27"/>
      <c r="C103" s="27"/>
      <c r="D103" s="27"/>
      <c r="E103" s="27"/>
    </row>
    <row r="104" spans="2:5" x14ac:dyDescent="0.2">
      <c r="B104" s="27"/>
      <c r="C104" s="27"/>
      <c r="D104" s="27"/>
      <c r="E104" s="27"/>
    </row>
    <row r="105" spans="2:5" x14ac:dyDescent="0.2">
      <c r="B105" s="27"/>
      <c r="C105" s="27"/>
      <c r="D105" s="27"/>
      <c r="E105" s="27"/>
    </row>
    <row r="106" spans="2:5" x14ac:dyDescent="0.2">
      <c r="B106" s="27"/>
      <c r="C106" s="27"/>
      <c r="D106" s="27"/>
      <c r="E106" s="27"/>
    </row>
    <row r="107" spans="2:5" x14ac:dyDescent="0.2">
      <c r="B107" s="27"/>
      <c r="C107" s="27"/>
      <c r="D107" s="27"/>
      <c r="E107" s="27"/>
    </row>
    <row r="108" spans="2:5" x14ac:dyDescent="0.2">
      <c r="B108" s="27"/>
      <c r="C108" s="27"/>
      <c r="D108" s="27"/>
      <c r="E108" s="27"/>
    </row>
    <row r="109" spans="2:5" x14ac:dyDescent="0.2">
      <c r="B109" s="27"/>
      <c r="C109" s="27"/>
      <c r="D109" s="27"/>
      <c r="E109" s="27"/>
    </row>
    <row r="110" spans="2:5" x14ac:dyDescent="0.2">
      <c r="B110" s="27"/>
      <c r="C110" s="27"/>
      <c r="D110" s="27"/>
      <c r="E110" s="27"/>
    </row>
    <row r="111" spans="2:5" x14ac:dyDescent="0.2">
      <c r="B111" s="27"/>
      <c r="C111" s="27"/>
      <c r="D111" s="27"/>
      <c r="E111" s="27"/>
    </row>
    <row r="112" spans="2:5" x14ac:dyDescent="0.2">
      <c r="B112" s="27"/>
      <c r="C112" s="27"/>
      <c r="D112" s="27"/>
      <c r="E112" s="27"/>
    </row>
    <row r="113" spans="2:5" x14ac:dyDescent="0.2">
      <c r="B113" s="27"/>
      <c r="C113" s="27"/>
      <c r="D113" s="27"/>
      <c r="E113" s="27"/>
    </row>
    <row r="114" spans="2:5" x14ac:dyDescent="0.2">
      <c r="B114" s="27"/>
      <c r="C114" s="27"/>
      <c r="D114" s="27"/>
      <c r="E114" s="27"/>
    </row>
    <row r="115" spans="2:5" x14ac:dyDescent="0.2">
      <c r="B115" s="27"/>
      <c r="C115" s="27"/>
      <c r="D115" s="27"/>
      <c r="E115" s="27"/>
    </row>
    <row r="116" spans="2:5" x14ac:dyDescent="0.2">
      <c r="B116" s="27"/>
      <c r="C116" s="27"/>
      <c r="D116" s="27"/>
      <c r="E116" s="27"/>
    </row>
    <row r="117" spans="2:5" x14ac:dyDescent="0.2">
      <c r="B117" s="27"/>
      <c r="C117" s="27"/>
      <c r="D117" s="27"/>
      <c r="E117" s="27"/>
    </row>
    <row r="118" spans="2:5" x14ac:dyDescent="0.2">
      <c r="B118" s="27"/>
      <c r="C118" s="27"/>
      <c r="D118" s="27"/>
      <c r="E118" s="27"/>
    </row>
    <row r="119" spans="2:5" x14ac:dyDescent="0.2">
      <c r="B119" s="27"/>
      <c r="C119" s="27"/>
      <c r="D119" s="27"/>
      <c r="E119" s="27"/>
    </row>
    <row r="120" spans="2:5" x14ac:dyDescent="0.2">
      <c r="B120" s="27"/>
      <c r="C120" s="27"/>
      <c r="D120" s="27"/>
      <c r="E120" s="27"/>
    </row>
    <row r="121" spans="2:5" x14ac:dyDescent="0.2">
      <c r="B121" s="27"/>
      <c r="C121" s="27"/>
      <c r="D121" s="27"/>
      <c r="E121" s="27"/>
    </row>
    <row r="122" spans="2:5" x14ac:dyDescent="0.2">
      <c r="B122" s="27"/>
      <c r="C122" s="27"/>
      <c r="D122" s="27"/>
      <c r="E122" s="27"/>
    </row>
    <row r="123" spans="2:5" x14ac:dyDescent="0.2">
      <c r="B123" s="27"/>
      <c r="C123" s="27"/>
      <c r="D123" s="27"/>
      <c r="E123" s="27"/>
    </row>
    <row r="124" spans="2:5" x14ac:dyDescent="0.2">
      <c r="B124" s="27"/>
      <c r="C124" s="27"/>
      <c r="D124" s="27"/>
      <c r="E124" s="27"/>
    </row>
    <row r="125" spans="2:5" x14ac:dyDescent="0.2">
      <c r="B125" s="27"/>
      <c r="C125" s="27"/>
      <c r="D125" s="27"/>
      <c r="E125" s="27"/>
    </row>
    <row r="126" spans="2:5" x14ac:dyDescent="0.2">
      <c r="B126" s="27"/>
      <c r="C126" s="27"/>
      <c r="D126" s="27"/>
      <c r="E126" s="27"/>
    </row>
    <row r="127" spans="2:5" x14ac:dyDescent="0.2">
      <c r="B127" s="27"/>
      <c r="C127" s="27"/>
      <c r="D127" s="27"/>
      <c r="E127" s="27"/>
    </row>
    <row r="128" spans="2:5" x14ac:dyDescent="0.2">
      <c r="B128" s="27"/>
      <c r="C128" s="27"/>
      <c r="D128" s="27"/>
      <c r="E128" s="27"/>
    </row>
    <row r="129" spans="2:5" x14ac:dyDescent="0.2">
      <c r="B129" s="27"/>
      <c r="C129" s="27"/>
      <c r="D129" s="27"/>
      <c r="E129" s="27"/>
    </row>
    <row r="130" spans="2:5" x14ac:dyDescent="0.2">
      <c r="B130" s="27"/>
      <c r="C130" s="27"/>
      <c r="D130" s="27"/>
      <c r="E130" s="27"/>
    </row>
    <row r="131" spans="2:5" x14ac:dyDescent="0.2">
      <c r="B131" s="27"/>
      <c r="C131" s="27"/>
      <c r="D131" s="27"/>
      <c r="E131" s="27"/>
    </row>
    <row r="132" spans="2:5" x14ac:dyDescent="0.2">
      <c r="B132" s="27"/>
      <c r="C132" s="27"/>
      <c r="D132" s="27"/>
      <c r="E132" s="27"/>
    </row>
    <row r="133" spans="2:5" x14ac:dyDescent="0.2">
      <c r="B133" s="27"/>
      <c r="C133" s="27"/>
      <c r="D133" s="27"/>
      <c r="E133" s="27"/>
    </row>
    <row r="134" spans="2:5" x14ac:dyDescent="0.2">
      <c r="B134" s="27"/>
      <c r="C134" s="27"/>
      <c r="D134" s="27"/>
      <c r="E134" s="27"/>
    </row>
    <row r="135" spans="2:5" x14ac:dyDescent="0.2">
      <c r="B135" s="27"/>
      <c r="C135" s="27"/>
      <c r="D135" s="27"/>
      <c r="E135" s="27"/>
    </row>
    <row r="136" spans="2:5" x14ac:dyDescent="0.2">
      <c r="B136" s="27"/>
      <c r="C136" s="27"/>
      <c r="D136" s="27"/>
      <c r="E136" s="27"/>
    </row>
    <row r="137" spans="2:5" x14ac:dyDescent="0.2">
      <c r="B137" s="27"/>
      <c r="C137" s="27"/>
      <c r="D137" s="27"/>
      <c r="E137" s="27"/>
    </row>
    <row r="138" spans="2:5" x14ac:dyDescent="0.2">
      <c r="B138" s="27"/>
      <c r="C138" s="27"/>
      <c r="D138" s="27"/>
      <c r="E138" s="27"/>
    </row>
    <row r="139" spans="2:5" x14ac:dyDescent="0.2">
      <c r="B139" s="27"/>
      <c r="C139" s="27"/>
      <c r="D139" s="27"/>
      <c r="E139" s="27"/>
    </row>
    <row r="140" spans="2:5" x14ac:dyDescent="0.2">
      <c r="B140" s="27"/>
      <c r="C140" s="27"/>
      <c r="D140" s="27"/>
      <c r="E140" s="27"/>
    </row>
    <row r="141" spans="2:5" x14ac:dyDescent="0.2">
      <c r="B141" s="27"/>
      <c r="C141" s="27"/>
      <c r="D141" s="27"/>
      <c r="E141" s="27"/>
    </row>
    <row r="142" spans="2:5" x14ac:dyDescent="0.2">
      <c r="B142" s="27"/>
      <c r="C142" s="27"/>
      <c r="D142" s="27"/>
      <c r="E142" s="27"/>
    </row>
    <row r="143" spans="2:5" x14ac:dyDescent="0.2">
      <c r="B143" s="27"/>
      <c r="C143" s="27"/>
      <c r="D143" s="27"/>
      <c r="E143" s="27"/>
    </row>
    <row r="144" spans="2:5" x14ac:dyDescent="0.2">
      <c r="B144" s="27"/>
      <c r="C144" s="27"/>
      <c r="D144" s="27"/>
      <c r="E144" s="27"/>
    </row>
    <row r="145" spans="2:5" x14ac:dyDescent="0.2">
      <c r="B145" s="27"/>
      <c r="C145" s="27"/>
      <c r="D145" s="27"/>
      <c r="E145" s="27"/>
    </row>
    <row r="146" spans="2:5" x14ac:dyDescent="0.2">
      <c r="B146" s="27"/>
      <c r="C146" s="27"/>
      <c r="D146" s="27"/>
      <c r="E146" s="27"/>
    </row>
    <row r="147" spans="2:5" x14ac:dyDescent="0.2">
      <c r="B147" s="27"/>
      <c r="C147" s="27"/>
      <c r="D147" s="27"/>
      <c r="E147" s="27"/>
    </row>
    <row r="148" spans="2:5" x14ac:dyDescent="0.2">
      <c r="B148" s="27"/>
      <c r="C148" s="27"/>
      <c r="D148" s="27"/>
      <c r="E148" s="27"/>
    </row>
    <row r="149" spans="2:5" x14ac:dyDescent="0.2">
      <c r="B149" s="27"/>
      <c r="C149" s="27"/>
      <c r="D149" s="27"/>
      <c r="E149" s="27"/>
    </row>
    <row r="150" spans="2:5" x14ac:dyDescent="0.2">
      <c r="B150" s="27"/>
      <c r="C150" s="27"/>
      <c r="D150" s="27"/>
      <c r="E150" s="27"/>
    </row>
    <row r="151" spans="2:5" x14ac:dyDescent="0.2">
      <c r="B151" s="27"/>
      <c r="C151" s="27"/>
      <c r="D151" s="27"/>
      <c r="E151" s="27"/>
    </row>
  </sheetData>
  <mergeCells count="1">
    <mergeCell ref="A4:E4"/>
  </mergeCells>
  <printOptions horizontalCentered="1"/>
  <pageMargins left="0.75" right="0.75" top="1" bottom="1" header="0.5" footer="0.5"/>
  <pageSetup scale="64" orientation="portrait" r:id="rId1"/>
  <headerFooter alignWithMargins="0">
    <oddHeader>&amp;RDocket No. 120015-EI
MFR A-1 Canaveral, Riviera, Port Everglades
Exhibit REB-9, Page 1 of 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 Can Page 1</vt:lpstr>
      <vt:lpstr>Can Page 2</vt:lpstr>
      <vt:lpstr> Riv Page 1</vt:lpstr>
      <vt:lpstr>Riv Page 2</vt:lpstr>
      <vt:lpstr>PE Page 1</vt:lpstr>
      <vt:lpstr>PE Page 2</vt:lpstr>
      <vt:lpstr>' Can Page 1'!Print_Area</vt:lpstr>
      <vt:lpstr>' Riv Page 1'!Print_Area</vt:lpstr>
      <vt:lpstr>'Can Page 2'!Print_Area</vt:lpstr>
      <vt:lpstr>'PE Page 1'!Print_Area</vt:lpstr>
      <vt:lpstr>'PE Page 2'!Print_Area</vt:lpstr>
      <vt:lpstr>'Riv Page 2'!Print_Area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2016-04-06T23:10:56Z</dcterms:created>
  <dcterms:modified xsi:type="dcterms:W3CDTF">2016-04-06T23:11:08Z</dcterms:modified>
</cp:coreProperties>
</file>