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4388" yWindow="-12" windowWidth="6108" windowHeight="8316"/>
  </bookViews>
  <sheets>
    <sheet name="Nameplate Capacity" sheetId="1" r:id="rId1"/>
    <sheet name="Nameplate Rating" sheetId="2" r:id="rId2"/>
  </sheets>
  <definedNames>
    <definedName name="gen_nameplate" localSheetId="0">'Nameplate Capacity'!$H$54</definedName>
    <definedName name="gen_nameplate" localSheetId="1">'Nameplate Rating'!#REF!</definedName>
    <definedName name="name_plate" localSheetId="0">'Nameplate Capacity'!$H$63</definedName>
    <definedName name="name_plate" localSheetId="1">'Nameplate Rating'!#REF!</definedName>
  </definedNames>
  <calcPr calcId="145621"/>
</workbook>
</file>

<file path=xl/calcChain.xml><?xml version="1.0" encoding="utf-8"?>
<calcChain xmlns="http://schemas.openxmlformats.org/spreadsheetml/2006/main">
  <c r="F15" i="1" l="1"/>
  <c r="F15" i="2" l="1"/>
  <c r="D40" i="2"/>
  <c r="P42" i="2" l="1"/>
  <c r="P31" i="2" s="1"/>
  <c r="P37" i="2"/>
  <c r="P32" i="2"/>
  <c r="P25" i="2"/>
  <c r="P21" i="2" s="1"/>
  <c r="P15" i="2"/>
  <c r="P8" i="2" s="1"/>
  <c r="P9" i="2"/>
  <c r="J44" i="2"/>
  <c r="J41" i="2"/>
  <c r="J34" i="2"/>
  <c r="J33" i="2"/>
  <c r="J29" i="2"/>
  <c r="J25" i="2"/>
  <c r="J24" i="2" s="1"/>
  <c r="J18" i="2"/>
  <c r="J11" i="2"/>
  <c r="J8" i="2" s="1"/>
  <c r="F49" i="2"/>
  <c r="D57" i="2"/>
  <c r="D53" i="2"/>
  <c r="D49" i="2"/>
  <c r="D46" i="2" s="1"/>
  <c r="D37" i="2"/>
  <c r="D28" i="2"/>
  <c r="D27" i="2" s="1"/>
  <c r="D21" i="2"/>
  <c r="D17" i="2"/>
  <c r="D16" i="2"/>
  <c r="D14" i="2"/>
  <c r="D9" i="2"/>
  <c r="D8" i="2"/>
  <c r="E9" i="2"/>
  <c r="L9" i="2"/>
  <c r="Q9" i="2"/>
  <c r="F10" i="2"/>
  <c r="L10" i="2"/>
  <c r="L8" i="2" s="1"/>
  <c r="R10" i="2"/>
  <c r="R9" i="2" s="1"/>
  <c r="R8" i="2" s="1"/>
  <c r="F11" i="2"/>
  <c r="K11" i="2"/>
  <c r="R11" i="2"/>
  <c r="F12" i="2"/>
  <c r="L12" i="2"/>
  <c r="L11" i="2" s="1"/>
  <c r="R12" i="2"/>
  <c r="F13" i="2"/>
  <c r="F9" i="2" s="1"/>
  <c r="F8" i="2" s="1"/>
  <c r="L13" i="2"/>
  <c r="R13" i="2"/>
  <c r="F14" i="2"/>
  <c r="L14" i="2"/>
  <c r="R14" i="2"/>
  <c r="L15" i="2"/>
  <c r="Q15" i="2"/>
  <c r="L16" i="2"/>
  <c r="R16" i="2"/>
  <c r="R15" i="2" s="1"/>
  <c r="E17" i="2"/>
  <c r="R17" i="2"/>
  <c r="F18" i="2"/>
  <c r="K18" i="2"/>
  <c r="R18" i="2"/>
  <c r="F19" i="2"/>
  <c r="L19" i="2"/>
  <c r="R19" i="2"/>
  <c r="F20" i="2"/>
  <c r="L20" i="2"/>
  <c r="R20" i="2"/>
  <c r="E21" i="2"/>
  <c r="L21" i="2"/>
  <c r="F22" i="2"/>
  <c r="F21" i="2" s="1"/>
  <c r="L22" i="2"/>
  <c r="R22" i="2"/>
  <c r="F23" i="2"/>
  <c r="J23" i="2"/>
  <c r="L23" i="2" s="1"/>
  <c r="R23" i="2"/>
  <c r="F24" i="2"/>
  <c r="R24" i="2"/>
  <c r="D25" i="2"/>
  <c r="F25" i="2"/>
  <c r="K25" i="2"/>
  <c r="Q25" i="2"/>
  <c r="D26" i="2"/>
  <c r="F26" i="2"/>
  <c r="L26" i="2"/>
  <c r="L25" i="2" s="1"/>
  <c r="L24" i="2" s="1"/>
  <c r="R26" i="2"/>
  <c r="R25" i="2" s="1"/>
  <c r="L27" i="2"/>
  <c r="R27" i="2"/>
  <c r="E28" i="2"/>
  <c r="L28" i="2"/>
  <c r="R28" i="2"/>
  <c r="F29" i="2"/>
  <c r="K29" i="2"/>
  <c r="R29" i="2"/>
  <c r="F30" i="2"/>
  <c r="L30" i="2"/>
  <c r="L29" i="2" s="1"/>
  <c r="R30" i="2"/>
  <c r="F31" i="2"/>
  <c r="F28" i="2" s="1"/>
  <c r="L31" i="2"/>
  <c r="F32" i="2"/>
  <c r="L32" i="2"/>
  <c r="Q32" i="2"/>
  <c r="F33" i="2"/>
  <c r="R33" i="2"/>
  <c r="R32" i="2" s="1"/>
  <c r="F34" i="2"/>
  <c r="K34" i="2"/>
  <c r="R34" i="2"/>
  <c r="F35" i="2"/>
  <c r="L35" i="2"/>
  <c r="L34" i="2" s="1"/>
  <c r="L33" i="2" s="1"/>
  <c r="R35" i="2"/>
  <c r="F36" i="2"/>
  <c r="L36" i="2"/>
  <c r="R36" i="2"/>
  <c r="E37" i="2"/>
  <c r="L37" i="2"/>
  <c r="Q37" i="2"/>
  <c r="F38" i="2"/>
  <c r="F37" i="2" s="1"/>
  <c r="L38" i="2"/>
  <c r="R38" i="2"/>
  <c r="F39" i="2"/>
  <c r="J39" i="2"/>
  <c r="L39" i="2"/>
  <c r="R39" i="2"/>
  <c r="F40" i="2"/>
  <c r="K40" i="2"/>
  <c r="R40" i="2"/>
  <c r="R41" i="2"/>
  <c r="R37" i="2" s="1"/>
  <c r="D42" i="2"/>
  <c r="F42" i="2"/>
  <c r="F41" i="2" s="1"/>
  <c r="J42" i="2"/>
  <c r="L42" i="2"/>
  <c r="L41" i="2" s="1"/>
  <c r="Q42" i="2"/>
  <c r="D43" i="2"/>
  <c r="F43" i="2"/>
  <c r="J43" i="2"/>
  <c r="L43" i="2" s="1"/>
  <c r="R43" i="2"/>
  <c r="D44" i="2"/>
  <c r="D41" i="2" s="1"/>
  <c r="F44" i="2"/>
  <c r="R44" i="2"/>
  <c r="D45" i="2"/>
  <c r="F45" i="2"/>
  <c r="L45" i="2"/>
  <c r="R45" i="2"/>
  <c r="L46" i="2"/>
  <c r="R46" i="2"/>
  <c r="R42" i="2" s="1"/>
  <c r="F47" i="2"/>
  <c r="F46" i="2" s="1"/>
  <c r="J47" i="2"/>
  <c r="L47" i="2"/>
  <c r="F48" i="2"/>
  <c r="E49" i="2"/>
  <c r="F50" i="2"/>
  <c r="F51" i="2"/>
  <c r="F52" i="2"/>
  <c r="E53" i="2"/>
  <c r="F54" i="2"/>
  <c r="F55" i="2"/>
  <c r="F56" i="2"/>
  <c r="F53" i="2" s="1"/>
  <c r="E57" i="2"/>
  <c r="F58" i="2"/>
  <c r="F59" i="2"/>
  <c r="F57" i="2" s="1"/>
  <c r="F60" i="2"/>
  <c r="F61" i="2"/>
  <c r="F62" i="2"/>
  <c r="F47" i="1"/>
  <c r="D28" i="1"/>
  <c r="F14" i="1"/>
  <c r="P42" i="1"/>
  <c r="P37" i="1"/>
  <c r="Q37" i="1" s="1"/>
  <c r="P32" i="1"/>
  <c r="P31" i="1" s="1"/>
  <c r="P25" i="1"/>
  <c r="P21" i="1" s="1"/>
  <c r="P15" i="1"/>
  <c r="P9" i="1"/>
  <c r="P8" i="1"/>
  <c r="L22" i="1"/>
  <c r="L21" i="1"/>
  <c r="L20" i="1"/>
  <c r="L19" i="1"/>
  <c r="K18" i="1"/>
  <c r="J18" i="1"/>
  <c r="K34" i="1"/>
  <c r="J34" i="1"/>
  <c r="J33" i="1" s="1"/>
  <c r="E9" i="1"/>
  <c r="D9" i="1"/>
  <c r="F29" i="1"/>
  <c r="E28" i="1"/>
  <c r="F36" i="1"/>
  <c r="F38" i="1"/>
  <c r="F39" i="1"/>
  <c r="D40" i="1"/>
  <c r="F40" i="1" s="1"/>
  <c r="F18" i="1"/>
  <c r="F17" i="1" s="1"/>
  <c r="F19" i="1"/>
  <c r="F20" i="1"/>
  <c r="F22" i="1"/>
  <c r="F23" i="1"/>
  <c r="F24" i="1"/>
  <c r="D25" i="1"/>
  <c r="F25" i="1"/>
  <c r="D26" i="1"/>
  <c r="F26" i="1" s="1"/>
  <c r="D42" i="1"/>
  <c r="F42" i="1" s="1"/>
  <c r="D44" i="1"/>
  <c r="F44" i="1" s="1"/>
  <c r="F48" i="1"/>
  <c r="F50" i="1"/>
  <c r="F49" i="1" s="1"/>
  <c r="F51" i="1"/>
  <c r="F52" i="1"/>
  <c r="F54" i="1"/>
  <c r="F55" i="1"/>
  <c r="F56" i="1"/>
  <c r="F58" i="1"/>
  <c r="F59" i="1"/>
  <c r="F60" i="1"/>
  <c r="F61" i="1"/>
  <c r="F62" i="1"/>
  <c r="L9" i="1"/>
  <c r="L10" i="1"/>
  <c r="L12" i="1"/>
  <c r="L13" i="1"/>
  <c r="L14" i="1"/>
  <c r="L15" i="1"/>
  <c r="L16" i="1"/>
  <c r="J23" i="1"/>
  <c r="J17" i="1" s="1"/>
  <c r="L26" i="1"/>
  <c r="L27" i="1"/>
  <c r="L25" i="1" s="1"/>
  <c r="L28" i="1"/>
  <c r="L30" i="1"/>
  <c r="L31" i="1"/>
  <c r="L32" i="1"/>
  <c r="L39" i="1"/>
  <c r="J42" i="1"/>
  <c r="L42" i="1" s="1"/>
  <c r="L41" i="1" s="1"/>
  <c r="L45" i="1"/>
  <c r="L46" i="1"/>
  <c r="R10" i="1"/>
  <c r="R11" i="1"/>
  <c r="R12" i="1"/>
  <c r="R13" i="1"/>
  <c r="R14" i="1"/>
  <c r="R16" i="1"/>
  <c r="R17" i="1"/>
  <c r="R18" i="1"/>
  <c r="R19" i="1"/>
  <c r="R20" i="1"/>
  <c r="R33" i="1"/>
  <c r="R34" i="1"/>
  <c r="R35" i="1"/>
  <c r="R36" i="1"/>
  <c r="R38" i="1"/>
  <c r="R39" i="1"/>
  <c r="R40" i="1"/>
  <c r="R41" i="1"/>
  <c r="R43" i="1"/>
  <c r="R44" i="1"/>
  <c r="R45" i="1"/>
  <c r="R46" i="1"/>
  <c r="R22" i="1"/>
  <c r="R23" i="1"/>
  <c r="R24" i="1"/>
  <c r="R26" i="1"/>
  <c r="R27" i="1"/>
  <c r="R28" i="1"/>
  <c r="R29" i="1"/>
  <c r="R30" i="1"/>
  <c r="D14" i="1"/>
  <c r="D17" i="1"/>
  <c r="E17" i="1" s="1"/>
  <c r="D21" i="1"/>
  <c r="D37" i="1"/>
  <c r="E37" i="1" s="1"/>
  <c r="D49" i="1"/>
  <c r="E49" i="1" s="1"/>
  <c r="D53" i="1"/>
  <c r="E53" i="1" s="1"/>
  <c r="D57" i="1"/>
  <c r="E57" i="1"/>
  <c r="J11" i="1"/>
  <c r="J8" i="1" s="1"/>
  <c r="J25" i="1"/>
  <c r="J29" i="1"/>
  <c r="K29" i="1" s="1"/>
  <c r="J39" i="1"/>
  <c r="J41" i="1"/>
  <c r="J44" i="1"/>
  <c r="Q42" i="1"/>
  <c r="K40" i="1"/>
  <c r="L38" i="1"/>
  <c r="L37" i="1"/>
  <c r="L36" i="1"/>
  <c r="L35" i="1"/>
  <c r="L34" i="1" s="1"/>
  <c r="L33" i="1" s="1"/>
  <c r="F13" i="1"/>
  <c r="F12" i="1"/>
  <c r="F11" i="1"/>
  <c r="F10" i="1"/>
  <c r="F9" i="1" s="1"/>
  <c r="F8" i="1" s="1"/>
  <c r="D8" i="1"/>
  <c r="Q15" i="1"/>
  <c r="J47" i="1"/>
  <c r="L47" i="1"/>
  <c r="J43" i="1"/>
  <c r="L43" i="1" s="1"/>
  <c r="K25" i="1"/>
  <c r="D45" i="1"/>
  <c r="F45" i="1" s="1"/>
  <c r="D43" i="1"/>
  <c r="F43" i="1" s="1"/>
  <c r="F35" i="1"/>
  <c r="F34" i="1"/>
  <c r="F33" i="1"/>
  <c r="F32" i="1"/>
  <c r="F31" i="1"/>
  <c r="F30" i="1"/>
  <c r="Q9" i="1"/>
  <c r="L23" i="1"/>
  <c r="Q32" i="1"/>
  <c r="L18" i="2" l="1"/>
  <c r="F17" i="2"/>
  <c r="F16" i="2" s="1"/>
  <c r="L44" i="2"/>
  <c r="F27" i="2"/>
  <c r="L17" i="2"/>
  <c r="R21" i="2"/>
  <c r="R31" i="2"/>
  <c r="D46" i="1"/>
  <c r="R21" i="1"/>
  <c r="R42" i="1"/>
  <c r="R37" i="1"/>
  <c r="R31" i="1" s="1"/>
  <c r="R32" i="1"/>
  <c r="L44" i="1"/>
  <c r="F53" i="1"/>
  <c r="F46" i="1" s="1"/>
  <c r="F21" i="1"/>
  <c r="F16" i="1" s="1"/>
  <c r="L18" i="1"/>
  <c r="L17" i="1" s="1"/>
  <c r="D27" i="1"/>
  <c r="J17" i="2"/>
  <c r="P47" i="2" s="1"/>
  <c r="D16" i="1"/>
  <c r="R25" i="1"/>
  <c r="R15" i="1"/>
  <c r="L29" i="1"/>
  <c r="L24" i="1" s="1"/>
  <c r="F57" i="1"/>
  <c r="F28" i="1"/>
  <c r="R9" i="1"/>
  <c r="R8" i="1" s="1"/>
  <c r="L11" i="1"/>
  <c r="F41" i="1"/>
  <c r="F37" i="1"/>
  <c r="L8" i="1"/>
  <c r="F27" i="1"/>
  <c r="K11" i="1"/>
  <c r="Q25" i="1"/>
  <c r="E21" i="1"/>
  <c r="J24" i="1"/>
  <c r="D41" i="1"/>
  <c r="R47" i="2" l="1"/>
  <c r="R47" i="1"/>
  <c r="P47" i="1"/>
</calcChain>
</file>

<file path=xl/sharedStrings.xml><?xml version="1.0" encoding="utf-8"?>
<sst xmlns="http://schemas.openxmlformats.org/spreadsheetml/2006/main" count="331" uniqueCount="82">
  <si>
    <t>PFL4</t>
  </si>
  <si>
    <t>PFL5</t>
  </si>
  <si>
    <t>PFM2</t>
  </si>
  <si>
    <t>PFM3</t>
  </si>
  <si>
    <t>PFMGT</t>
  </si>
  <si>
    <t>PMR1</t>
  </si>
  <si>
    <t>PMR2</t>
  </si>
  <si>
    <t>PMG3</t>
  </si>
  <si>
    <t>PMG4</t>
  </si>
  <si>
    <t>PMG8</t>
  </si>
  <si>
    <t>PMT1</t>
  </si>
  <si>
    <t>PMT2</t>
  </si>
  <si>
    <t>PMT3</t>
  </si>
  <si>
    <t>PPEGT</t>
  </si>
  <si>
    <t>PPN1</t>
  </si>
  <si>
    <t>PPN2</t>
  </si>
  <si>
    <t>PSN4</t>
  </si>
  <si>
    <t>PSN5</t>
  </si>
  <si>
    <t>PTF1</t>
  </si>
  <si>
    <t>PTN3</t>
  </si>
  <si>
    <t>PTN4</t>
  </si>
  <si>
    <t>PFLGT1</t>
  </si>
  <si>
    <t>PFLGT2</t>
  </si>
  <si>
    <t>PSG4</t>
  </si>
  <si>
    <t>PSL1</t>
  </si>
  <si>
    <t>PSL2</t>
  </si>
  <si>
    <t>PJK1</t>
  </si>
  <si>
    <t>PJK2</t>
  </si>
  <si>
    <t>PF</t>
  </si>
  <si>
    <t>MVA</t>
  </si>
  <si>
    <t>MW</t>
  </si>
  <si>
    <t>PTF5</t>
  </si>
  <si>
    <t>PCC</t>
  </si>
  <si>
    <t>PFL</t>
  </si>
  <si>
    <t>PFM</t>
  </si>
  <si>
    <t>PJK</t>
  </si>
  <si>
    <t>PMR</t>
  </si>
  <si>
    <t>PMT</t>
  </si>
  <si>
    <t>PPE</t>
  </si>
  <si>
    <t>PPN</t>
  </si>
  <si>
    <t>PRV</t>
  </si>
  <si>
    <t>PSG</t>
  </si>
  <si>
    <t>PSL</t>
  </si>
  <si>
    <t>PSN</t>
  </si>
  <si>
    <t>PTF</t>
  </si>
  <si>
    <t>Site</t>
  </si>
  <si>
    <t>CTA</t>
  </si>
  <si>
    <t>CTB</t>
  </si>
  <si>
    <t>ST</t>
  </si>
  <si>
    <t>SubUnit</t>
  </si>
  <si>
    <t>CTC</t>
  </si>
  <si>
    <t>CTD</t>
  </si>
  <si>
    <t>ST1</t>
  </si>
  <si>
    <t>ST2</t>
  </si>
  <si>
    <t>CTE</t>
  </si>
  <si>
    <t>CTF</t>
  </si>
  <si>
    <t>TOTAL SYSTEM</t>
  </si>
  <si>
    <t>GENERATOR DESIGN NAME PLATE</t>
  </si>
  <si>
    <t>PWC</t>
  </si>
  <si>
    <t>PWC1</t>
  </si>
  <si>
    <t>PWC2</t>
  </si>
  <si>
    <t>The full-load continuous rating of a generator, prime mover or other electric power production equipment under specific conditions as designated by the manufacturer. Installed generator nameplate rating is usually indicated on a nameplate physically attached to the generator.</t>
  </si>
  <si>
    <r>
      <t>Generator nameplate capacity:</t>
    </r>
    <r>
      <rPr>
        <sz val="10"/>
        <color indexed="8"/>
        <rFont val="Arial"/>
        <family val="2"/>
      </rPr>
      <t xml:space="preserve"> </t>
    </r>
  </si>
  <si>
    <t>The maximum rated output of a generator under specific conditions designated by the manufacturer. Generator nameplate capacity is usually indicated in units of kilovolt-amperes (kVA) and in kilowatts (kW) on a nameplate physically attached to the generator.</t>
  </si>
  <si>
    <t>The initial capability of a piece of electrical equipment as stated on the attached nameplate. Actual capability can vary from the nameplate rating due to age, wear, maintenance or ambient conditions.</t>
  </si>
  <si>
    <t>FPL Generator Nameplate Capacity</t>
  </si>
  <si>
    <t>FPL Generator Nameplate Rating</t>
  </si>
  <si>
    <t>PCC3</t>
  </si>
  <si>
    <t>PRV5</t>
  </si>
  <si>
    <t>Used for reporting Total Installed Capability (Max Gen Nameplate Ratings - MW) in FERC Form 1, line 5</t>
  </si>
  <si>
    <t>Nameplate Rating:</t>
  </si>
  <si>
    <t>Nameplate Capacity (or Installed Capacity):</t>
  </si>
  <si>
    <t xml:space="preserve">A metal tag attached to a machine or appliance that contains information such as brand name, serial number, voltage, power ratings under specified conditions, and other manufacturer supplied data. </t>
  </si>
  <si>
    <r>
      <t>Name plate:</t>
    </r>
    <r>
      <rPr>
        <sz val="10"/>
        <color indexed="8"/>
        <rFont val="Arial"/>
        <family val="2"/>
      </rPr>
      <t/>
    </r>
  </si>
  <si>
    <t>PWC3</t>
  </si>
  <si>
    <t>PDO</t>
  </si>
  <si>
    <t>PSC</t>
  </si>
  <si>
    <t>Plants highlighted in red are future installations.</t>
  </si>
  <si>
    <t>PPE5</t>
  </si>
  <si>
    <t>OPC 006115</t>
  </si>
  <si>
    <t>FPL RC-16</t>
  </si>
  <si>
    <t>OPC 006116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</si>
</sst>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3" x14ac:knownFonts="1">
    <font>
      <sz val="10"/>
      <name val="Arial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Fill="1"/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9" fontId="0" fillId="0" borderId="0" xfId="0" applyNumberFormat="1" applyFill="1"/>
    <xf numFmtId="0" fontId="0" fillId="0" borderId="0" xfId="0" applyFill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9" fontId="5" fillId="2" borderId="2" xfId="0" applyNumberFormat="1" applyFont="1" applyFill="1" applyBorder="1" applyAlignment="1">
      <alignment horizontal="center"/>
    </xf>
    <xf numFmtId="9" fontId="4" fillId="4" borderId="2" xfId="0" applyNumberFormat="1" applyFont="1" applyFill="1" applyBorder="1" applyAlignment="1">
      <alignment horizontal="center"/>
    </xf>
    <xf numFmtId="9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0" fontId="0" fillId="3" borderId="2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5" borderId="4" xfId="0" applyFont="1" applyFill="1" applyBorder="1"/>
    <xf numFmtId="0" fontId="8" fillId="5" borderId="5" xfId="0" applyFont="1" applyFill="1" applyBorder="1" applyAlignment="1">
      <alignment horizontal="center"/>
    </xf>
    <xf numFmtId="0" fontId="4" fillId="0" borderId="6" xfId="0" applyFont="1" applyBorder="1"/>
    <xf numFmtId="0" fontId="4" fillId="0" borderId="7" xfId="0" applyFont="1" applyFill="1" applyBorder="1" applyAlignment="1">
      <alignment horizontal="center"/>
    </xf>
    <xf numFmtId="0" fontId="0" fillId="0" borderId="8" xfId="0" applyBorder="1"/>
    <xf numFmtId="164" fontId="0" fillId="0" borderId="9" xfId="0" quotePrefix="1" applyNumberFormat="1" applyBorder="1" applyAlignment="1">
      <alignment horizontal="center"/>
    </xf>
    <xf numFmtId="0" fontId="4" fillId="4" borderId="10" xfId="0" applyFont="1" applyFill="1" applyBorder="1"/>
    <xf numFmtId="164" fontId="6" fillId="4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0" fillId="3" borderId="10" xfId="0" applyFill="1" applyBorder="1"/>
    <xf numFmtId="164" fontId="3" fillId="3" borderId="9" xfId="0" applyNumberFormat="1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2" xfId="0" applyFont="1" applyFill="1" applyBorder="1" applyAlignment="1">
      <alignment horizontal="center"/>
    </xf>
    <xf numFmtId="164" fontId="5" fillId="2" borderId="13" xfId="0" applyNumberFormat="1" applyFont="1" applyFill="1" applyBorder="1" applyAlignment="1">
      <alignment horizontal="center"/>
    </xf>
    <xf numFmtId="164" fontId="5" fillId="2" borderId="14" xfId="0" applyNumberFormat="1" applyFont="1" applyFill="1" applyBorder="1" applyAlignment="1">
      <alignment horizontal="center"/>
    </xf>
    <xf numFmtId="0" fontId="0" fillId="3" borderId="15" xfId="0" applyFill="1" applyBorder="1"/>
    <xf numFmtId="0" fontId="0" fillId="3" borderId="16" xfId="0" applyFill="1" applyBorder="1" applyAlignment="1">
      <alignment horizontal="center"/>
    </xf>
    <xf numFmtId="164" fontId="3" fillId="3" borderId="17" xfId="0" applyNumberFormat="1" applyFont="1" applyFill="1" applyBorder="1" applyAlignment="1">
      <alignment horizontal="center"/>
    </xf>
    <xf numFmtId="2" fontId="3" fillId="3" borderId="18" xfId="0" applyNumberFormat="1" applyFont="1" applyFill="1" applyBorder="1" applyAlignment="1">
      <alignment horizontal="center"/>
    </xf>
    <xf numFmtId="164" fontId="3" fillId="3" borderId="19" xfId="0" applyNumberFormat="1" applyFont="1" applyFill="1" applyBorder="1" applyAlignment="1">
      <alignment horizontal="center"/>
    </xf>
    <xf numFmtId="9" fontId="0" fillId="3" borderId="16" xfId="0" applyNumberFormat="1" applyFill="1" applyBorder="1" applyAlignment="1">
      <alignment horizontal="center"/>
    </xf>
    <xf numFmtId="164" fontId="5" fillId="2" borderId="9" xfId="0" applyNumberFormat="1" applyFont="1" applyFill="1" applyBorder="1" applyAlignment="1">
      <alignment horizontal="center"/>
    </xf>
    <xf numFmtId="164" fontId="5" fillId="2" borderId="20" xfId="0" applyNumberFormat="1" applyFont="1" applyFill="1" applyBorder="1" applyAlignment="1">
      <alignment horizontal="center"/>
    </xf>
    <xf numFmtId="0" fontId="9" fillId="0" borderId="0" xfId="0" applyFont="1"/>
    <xf numFmtId="0" fontId="11" fillId="0" borderId="0" xfId="0" applyFont="1"/>
    <xf numFmtId="0" fontId="12" fillId="0" borderId="0" xfId="0" applyFont="1" applyFill="1" applyAlignment="1"/>
    <xf numFmtId="0" fontId="4" fillId="5" borderId="10" xfId="0" applyFont="1" applyFill="1" applyBorder="1"/>
    <xf numFmtId="0" fontId="4" fillId="5" borderId="2" xfId="0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2" fontId="6" fillId="5" borderId="0" xfId="0" applyNumberFormat="1" applyFont="1" applyFill="1" applyBorder="1" applyAlignment="1">
      <alignment horizontal="center"/>
    </xf>
    <xf numFmtId="164" fontId="4" fillId="5" borderId="9" xfId="0" applyNumberFormat="1" applyFont="1" applyFill="1" applyBorder="1" applyAlignment="1">
      <alignment horizontal="center"/>
    </xf>
    <xf numFmtId="0" fontId="0" fillId="6" borderId="10" xfId="0" applyFill="1" applyBorder="1"/>
    <xf numFmtId="0" fontId="0" fillId="6" borderId="2" xfId="0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/>
    </xf>
    <xf numFmtId="2" fontId="3" fillId="6" borderId="0" xfId="0" applyNumberFormat="1" applyFont="1" applyFill="1" applyBorder="1" applyAlignment="1">
      <alignment horizontal="center"/>
    </xf>
    <xf numFmtId="164" fontId="3" fillId="6" borderId="9" xfId="0" applyNumberFormat="1" applyFont="1" applyFill="1" applyBorder="1" applyAlignment="1">
      <alignment horizontal="center"/>
    </xf>
    <xf numFmtId="0" fontId="9" fillId="0" borderId="0" xfId="0" applyFont="1" applyFill="1" applyAlignment="1"/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165" fontId="5" fillId="5" borderId="5" xfId="0" applyNumberFormat="1" applyFont="1" applyFill="1" applyBorder="1" applyAlignment="1">
      <alignment horizontal="center"/>
    </xf>
    <xf numFmtId="165" fontId="8" fillId="5" borderId="5" xfId="0" applyNumberFormat="1" applyFont="1" applyFill="1" applyBorder="1" applyAlignment="1">
      <alignment horizontal="center"/>
    </xf>
    <xf numFmtId="165" fontId="5" fillId="5" borderId="2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4" fillId="4" borderId="15" xfId="0" applyFont="1" applyFill="1" applyBorder="1"/>
    <xf numFmtId="0" fontId="4" fillId="4" borderId="16" xfId="0" applyFont="1" applyFill="1" applyBorder="1" applyAlignment="1">
      <alignment horizontal="center"/>
    </xf>
    <xf numFmtId="164" fontId="6" fillId="4" borderId="17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/>
    </xf>
    <xf numFmtId="164" fontId="6" fillId="4" borderId="19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10" fontId="0" fillId="3" borderId="16" xfId="0" applyNumberFormat="1" applyFill="1" applyBorder="1" applyAlignment="1">
      <alignment horizontal="center"/>
    </xf>
    <xf numFmtId="0" fontId="10" fillId="0" borderId="0" xfId="0" applyFont="1" applyAlignment="1">
      <alignment vertical="center" wrapText="1"/>
    </xf>
    <xf numFmtId="164" fontId="4" fillId="0" borderId="13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4" fillId="0" borderId="20" xfId="0" applyNumberFormat="1" applyFont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4"/>
  <sheetViews>
    <sheetView tabSelected="1" zoomScale="75" zoomScaleNormal="75" workbookViewId="0">
      <selection activeCell="A10" sqref="A10"/>
    </sheetView>
  </sheetViews>
  <sheetFormatPr defaultRowHeight="13.2" x14ac:dyDescent="0.25"/>
  <cols>
    <col min="1" max="1" width="13.33203125" customWidth="1"/>
    <col min="2" max="2" width="10.88671875" customWidth="1"/>
    <col min="3" max="3" width="8.5546875" style="11" customWidth="1"/>
    <col min="4" max="6" width="13" style="1" customWidth="1"/>
    <col min="7" max="7" width="4" style="4" customWidth="1"/>
    <col min="8" max="8" width="10.33203125" style="2" customWidth="1"/>
    <col min="9" max="9" width="9.109375" style="2"/>
    <col min="10" max="12" width="12.88671875" customWidth="1"/>
    <col min="13" max="13" width="3.88671875" customWidth="1"/>
    <col min="16" max="16" width="14.33203125" customWidth="1"/>
    <col min="17" max="18" width="13.109375" customWidth="1"/>
  </cols>
  <sheetData>
    <row r="1" spans="1:18" ht="17.399999999999999" x14ac:dyDescent="0.3">
      <c r="A1" s="83" t="s">
        <v>79</v>
      </c>
      <c r="B1" s="49" t="s">
        <v>65</v>
      </c>
    </row>
    <row r="2" spans="1:18" ht="12.75" customHeight="1" x14ac:dyDescent="0.25">
      <c r="A2" s="83" t="s">
        <v>80</v>
      </c>
    </row>
    <row r="3" spans="1:18" ht="15.6" x14ac:dyDescent="0.3">
      <c r="B3" s="61" t="s">
        <v>69</v>
      </c>
    </row>
    <row r="4" spans="1:18" ht="15.6" x14ac:dyDescent="0.3">
      <c r="B4" s="64" t="s">
        <v>77</v>
      </c>
      <c r="C4" s="50"/>
    </row>
    <row r="5" spans="1:18" ht="12.75" customHeight="1" thickBot="1" x14ac:dyDescent="0.3"/>
    <row r="6" spans="1:18" x14ac:dyDescent="0.25">
      <c r="B6" s="27" t="s">
        <v>45</v>
      </c>
      <c r="C6" s="28" t="s">
        <v>49</v>
      </c>
      <c r="D6" s="80" t="s">
        <v>57</v>
      </c>
      <c r="E6" s="81"/>
      <c r="F6" s="82"/>
      <c r="H6" s="27" t="s">
        <v>45</v>
      </c>
      <c r="I6" s="28" t="s">
        <v>49</v>
      </c>
      <c r="J6" s="80" t="s">
        <v>57</v>
      </c>
      <c r="K6" s="81"/>
      <c r="L6" s="82"/>
      <c r="N6" s="27" t="s">
        <v>45</v>
      </c>
      <c r="O6" s="28" t="s">
        <v>49</v>
      </c>
      <c r="P6" s="80" t="s">
        <v>57</v>
      </c>
      <c r="Q6" s="81"/>
      <c r="R6" s="82"/>
    </row>
    <row r="7" spans="1:18" ht="13.8" thickBot="1" x14ac:dyDescent="0.3">
      <c r="B7" s="29"/>
      <c r="C7" s="24"/>
      <c r="D7" s="3" t="s">
        <v>29</v>
      </c>
      <c r="E7" s="4" t="s">
        <v>28</v>
      </c>
      <c r="F7" s="30" t="s">
        <v>30</v>
      </c>
      <c r="H7" s="29"/>
      <c r="I7" s="24"/>
      <c r="J7" s="3" t="s">
        <v>29</v>
      </c>
      <c r="K7" s="4" t="s">
        <v>28</v>
      </c>
      <c r="L7" s="30" t="s">
        <v>30</v>
      </c>
      <c r="N7" s="29"/>
      <c r="O7" s="24"/>
      <c r="P7" s="3" t="s">
        <v>29</v>
      </c>
      <c r="Q7" s="4" t="s">
        <v>28</v>
      </c>
      <c r="R7" s="30" t="s">
        <v>30</v>
      </c>
    </row>
    <row r="8" spans="1:18" x14ac:dyDescent="0.25">
      <c r="B8" s="36" t="s">
        <v>32</v>
      </c>
      <c r="C8" s="37"/>
      <c r="D8" s="38">
        <f>D9</f>
        <v>1524</v>
      </c>
      <c r="E8" s="39"/>
      <c r="F8" s="47">
        <f>F9</f>
        <v>1295.4000000000001</v>
      </c>
      <c r="H8" s="33" t="s">
        <v>37</v>
      </c>
      <c r="I8" s="17"/>
      <c r="J8" s="8">
        <f>SUM(J9:J11)</f>
        <v>3380.6</v>
      </c>
      <c r="K8" s="9"/>
      <c r="L8" s="46">
        <f>SUM(L9:L11)</f>
        <v>2951.11</v>
      </c>
      <c r="N8" s="33" t="s">
        <v>43</v>
      </c>
      <c r="O8" s="17"/>
      <c r="P8" s="8">
        <f>SUM(P9,P15)</f>
        <v>2751.2</v>
      </c>
      <c r="Q8" s="9"/>
      <c r="R8" s="46">
        <f>SUM(R9,R15)</f>
        <v>2377.7200000000003</v>
      </c>
    </row>
    <row r="9" spans="1:18" x14ac:dyDescent="0.25">
      <c r="B9" s="31" t="s">
        <v>67</v>
      </c>
      <c r="C9" s="16"/>
      <c r="D9" s="15">
        <f>SUM(D10:D13)</f>
        <v>1524</v>
      </c>
      <c r="E9" s="14">
        <f>SUMPRODUCT(D10:D13,E10:E13)/SUM(D10:D13)</f>
        <v>0.85000000000000009</v>
      </c>
      <c r="F9" s="32">
        <f>SUM(F10:F13)</f>
        <v>1295.4000000000001</v>
      </c>
      <c r="H9" s="31" t="s">
        <v>10</v>
      </c>
      <c r="I9" s="16"/>
      <c r="J9" s="15">
        <v>970</v>
      </c>
      <c r="K9" s="14">
        <v>0.89</v>
      </c>
      <c r="L9" s="32">
        <f>J9*K9</f>
        <v>863.30000000000007</v>
      </c>
      <c r="N9" s="31" t="s">
        <v>16</v>
      </c>
      <c r="O9" s="18"/>
      <c r="P9" s="15">
        <f>SUM(P10:P14)</f>
        <v>1375.6</v>
      </c>
      <c r="Q9" s="14">
        <f>(P10*Q10+P11*Q11+P12*Q12+P13*Q13+P14*Q14)/P9</f>
        <v>0.86424832800232643</v>
      </c>
      <c r="R9" s="32">
        <f>SUM(R10:R14)</f>
        <v>1188.8600000000001</v>
      </c>
    </row>
    <row r="10" spans="1:18" x14ac:dyDescent="0.25">
      <c r="B10" s="34"/>
      <c r="C10" s="22" t="s">
        <v>46</v>
      </c>
      <c r="D10" s="12">
        <v>323</v>
      </c>
      <c r="E10" s="13">
        <v>0.85</v>
      </c>
      <c r="F10" s="35">
        <f>D10*E10</f>
        <v>274.55</v>
      </c>
      <c r="H10" s="31" t="s">
        <v>11</v>
      </c>
      <c r="I10" s="16"/>
      <c r="J10" s="15">
        <v>970</v>
      </c>
      <c r="K10" s="14">
        <v>0.89</v>
      </c>
      <c r="L10" s="32">
        <f>J10*K10</f>
        <v>863.30000000000007</v>
      </c>
      <c r="N10" s="34"/>
      <c r="O10" s="22" t="s">
        <v>46</v>
      </c>
      <c r="P10" s="12">
        <v>221.4</v>
      </c>
      <c r="Q10" s="13">
        <v>0.85</v>
      </c>
      <c r="R10" s="35">
        <f>P10*Q10</f>
        <v>188.19</v>
      </c>
    </row>
    <row r="11" spans="1:18" x14ac:dyDescent="0.25">
      <c r="B11" s="34"/>
      <c r="C11" s="22" t="s">
        <v>47</v>
      </c>
      <c r="D11" s="12">
        <v>323</v>
      </c>
      <c r="E11" s="13">
        <v>0.85</v>
      </c>
      <c r="F11" s="35">
        <f>D11*E11</f>
        <v>274.55</v>
      </c>
      <c r="H11" s="31" t="s">
        <v>12</v>
      </c>
      <c r="I11" s="16"/>
      <c r="J11" s="15">
        <f>SUM(J12:J16)</f>
        <v>1440.6</v>
      </c>
      <c r="K11" s="14">
        <f>(J12*K12+J13*K13+J14*K14+J15*K15+J16*K16)/J11</f>
        <v>0.85000000000000009</v>
      </c>
      <c r="L11" s="32">
        <f>SUM(L12:L16)</f>
        <v>1224.51</v>
      </c>
      <c r="N11" s="34"/>
      <c r="O11" s="22" t="s">
        <v>47</v>
      </c>
      <c r="P11" s="12">
        <v>221.4</v>
      </c>
      <c r="Q11" s="13">
        <v>0.85</v>
      </c>
      <c r="R11" s="35">
        <f>P11*Q11</f>
        <v>188.19</v>
      </c>
    </row>
    <row r="12" spans="1:18" x14ac:dyDescent="0.25">
      <c r="B12" s="34"/>
      <c r="C12" s="22" t="s">
        <v>50</v>
      </c>
      <c r="D12" s="12">
        <v>323</v>
      </c>
      <c r="E12" s="13">
        <v>0.85</v>
      </c>
      <c r="F12" s="35">
        <f>D12*E12</f>
        <v>274.55</v>
      </c>
      <c r="H12" s="34"/>
      <c r="I12" s="22" t="s">
        <v>46</v>
      </c>
      <c r="J12" s="12">
        <v>221.4</v>
      </c>
      <c r="K12" s="13">
        <v>0.85</v>
      </c>
      <c r="L12" s="35">
        <f>J12*K12</f>
        <v>188.19</v>
      </c>
      <c r="N12" s="34"/>
      <c r="O12" s="22" t="s">
        <v>50</v>
      </c>
      <c r="P12" s="12">
        <v>221.4</v>
      </c>
      <c r="Q12" s="13">
        <v>0.85</v>
      </c>
      <c r="R12" s="35">
        <f>P12*Q12</f>
        <v>188.19</v>
      </c>
    </row>
    <row r="13" spans="1:18" x14ac:dyDescent="0.25">
      <c r="B13" s="34"/>
      <c r="C13" s="22" t="s">
        <v>48</v>
      </c>
      <c r="D13" s="12">
        <v>555</v>
      </c>
      <c r="E13" s="13">
        <v>0.85</v>
      </c>
      <c r="F13" s="35">
        <f>D13*E13</f>
        <v>471.75</v>
      </c>
      <c r="H13" s="34"/>
      <c r="I13" s="22" t="s">
        <v>47</v>
      </c>
      <c r="J13" s="12">
        <v>221.4</v>
      </c>
      <c r="K13" s="13">
        <v>0.85</v>
      </c>
      <c r="L13" s="35">
        <f>J13*K13</f>
        <v>188.19</v>
      </c>
      <c r="N13" s="34"/>
      <c r="O13" s="22" t="s">
        <v>51</v>
      </c>
      <c r="P13" s="12">
        <v>221.4</v>
      </c>
      <c r="Q13" s="13">
        <v>0.85</v>
      </c>
      <c r="R13" s="35">
        <f>P13*Q13</f>
        <v>188.19</v>
      </c>
    </row>
    <row r="14" spans="1:18" x14ac:dyDescent="0.25">
      <c r="B14" s="33" t="s">
        <v>75</v>
      </c>
      <c r="C14" s="17"/>
      <c r="D14" s="8">
        <f>SUM(D15)</f>
        <v>25</v>
      </c>
      <c r="E14" s="9"/>
      <c r="F14" s="46">
        <f>SUM(F15)</f>
        <v>22.5</v>
      </c>
      <c r="H14" s="34"/>
      <c r="I14" s="22" t="s">
        <v>50</v>
      </c>
      <c r="J14" s="12">
        <v>221.4</v>
      </c>
      <c r="K14" s="13">
        <v>0.85</v>
      </c>
      <c r="L14" s="35">
        <f>J14*K14</f>
        <v>188.19</v>
      </c>
      <c r="N14" s="34"/>
      <c r="O14" s="22" t="s">
        <v>48</v>
      </c>
      <c r="P14" s="12">
        <v>490</v>
      </c>
      <c r="Q14" s="13">
        <v>0.89</v>
      </c>
      <c r="R14" s="35">
        <f>P14*Q14</f>
        <v>436.1</v>
      </c>
    </row>
    <row r="15" spans="1:18" x14ac:dyDescent="0.25">
      <c r="B15" s="31" t="s">
        <v>75</v>
      </c>
      <c r="C15" s="16"/>
      <c r="D15" s="15">
        <v>25</v>
      </c>
      <c r="E15" s="14">
        <v>0.9</v>
      </c>
      <c r="F15" s="32">
        <f>D15*E15</f>
        <v>22.5</v>
      </c>
      <c r="H15" s="34"/>
      <c r="I15" s="22" t="s">
        <v>51</v>
      </c>
      <c r="J15" s="12">
        <v>221.4</v>
      </c>
      <c r="K15" s="13">
        <v>0.85</v>
      </c>
      <c r="L15" s="35">
        <f>J15*K15</f>
        <v>188.19</v>
      </c>
      <c r="N15" s="31" t="s">
        <v>17</v>
      </c>
      <c r="O15" s="18"/>
      <c r="P15" s="15">
        <f>SUM(P16:P20)</f>
        <v>1375.6</v>
      </c>
      <c r="Q15" s="14">
        <f>(P16*Q16+P17*Q17+P18*Q18+P19*Q19+P20*Q20)/P15</f>
        <v>0.86424832800232643</v>
      </c>
      <c r="R15" s="32">
        <f>SUM(R16:R20)</f>
        <v>1188.8600000000001</v>
      </c>
    </row>
    <row r="16" spans="1:18" x14ac:dyDescent="0.25">
      <c r="B16" s="33" t="s">
        <v>33</v>
      </c>
      <c r="C16" s="17"/>
      <c r="D16" s="8">
        <f>SUM(D17,D21,D25,D26)</f>
        <v>2259.08</v>
      </c>
      <c r="E16" s="9"/>
      <c r="F16" s="46">
        <f>SUM(F17,F21,F25,F26)</f>
        <v>1873.9680000000001</v>
      </c>
      <c r="H16" s="34"/>
      <c r="I16" s="22" t="s">
        <v>48</v>
      </c>
      <c r="J16" s="12">
        <v>555</v>
      </c>
      <c r="K16" s="13">
        <v>0.85</v>
      </c>
      <c r="L16" s="35">
        <f>J16*K16</f>
        <v>471.75</v>
      </c>
      <c r="N16" s="34"/>
      <c r="O16" s="22" t="s">
        <v>46</v>
      </c>
      <c r="P16" s="12">
        <v>221.4</v>
      </c>
      <c r="Q16" s="13">
        <v>0.85</v>
      </c>
      <c r="R16" s="35">
        <f>P16*Q16</f>
        <v>188.19</v>
      </c>
    </row>
    <row r="17" spans="2:18" x14ac:dyDescent="0.25">
      <c r="B17" s="31" t="s">
        <v>0</v>
      </c>
      <c r="C17" s="16"/>
      <c r="D17" s="15">
        <f>SUM(D18:D20)</f>
        <v>646.32400000000007</v>
      </c>
      <c r="E17" s="14">
        <f>(D18*E18+D19*E19+D20*E20)/D17</f>
        <v>0.81422073139787465</v>
      </c>
      <c r="F17" s="32">
        <f>SUM(F18:F20)</f>
        <v>526.25040000000001</v>
      </c>
      <c r="H17" s="33" t="s">
        <v>38</v>
      </c>
      <c r="I17" s="17"/>
      <c r="J17" s="8">
        <f>SUM(J18,J23)</f>
        <v>2145.2159999999999</v>
      </c>
      <c r="K17" s="9"/>
      <c r="L17" s="46">
        <f>SUM(L18,L23)</f>
        <v>1823.4335999999998</v>
      </c>
      <c r="N17" s="34"/>
      <c r="O17" s="22" t="s">
        <v>47</v>
      </c>
      <c r="P17" s="12">
        <v>221.4</v>
      </c>
      <c r="Q17" s="13">
        <v>0.85</v>
      </c>
      <c r="R17" s="35">
        <f>P17*Q17</f>
        <v>188.19</v>
      </c>
    </row>
    <row r="18" spans="2:18" x14ac:dyDescent="0.25">
      <c r="B18" s="34"/>
      <c r="C18" s="22" t="s">
        <v>46</v>
      </c>
      <c r="D18" s="12">
        <v>231.25</v>
      </c>
      <c r="E18" s="13">
        <v>0.8</v>
      </c>
      <c r="F18" s="35">
        <f>D18*E18</f>
        <v>185</v>
      </c>
      <c r="H18" s="51" t="s">
        <v>78</v>
      </c>
      <c r="I18" s="52"/>
      <c r="J18" s="53">
        <f>SUM(J19:J22)</f>
        <v>1662</v>
      </c>
      <c r="K18" s="54">
        <f>SUMPRODUCT(J19:J22,K19:K22)/SUM(J19:J22)</f>
        <v>0.84999999999999987</v>
      </c>
      <c r="L18" s="55">
        <f>SUM(L19:L22)</f>
        <v>1412.6999999999998</v>
      </c>
      <c r="N18" s="34"/>
      <c r="O18" s="22" t="s">
        <v>50</v>
      </c>
      <c r="P18" s="12">
        <v>221.4</v>
      </c>
      <c r="Q18" s="13">
        <v>0.85</v>
      </c>
      <c r="R18" s="35">
        <f>P18*Q18</f>
        <v>188.19</v>
      </c>
    </row>
    <row r="19" spans="2:18" x14ac:dyDescent="0.25">
      <c r="B19" s="34"/>
      <c r="C19" s="22" t="s">
        <v>47</v>
      </c>
      <c r="D19" s="12">
        <v>231.25</v>
      </c>
      <c r="E19" s="13">
        <v>0.8</v>
      </c>
      <c r="F19" s="35">
        <f>D19*E19</f>
        <v>185</v>
      </c>
      <c r="H19" s="56"/>
      <c r="I19" s="57" t="s">
        <v>46</v>
      </c>
      <c r="J19" s="58">
        <v>374</v>
      </c>
      <c r="K19" s="59">
        <v>0.85</v>
      </c>
      <c r="L19" s="60">
        <f>J19*K19</f>
        <v>317.89999999999998</v>
      </c>
      <c r="N19" s="34"/>
      <c r="O19" s="22" t="s">
        <v>51</v>
      </c>
      <c r="P19" s="12">
        <v>221.4</v>
      </c>
      <c r="Q19" s="13">
        <v>0.85</v>
      </c>
      <c r="R19" s="35">
        <f>P19*Q19</f>
        <v>188.19</v>
      </c>
    </row>
    <row r="20" spans="2:18" x14ac:dyDescent="0.25">
      <c r="B20" s="34"/>
      <c r="C20" s="22" t="s">
        <v>48</v>
      </c>
      <c r="D20" s="12">
        <v>183.82400000000001</v>
      </c>
      <c r="E20" s="13">
        <v>0.85</v>
      </c>
      <c r="F20" s="35">
        <f>D20*E20</f>
        <v>156.25040000000001</v>
      </c>
      <c r="H20" s="56"/>
      <c r="I20" s="57" t="s">
        <v>47</v>
      </c>
      <c r="J20" s="58">
        <v>374</v>
      </c>
      <c r="K20" s="59">
        <v>0.85</v>
      </c>
      <c r="L20" s="60">
        <f>J20*K20</f>
        <v>317.89999999999998</v>
      </c>
      <c r="N20" s="34"/>
      <c r="O20" s="22" t="s">
        <v>48</v>
      </c>
      <c r="P20" s="12">
        <v>490</v>
      </c>
      <c r="Q20" s="13">
        <v>0.89</v>
      </c>
      <c r="R20" s="35">
        <f>P20*Q20</f>
        <v>436.1</v>
      </c>
    </row>
    <row r="21" spans="2:18" x14ac:dyDescent="0.25">
      <c r="B21" s="31" t="s">
        <v>1</v>
      </c>
      <c r="C21" s="16"/>
      <c r="D21" s="15">
        <f>SUM(D22:D24)</f>
        <v>646.32400000000007</v>
      </c>
      <c r="E21" s="14">
        <f>(D22*E22+D23*E23+D24*E24)/D21</f>
        <v>0.81422073139787465</v>
      </c>
      <c r="F21" s="32">
        <f>SUM(F22:F24)</f>
        <v>526.25040000000001</v>
      </c>
      <c r="H21" s="56"/>
      <c r="I21" s="57" t="s">
        <v>50</v>
      </c>
      <c r="J21" s="58">
        <v>374</v>
      </c>
      <c r="K21" s="59">
        <v>0.85</v>
      </c>
      <c r="L21" s="60">
        <f>J21*K21</f>
        <v>317.89999999999998</v>
      </c>
      <c r="N21" s="33" t="s">
        <v>44</v>
      </c>
      <c r="O21" s="17"/>
      <c r="P21" s="8">
        <f>SUM(P22,P23,P24,P25)</f>
        <v>3934.6</v>
      </c>
      <c r="Q21" s="9"/>
      <c r="R21" s="46">
        <f>SUM(R22,R23,R24,R25)</f>
        <v>3344.41</v>
      </c>
    </row>
    <row r="22" spans="2:18" x14ac:dyDescent="0.25">
      <c r="B22" s="34"/>
      <c r="C22" s="22" t="s">
        <v>46</v>
      </c>
      <c r="D22" s="12">
        <v>231.25</v>
      </c>
      <c r="E22" s="13">
        <v>0.8</v>
      </c>
      <c r="F22" s="35">
        <f>D22*E22</f>
        <v>185</v>
      </c>
      <c r="H22" s="56"/>
      <c r="I22" s="57" t="s">
        <v>48</v>
      </c>
      <c r="J22" s="58">
        <v>540</v>
      </c>
      <c r="K22" s="59">
        <v>0.85</v>
      </c>
      <c r="L22" s="60">
        <f>J22*K22</f>
        <v>459</v>
      </c>
      <c r="N22" s="31" t="s">
        <v>18</v>
      </c>
      <c r="O22" s="16"/>
      <c r="P22" s="15">
        <v>430</v>
      </c>
      <c r="Q22" s="14">
        <v>0.85</v>
      </c>
      <c r="R22" s="32">
        <f>P22*Q22</f>
        <v>365.5</v>
      </c>
    </row>
    <row r="23" spans="2:18" x14ac:dyDescent="0.25">
      <c r="B23" s="34"/>
      <c r="C23" s="22" t="s">
        <v>47</v>
      </c>
      <c r="D23" s="12">
        <v>231.25</v>
      </c>
      <c r="E23" s="13">
        <v>0.8</v>
      </c>
      <c r="F23" s="35">
        <f>D23*E23</f>
        <v>185</v>
      </c>
      <c r="H23" s="31" t="s">
        <v>13</v>
      </c>
      <c r="I23" s="16">
        <v>12</v>
      </c>
      <c r="J23" s="15">
        <f>40.268*12</f>
        <v>483.21600000000001</v>
      </c>
      <c r="K23" s="14">
        <v>0.85</v>
      </c>
      <c r="L23" s="32">
        <f>J23*K23</f>
        <v>410.73360000000002</v>
      </c>
      <c r="N23" s="31" t="s">
        <v>19</v>
      </c>
      <c r="O23" s="16"/>
      <c r="P23" s="15">
        <v>1032</v>
      </c>
      <c r="Q23" s="14">
        <v>0.85</v>
      </c>
      <c r="R23" s="32">
        <f>P23*Q23</f>
        <v>877.19999999999993</v>
      </c>
    </row>
    <row r="24" spans="2:18" x14ac:dyDescent="0.25">
      <c r="B24" s="34"/>
      <c r="C24" s="22" t="s">
        <v>48</v>
      </c>
      <c r="D24" s="12">
        <v>183.82400000000001</v>
      </c>
      <c r="E24" s="13">
        <v>0.85</v>
      </c>
      <c r="F24" s="35">
        <f>D24*E24</f>
        <v>156.25040000000001</v>
      </c>
      <c r="H24" s="33" t="s">
        <v>39</v>
      </c>
      <c r="I24" s="17"/>
      <c r="J24" s="8">
        <f>SUM(J25,J29)</f>
        <v>644.44200000000001</v>
      </c>
      <c r="K24" s="9"/>
      <c r="L24" s="46">
        <f>SUM(L25,L29)</f>
        <v>579.99779999999998</v>
      </c>
      <c r="N24" s="31" t="s">
        <v>20</v>
      </c>
      <c r="O24" s="16"/>
      <c r="P24" s="15">
        <v>1032</v>
      </c>
      <c r="Q24" s="14">
        <v>0.85</v>
      </c>
      <c r="R24" s="32">
        <f>P24*Q24</f>
        <v>877.19999999999993</v>
      </c>
    </row>
    <row r="25" spans="2:18" x14ac:dyDescent="0.25">
      <c r="B25" s="31" t="s">
        <v>21</v>
      </c>
      <c r="C25" s="16">
        <v>12</v>
      </c>
      <c r="D25" s="15">
        <f>40.268*C25</f>
        <v>483.21600000000001</v>
      </c>
      <c r="E25" s="14">
        <v>0.85</v>
      </c>
      <c r="F25" s="32">
        <f>D25*E25</f>
        <v>410.73360000000002</v>
      </c>
      <c r="H25" s="31" t="s">
        <v>14</v>
      </c>
      <c r="I25" s="16"/>
      <c r="J25" s="15">
        <f>SUM(J26:J28)</f>
        <v>322.221</v>
      </c>
      <c r="K25" s="14">
        <f>(J26*K26+J27*K27+J28*K28)/J25</f>
        <v>0.89999999999999991</v>
      </c>
      <c r="L25" s="32">
        <f>SUM(L26:L28)</f>
        <v>289.99889999999999</v>
      </c>
      <c r="N25" s="31" t="s">
        <v>31</v>
      </c>
      <c r="O25" s="16"/>
      <c r="P25" s="15">
        <f>SUM(P26:P30)</f>
        <v>1440.6</v>
      </c>
      <c r="Q25" s="14">
        <f>(P26*Q26+P27*Q27+P28*Q28+P29*Q29+P30*Q30)/P25</f>
        <v>0.85000000000000009</v>
      </c>
      <c r="R25" s="32">
        <f>SUM(R26:R30)</f>
        <v>1224.51</v>
      </c>
    </row>
    <row r="26" spans="2:18" x14ac:dyDescent="0.25">
      <c r="B26" s="31" t="s">
        <v>22</v>
      </c>
      <c r="C26" s="16">
        <v>12</v>
      </c>
      <c r="D26" s="15">
        <f>40.268*C26</f>
        <v>483.21600000000001</v>
      </c>
      <c r="E26" s="14">
        <v>0.85</v>
      </c>
      <c r="F26" s="32">
        <f>D26*E26</f>
        <v>410.73360000000002</v>
      </c>
      <c r="G26" s="6"/>
      <c r="H26" s="34"/>
      <c r="I26" s="22" t="s">
        <v>46</v>
      </c>
      <c r="J26" s="12">
        <v>94.444000000000003</v>
      </c>
      <c r="K26" s="13">
        <v>0.9</v>
      </c>
      <c r="L26" s="35">
        <f>J26*K26</f>
        <v>84.999600000000001</v>
      </c>
      <c r="N26" s="34"/>
      <c r="O26" s="22" t="s">
        <v>46</v>
      </c>
      <c r="P26" s="12">
        <v>221.4</v>
      </c>
      <c r="Q26" s="13">
        <v>0.85</v>
      </c>
      <c r="R26" s="35">
        <f>P26*Q26</f>
        <v>188.19</v>
      </c>
    </row>
    <row r="27" spans="2:18" x14ac:dyDescent="0.25">
      <c r="B27" s="33" t="s">
        <v>34</v>
      </c>
      <c r="C27" s="17"/>
      <c r="D27" s="8">
        <f>SUM(D28,D37,D40)</f>
        <v>3271.8240000000005</v>
      </c>
      <c r="E27" s="9"/>
      <c r="F27" s="46">
        <f>SUM(F28,F37,F40)</f>
        <v>2841.9904000000006</v>
      </c>
      <c r="G27" s="6"/>
      <c r="H27" s="34"/>
      <c r="I27" s="22" t="s">
        <v>47</v>
      </c>
      <c r="J27" s="12">
        <v>94.444000000000003</v>
      </c>
      <c r="K27" s="13">
        <v>0.9</v>
      </c>
      <c r="L27" s="35">
        <f>J27*K27</f>
        <v>84.999600000000001</v>
      </c>
      <c r="N27" s="34"/>
      <c r="O27" s="22" t="s">
        <v>47</v>
      </c>
      <c r="P27" s="12">
        <v>221.4</v>
      </c>
      <c r="Q27" s="13">
        <v>0.85</v>
      </c>
      <c r="R27" s="35">
        <f>P27*Q27</f>
        <v>188.19</v>
      </c>
    </row>
    <row r="28" spans="2:18" x14ac:dyDescent="0.25">
      <c r="B28" s="31" t="s">
        <v>2</v>
      </c>
      <c r="C28" s="16"/>
      <c r="D28" s="15">
        <f>SUM(D29:D36)</f>
        <v>2002.2240000000002</v>
      </c>
      <c r="E28" s="14">
        <f>(D35*E35+D36*E36+D29*6*E29)/D28</f>
        <v>0.85978911450467077</v>
      </c>
      <c r="F28" s="32">
        <f>SUM(F29:F36)</f>
        <v>1721.4904000000001</v>
      </c>
      <c r="H28" s="34"/>
      <c r="I28" s="22" t="s">
        <v>48</v>
      </c>
      <c r="J28" s="12">
        <v>133.333</v>
      </c>
      <c r="K28" s="13">
        <v>0.9</v>
      </c>
      <c r="L28" s="35">
        <f>J28*K28</f>
        <v>119.9997</v>
      </c>
      <c r="N28" s="34"/>
      <c r="O28" s="22" t="s">
        <v>50</v>
      </c>
      <c r="P28" s="12">
        <v>221.4</v>
      </c>
      <c r="Q28" s="13">
        <v>0.85</v>
      </c>
      <c r="R28" s="35">
        <f>P28*Q28</f>
        <v>188.19</v>
      </c>
    </row>
    <row r="29" spans="2:18" x14ac:dyDescent="0.25">
      <c r="B29" s="34"/>
      <c r="C29" s="22" t="s">
        <v>46</v>
      </c>
      <c r="D29" s="12">
        <v>221.4</v>
      </c>
      <c r="E29" s="13">
        <v>0.85</v>
      </c>
      <c r="F29" s="35">
        <f t="shared" ref="F29:F36" si="0">D29*E29</f>
        <v>188.19</v>
      </c>
      <c r="H29" s="31" t="s">
        <v>15</v>
      </c>
      <c r="I29" s="16"/>
      <c r="J29" s="15">
        <f>SUM(J30:J32)</f>
        <v>322.221</v>
      </c>
      <c r="K29" s="14">
        <f>(J30*K30+J31*K31+J32*K32)/J29</f>
        <v>0.89999999999999991</v>
      </c>
      <c r="L29" s="32">
        <f>SUM(L30:L32)</f>
        <v>289.99889999999999</v>
      </c>
      <c r="N29" s="34"/>
      <c r="O29" s="22" t="s">
        <v>51</v>
      </c>
      <c r="P29" s="12">
        <v>221.4</v>
      </c>
      <c r="Q29" s="13">
        <v>0.85</v>
      </c>
      <c r="R29" s="35">
        <f>P29*Q29</f>
        <v>188.19</v>
      </c>
    </row>
    <row r="30" spans="2:18" x14ac:dyDescent="0.25">
      <c r="B30" s="34"/>
      <c r="C30" s="22" t="s">
        <v>47</v>
      </c>
      <c r="D30" s="12">
        <v>221.4</v>
      </c>
      <c r="E30" s="13">
        <v>0.85</v>
      </c>
      <c r="F30" s="35">
        <f t="shared" si="0"/>
        <v>188.19</v>
      </c>
      <c r="H30" s="34"/>
      <c r="I30" s="22" t="s">
        <v>46</v>
      </c>
      <c r="J30" s="12">
        <v>94.444000000000003</v>
      </c>
      <c r="K30" s="13">
        <v>0.9</v>
      </c>
      <c r="L30" s="35">
        <f>J30*K30</f>
        <v>84.999600000000001</v>
      </c>
      <c r="N30" s="34"/>
      <c r="O30" s="22" t="s">
        <v>48</v>
      </c>
      <c r="P30" s="12">
        <v>555</v>
      </c>
      <c r="Q30" s="13">
        <v>0.85</v>
      </c>
      <c r="R30" s="35">
        <f>P30*Q30</f>
        <v>471.75</v>
      </c>
    </row>
    <row r="31" spans="2:18" x14ac:dyDescent="0.25">
      <c r="B31" s="34"/>
      <c r="C31" s="22" t="s">
        <v>50</v>
      </c>
      <c r="D31" s="12">
        <v>221.4</v>
      </c>
      <c r="E31" s="13">
        <v>0.85</v>
      </c>
      <c r="F31" s="35">
        <f t="shared" si="0"/>
        <v>188.19</v>
      </c>
      <c r="H31" s="34"/>
      <c r="I31" s="22" t="s">
        <v>47</v>
      </c>
      <c r="J31" s="12">
        <v>94.444000000000003</v>
      </c>
      <c r="K31" s="13">
        <v>0.9</v>
      </c>
      <c r="L31" s="35">
        <f>J31*K31</f>
        <v>84.999600000000001</v>
      </c>
      <c r="N31" s="33" t="s">
        <v>58</v>
      </c>
      <c r="O31" s="17"/>
      <c r="P31" s="8">
        <f>SUM(P32,P37,P42)</f>
        <v>4824</v>
      </c>
      <c r="Q31" s="9"/>
      <c r="R31" s="8">
        <f>SUM(R32,R37,R42)</f>
        <v>4100.3999999999996</v>
      </c>
    </row>
    <row r="32" spans="2:18" ht="13.8" thickBot="1" x14ac:dyDescent="0.3">
      <c r="B32" s="34"/>
      <c r="C32" s="22" t="s">
        <v>51</v>
      </c>
      <c r="D32" s="12">
        <v>221.4</v>
      </c>
      <c r="E32" s="13">
        <v>0.85</v>
      </c>
      <c r="F32" s="35">
        <f t="shared" si="0"/>
        <v>188.19</v>
      </c>
      <c r="H32" s="40"/>
      <c r="I32" s="41" t="s">
        <v>48</v>
      </c>
      <c r="J32" s="42">
        <v>133.333</v>
      </c>
      <c r="K32" s="43">
        <v>0.9</v>
      </c>
      <c r="L32" s="44">
        <f>J32*K32</f>
        <v>119.9997</v>
      </c>
      <c r="N32" s="31" t="s">
        <v>59</v>
      </c>
      <c r="O32" s="16"/>
      <c r="P32" s="15">
        <f>SUM(P33:P36)</f>
        <v>1608</v>
      </c>
      <c r="Q32" s="14">
        <f>(P33*Q33+P34*Q34+P35*Q35+P36*Q36)/P32</f>
        <v>0.85</v>
      </c>
      <c r="R32" s="32">
        <f>SUM(R33:R36)</f>
        <v>1366.8</v>
      </c>
    </row>
    <row r="33" spans="1:18" x14ac:dyDescent="0.25">
      <c r="B33" s="34"/>
      <c r="C33" s="22" t="s">
        <v>54</v>
      </c>
      <c r="D33" s="12">
        <v>221.4</v>
      </c>
      <c r="E33" s="13">
        <v>0.85</v>
      </c>
      <c r="F33" s="35">
        <f t="shared" si="0"/>
        <v>188.19</v>
      </c>
      <c r="H33" s="33" t="s">
        <v>40</v>
      </c>
      <c r="I33" s="17"/>
      <c r="J33" s="8">
        <f>J34</f>
        <v>1524</v>
      </c>
      <c r="K33" s="9"/>
      <c r="L33" s="46">
        <f>L34</f>
        <v>1295.4000000000001</v>
      </c>
      <c r="N33" s="34"/>
      <c r="O33" s="22" t="s">
        <v>46</v>
      </c>
      <c r="P33" s="12">
        <v>351</v>
      </c>
      <c r="Q33" s="13">
        <v>0.85</v>
      </c>
      <c r="R33" s="35">
        <f>P33*Q33</f>
        <v>298.34999999999997</v>
      </c>
    </row>
    <row r="34" spans="1:18" x14ac:dyDescent="0.25">
      <c r="B34" s="34"/>
      <c r="C34" s="22" t="s">
        <v>55</v>
      </c>
      <c r="D34" s="12">
        <v>221.4</v>
      </c>
      <c r="E34" s="13">
        <v>0.85</v>
      </c>
      <c r="F34" s="35">
        <f t="shared" si="0"/>
        <v>188.19</v>
      </c>
      <c r="H34" s="31" t="s">
        <v>68</v>
      </c>
      <c r="I34" s="16"/>
      <c r="J34" s="15">
        <f>SUM(J35:J38)</f>
        <v>1524</v>
      </c>
      <c r="K34" s="14">
        <f>SUMPRODUCT(J35:J38,K35:K38)/SUM(J35:J38)</f>
        <v>0.85000000000000009</v>
      </c>
      <c r="L34" s="32">
        <f>SUM(L35:L38)</f>
        <v>1295.4000000000001</v>
      </c>
      <c r="N34" s="34"/>
      <c r="O34" s="22" t="s">
        <v>47</v>
      </c>
      <c r="P34" s="12">
        <v>351</v>
      </c>
      <c r="Q34" s="13">
        <v>0.85</v>
      </c>
      <c r="R34" s="35">
        <f>P34*Q34</f>
        <v>298.34999999999997</v>
      </c>
    </row>
    <row r="35" spans="1:18" x14ac:dyDescent="0.25">
      <c r="B35" s="34"/>
      <c r="C35" s="22" t="s">
        <v>52</v>
      </c>
      <c r="D35" s="12">
        <v>183.82400000000001</v>
      </c>
      <c r="E35" s="13">
        <v>0.85</v>
      </c>
      <c r="F35" s="35">
        <f t="shared" si="0"/>
        <v>156.25040000000001</v>
      </c>
      <c r="H35" s="34"/>
      <c r="I35" s="22" t="s">
        <v>46</v>
      </c>
      <c r="J35" s="12">
        <v>323</v>
      </c>
      <c r="K35" s="13">
        <v>0.85</v>
      </c>
      <c r="L35" s="35">
        <f>J35*K35</f>
        <v>274.55</v>
      </c>
      <c r="N35" s="34"/>
      <c r="O35" s="22" t="s">
        <v>50</v>
      </c>
      <c r="P35" s="12">
        <v>351</v>
      </c>
      <c r="Q35" s="13">
        <v>0.85</v>
      </c>
      <c r="R35" s="35">
        <f>P35*Q35</f>
        <v>298.34999999999997</v>
      </c>
    </row>
    <row r="36" spans="1:18" x14ac:dyDescent="0.25">
      <c r="B36" s="34"/>
      <c r="C36" s="22" t="s">
        <v>53</v>
      </c>
      <c r="D36" s="12">
        <v>490</v>
      </c>
      <c r="E36" s="13">
        <v>0.89</v>
      </c>
      <c r="F36" s="35">
        <f t="shared" si="0"/>
        <v>436.1</v>
      </c>
      <c r="G36" s="6"/>
      <c r="H36" s="34"/>
      <c r="I36" s="22" t="s">
        <v>47</v>
      </c>
      <c r="J36" s="12">
        <v>323</v>
      </c>
      <c r="K36" s="13">
        <v>0.85</v>
      </c>
      <c r="L36" s="35">
        <f>J36*K36</f>
        <v>274.55</v>
      </c>
      <c r="N36" s="34"/>
      <c r="O36" s="22" t="s">
        <v>48</v>
      </c>
      <c r="P36" s="12">
        <v>555</v>
      </c>
      <c r="Q36" s="13">
        <v>0.85</v>
      </c>
      <c r="R36" s="35">
        <f>P36*Q36</f>
        <v>471.75</v>
      </c>
    </row>
    <row r="37" spans="1:18" x14ac:dyDescent="0.25">
      <c r="B37" s="31" t="s">
        <v>3</v>
      </c>
      <c r="C37" s="18"/>
      <c r="D37" s="15">
        <f>SUM(D38:D39)</f>
        <v>442.8</v>
      </c>
      <c r="E37" s="14">
        <f>(D38*E38+D39*E39)/D37</f>
        <v>0.85</v>
      </c>
      <c r="F37" s="32">
        <f>SUM(F38:F39)</f>
        <v>376.38</v>
      </c>
      <c r="H37" s="34"/>
      <c r="I37" s="22" t="s">
        <v>50</v>
      </c>
      <c r="J37" s="12">
        <v>323</v>
      </c>
      <c r="K37" s="13">
        <v>0.85</v>
      </c>
      <c r="L37" s="35">
        <f>J37*K37</f>
        <v>274.55</v>
      </c>
      <c r="N37" s="31" t="s">
        <v>60</v>
      </c>
      <c r="O37" s="16"/>
      <c r="P37" s="15">
        <f>SUM(P38:P41)</f>
        <v>1608</v>
      </c>
      <c r="Q37" s="14">
        <f>(P38*Q38+P39*Q39+P40*Q40+P41*Q41)/P37</f>
        <v>0.85</v>
      </c>
      <c r="R37" s="32">
        <f>SUM(R38:R41)</f>
        <v>1366.8</v>
      </c>
    </row>
    <row r="38" spans="1:18" ht="13.8" thickBot="1" x14ac:dyDescent="0.3">
      <c r="B38" s="34"/>
      <c r="C38" s="22" t="s">
        <v>46</v>
      </c>
      <c r="D38" s="12">
        <v>221.4</v>
      </c>
      <c r="E38" s="13">
        <v>0.85</v>
      </c>
      <c r="F38" s="35">
        <f>D38*E38</f>
        <v>188.19</v>
      </c>
      <c r="H38" s="34"/>
      <c r="I38" s="22" t="s">
        <v>48</v>
      </c>
      <c r="J38" s="12">
        <v>555</v>
      </c>
      <c r="K38" s="13">
        <v>0.85</v>
      </c>
      <c r="L38" s="35">
        <f>J38*K38</f>
        <v>471.75</v>
      </c>
      <c r="N38" s="34"/>
      <c r="O38" s="22" t="s">
        <v>46</v>
      </c>
      <c r="P38" s="12">
        <v>351</v>
      </c>
      <c r="Q38" s="13">
        <v>0.85</v>
      </c>
      <c r="R38" s="35">
        <f>P38*Q38</f>
        <v>298.34999999999997</v>
      </c>
    </row>
    <row r="39" spans="1:18" x14ac:dyDescent="0.25">
      <c r="B39" s="34"/>
      <c r="C39" s="22" t="s">
        <v>47</v>
      </c>
      <c r="D39" s="12">
        <v>221.4</v>
      </c>
      <c r="E39" s="13">
        <v>0.85</v>
      </c>
      <c r="F39" s="35">
        <f>D39*E39</f>
        <v>188.19</v>
      </c>
      <c r="H39" s="36" t="s">
        <v>76</v>
      </c>
      <c r="I39" s="37"/>
      <c r="J39" s="38">
        <f>SUM(J40)</f>
        <v>10</v>
      </c>
      <c r="K39" s="39"/>
      <c r="L39" s="47">
        <f>SUM(L40)</f>
        <v>10</v>
      </c>
      <c r="N39" s="34"/>
      <c r="O39" s="22" t="s">
        <v>47</v>
      </c>
      <c r="P39" s="12">
        <v>351</v>
      </c>
      <c r="Q39" s="13">
        <v>0.85</v>
      </c>
      <c r="R39" s="35">
        <f>P39*Q39</f>
        <v>298.34999999999997</v>
      </c>
    </row>
    <row r="40" spans="1:18" ht="13.8" thickBot="1" x14ac:dyDescent="0.3">
      <c r="A40" s="10"/>
      <c r="B40" s="31" t="s">
        <v>4</v>
      </c>
      <c r="C40" s="16">
        <v>12</v>
      </c>
      <c r="D40" s="15">
        <f>68.9*C40</f>
        <v>826.80000000000007</v>
      </c>
      <c r="E40" s="14">
        <v>0.9</v>
      </c>
      <c r="F40" s="32">
        <f>D40*E40</f>
        <v>744.12000000000012</v>
      </c>
      <c r="G40" s="6"/>
      <c r="H40" s="69" t="s">
        <v>76</v>
      </c>
      <c r="I40" s="70"/>
      <c r="J40" s="71">
        <v>10</v>
      </c>
      <c r="K40" s="72">
        <f>L40/J40</f>
        <v>1</v>
      </c>
      <c r="L40" s="73">
        <v>10</v>
      </c>
      <c r="N40" s="34"/>
      <c r="O40" s="22" t="s">
        <v>50</v>
      </c>
      <c r="P40" s="12">
        <v>351</v>
      </c>
      <c r="Q40" s="13">
        <v>0.85</v>
      </c>
      <c r="R40" s="35">
        <f>P40*Q40</f>
        <v>298.34999999999997</v>
      </c>
    </row>
    <row r="41" spans="1:18" x14ac:dyDescent="0.25">
      <c r="A41" s="5"/>
      <c r="B41" s="33" t="s">
        <v>35</v>
      </c>
      <c r="C41" s="19">
        <v>1</v>
      </c>
      <c r="D41" s="8">
        <f>SUM(D42,D44)</f>
        <v>1510.2</v>
      </c>
      <c r="E41" s="9"/>
      <c r="F41" s="46">
        <f>SUM(F42,F44)</f>
        <v>1359.18</v>
      </c>
      <c r="G41" s="6"/>
      <c r="H41" s="33" t="s">
        <v>41</v>
      </c>
      <c r="I41" s="19">
        <v>1</v>
      </c>
      <c r="J41" s="8">
        <f>SUM(J42)</f>
        <v>990</v>
      </c>
      <c r="K41" s="9"/>
      <c r="L41" s="46">
        <f>SUM(L42)</f>
        <v>891</v>
      </c>
      <c r="N41" s="34"/>
      <c r="O41" s="22" t="s">
        <v>48</v>
      </c>
      <c r="P41" s="12">
        <v>555</v>
      </c>
      <c r="Q41" s="13">
        <v>0.85</v>
      </c>
      <c r="R41" s="35">
        <f>P41*Q41</f>
        <v>471.75</v>
      </c>
    </row>
    <row r="42" spans="1:18" x14ac:dyDescent="0.25">
      <c r="A42" s="10"/>
      <c r="B42" s="31" t="s">
        <v>26</v>
      </c>
      <c r="C42" s="20">
        <v>1</v>
      </c>
      <c r="D42" s="15">
        <f>755.1</f>
        <v>755.1</v>
      </c>
      <c r="E42" s="14">
        <v>0.9</v>
      </c>
      <c r="F42" s="32">
        <f>D42*E42</f>
        <v>679.59</v>
      </c>
      <c r="G42" s="6"/>
      <c r="H42" s="31" t="s">
        <v>23</v>
      </c>
      <c r="I42" s="20">
        <v>1</v>
      </c>
      <c r="J42" s="15">
        <f>990</f>
        <v>990</v>
      </c>
      <c r="K42" s="14">
        <v>0.9</v>
      </c>
      <c r="L42" s="32">
        <f>J42*K42</f>
        <v>891</v>
      </c>
      <c r="N42" s="31" t="s">
        <v>74</v>
      </c>
      <c r="O42" s="16"/>
      <c r="P42" s="15">
        <f>SUM(P43:P46)</f>
        <v>1608</v>
      </c>
      <c r="Q42" s="14">
        <f>(P43*Q43+P44*Q44+P45*Q45+P46*Q46)/P42</f>
        <v>0.85</v>
      </c>
      <c r="R42" s="32">
        <f>SUM(R43:R46)</f>
        <v>1366.8</v>
      </c>
    </row>
    <row r="43" spans="1:18" x14ac:dyDescent="0.25">
      <c r="A43" s="5"/>
      <c r="B43" s="34" t="s">
        <v>26</v>
      </c>
      <c r="C43" s="21">
        <v>0.2</v>
      </c>
      <c r="D43" s="12">
        <f>755.1*C43</f>
        <v>151.02000000000001</v>
      </c>
      <c r="E43" s="13">
        <v>0.9</v>
      </c>
      <c r="F43" s="35">
        <f>D43*E43</f>
        <v>135.91800000000001</v>
      </c>
      <c r="G43" s="6"/>
      <c r="H43" s="34" t="s">
        <v>23</v>
      </c>
      <c r="I43" s="23">
        <v>0.76359999999999995</v>
      </c>
      <c r="J43" s="12">
        <f>990*I43</f>
        <v>755.96399999999994</v>
      </c>
      <c r="K43" s="13">
        <v>0.9</v>
      </c>
      <c r="L43" s="35">
        <f>J43*K43</f>
        <v>680.36759999999992</v>
      </c>
      <c r="N43" s="34"/>
      <c r="O43" s="22" t="s">
        <v>46</v>
      </c>
      <c r="P43" s="12">
        <v>351</v>
      </c>
      <c r="Q43" s="13">
        <v>0.85</v>
      </c>
      <c r="R43" s="35">
        <f>P43*Q43</f>
        <v>298.34999999999997</v>
      </c>
    </row>
    <row r="44" spans="1:18" x14ac:dyDescent="0.25">
      <c r="B44" s="31" t="s">
        <v>27</v>
      </c>
      <c r="C44" s="20">
        <v>1</v>
      </c>
      <c r="D44" s="15">
        <f>755.1</f>
        <v>755.1</v>
      </c>
      <c r="E44" s="14">
        <v>0.9</v>
      </c>
      <c r="F44" s="32">
        <f>D44*E44</f>
        <v>679.59</v>
      </c>
      <c r="H44" s="33" t="s">
        <v>42</v>
      </c>
      <c r="I44" s="19">
        <v>1</v>
      </c>
      <c r="J44" s="8">
        <f>SUM(J45:J46)</f>
        <v>2400</v>
      </c>
      <c r="K44" s="9"/>
      <c r="L44" s="46">
        <f>SUM(L45:L46)</f>
        <v>2160</v>
      </c>
      <c r="N44" s="34"/>
      <c r="O44" s="22" t="s">
        <v>47</v>
      </c>
      <c r="P44" s="12">
        <v>351</v>
      </c>
      <c r="Q44" s="13">
        <v>0.85</v>
      </c>
      <c r="R44" s="35">
        <f>P44*Q44</f>
        <v>298.34999999999997</v>
      </c>
    </row>
    <row r="45" spans="1:18" ht="13.8" thickBot="1" x14ac:dyDescent="0.3">
      <c r="B45" s="40" t="s">
        <v>27</v>
      </c>
      <c r="C45" s="45">
        <v>0.2</v>
      </c>
      <c r="D45" s="42">
        <f>755.1*C45</f>
        <v>151.02000000000001</v>
      </c>
      <c r="E45" s="43">
        <v>0.9</v>
      </c>
      <c r="F45" s="44">
        <f>D45*E45</f>
        <v>135.91800000000001</v>
      </c>
      <c r="G45" s="6"/>
      <c r="H45" s="31" t="s">
        <v>24</v>
      </c>
      <c r="I45" s="20">
        <v>1</v>
      </c>
      <c r="J45" s="15">
        <v>1200</v>
      </c>
      <c r="K45" s="14">
        <v>0.9</v>
      </c>
      <c r="L45" s="32">
        <f>J45*K45</f>
        <v>1080</v>
      </c>
      <c r="N45" s="34"/>
      <c r="O45" s="22" t="s">
        <v>50</v>
      </c>
      <c r="P45" s="12">
        <v>351</v>
      </c>
      <c r="Q45" s="13">
        <v>0.85</v>
      </c>
      <c r="R45" s="35">
        <f>P45*Q45</f>
        <v>298.34999999999997</v>
      </c>
    </row>
    <row r="46" spans="1:18" ht="13.8" thickBot="1" x14ac:dyDescent="0.3">
      <c r="B46" s="36" t="s">
        <v>36</v>
      </c>
      <c r="C46" s="37"/>
      <c r="D46" s="38">
        <f>SUM(D47,D48,D49,D53,D57)</f>
        <v>5070.6000000000004</v>
      </c>
      <c r="E46" s="39"/>
      <c r="F46" s="47">
        <f>SUM(F47,F48,F49,F53,F57)</f>
        <v>4317.51</v>
      </c>
      <c r="G46" s="6"/>
      <c r="H46" s="31" t="s">
        <v>25</v>
      </c>
      <c r="I46" s="20">
        <v>1</v>
      </c>
      <c r="J46" s="15">
        <v>1200</v>
      </c>
      <c r="K46" s="14">
        <v>0.9</v>
      </c>
      <c r="L46" s="32">
        <f>J46*K46</f>
        <v>1080</v>
      </c>
      <c r="N46" s="34"/>
      <c r="O46" s="22" t="s">
        <v>48</v>
      </c>
      <c r="P46" s="12">
        <v>555</v>
      </c>
      <c r="Q46" s="13">
        <v>0.85</v>
      </c>
      <c r="R46" s="35">
        <f>P46*Q46</f>
        <v>471.75</v>
      </c>
    </row>
    <row r="47" spans="1:18" ht="13.8" thickBot="1" x14ac:dyDescent="0.3">
      <c r="B47" s="31" t="s">
        <v>5</v>
      </c>
      <c r="C47" s="16"/>
      <c r="D47" s="15">
        <v>1050</v>
      </c>
      <c r="E47" s="14">
        <v>0.89</v>
      </c>
      <c r="F47" s="32">
        <f>D47*E47</f>
        <v>934.5</v>
      </c>
      <c r="H47" s="40" t="s">
        <v>25</v>
      </c>
      <c r="I47" s="78">
        <v>0.85150000000000003</v>
      </c>
      <c r="J47" s="42">
        <f>1000*I47</f>
        <v>851.5</v>
      </c>
      <c r="K47" s="43">
        <v>0.9</v>
      </c>
      <c r="L47" s="44">
        <f>J47*K47</f>
        <v>766.35</v>
      </c>
      <c r="N47" s="25" t="s">
        <v>56</v>
      </c>
      <c r="O47" s="26"/>
      <c r="P47" s="65">
        <f>SUM(D8,D14,D16,D27,D41,D46,J8,J17,J24,J33,J39,J41,J44,P8,P31,P21)</f>
        <v>36264.762000000002</v>
      </c>
      <c r="Q47" s="66"/>
      <c r="R47" s="67">
        <f>SUM(F8,F14,F16,F27,F41,F46,L8,L17,L24,L33,L39,L41,L44,R8,R31,R21)</f>
        <v>31244.019800000005</v>
      </c>
    </row>
    <row r="48" spans="1:18" x14ac:dyDescent="0.25">
      <c r="B48" s="31" t="s">
        <v>6</v>
      </c>
      <c r="C48" s="16"/>
      <c r="D48" s="15">
        <v>1050</v>
      </c>
      <c r="E48" s="14">
        <v>0.89</v>
      </c>
      <c r="F48" s="32">
        <f>D48*E48</f>
        <v>934.5</v>
      </c>
    </row>
    <row r="49" spans="2:19" ht="15.6" x14ac:dyDescent="0.3">
      <c r="B49" s="31" t="s">
        <v>7</v>
      </c>
      <c r="C49" s="16"/>
      <c r="D49" s="15">
        <f>SUM(D50:D52)</f>
        <v>765</v>
      </c>
      <c r="E49" s="14">
        <f>(D50*E50+D51*E51+D52*E52)/D49</f>
        <v>0.8</v>
      </c>
      <c r="F49" s="32">
        <f>SUM(F50:F52)</f>
        <v>612</v>
      </c>
      <c r="H49" s="74" t="s">
        <v>71</v>
      </c>
      <c r="I49" s="74"/>
      <c r="J49" s="74"/>
      <c r="K49" s="74"/>
      <c r="L49" s="74"/>
      <c r="M49" s="74"/>
      <c r="N49" s="62"/>
      <c r="O49" s="62"/>
      <c r="P49" s="62"/>
      <c r="Q49" s="62"/>
      <c r="R49" s="62"/>
    </row>
    <row r="50" spans="2:19" x14ac:dyDescent="0.25">
      <c r="B50" s="34"/>
      <c r="C50" s="22" t="s">
        <v>46</v>
      </c>
      <c r="D50" s="12">
        <v>255</v>
      </c>
      <c r="E50" s="13">
        <v>0.8</v>
      </c>
      <c r="F50" s="35">
        <f>D50*E50</f>
        <v>204</v>
      </c>
      <c r="H50" s="79" t="s">
        <v>61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</row>
    <row r="51" spans="2:19" x14ac:dyDescent="0.25">
      <c r="B51" s="34"/>
      <c r="C51" s="22" t="s">
        <v>47</v>
      </c>
      <c r="D51" s="12">
        <v>255</v>
      </c>
      <c r="E51" s="13">
        <v>0.8</v>
      </c>
      <c r="F51" s="35">
        <f>D51*E51</f>
        <v>204</v>
      </c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</row>
    <row r="52" spans="2:19" x14ac:dyDescent="0.25">
      <c r="B52" s="34"/>
      <c r="C52" s="22" t="s">
        <v>48</v>
      </c>
      <c r="D52" s="12">
        <v>255</v>
      </c>
      <c r="E52" s="13">
        <v>0.8</v>
      </c>
      <c r="F52" s="35">
        <f>D52*E52</f>
        <v>204</v>
      </c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</row>
    <row r="53" spans="2:19" x14ac:dyDescent="0.25">
      <c r="B53" s="31" t="s">
        <v>8</v>
      </c>
      <c r="C53" s="16"/>
      <c r="D53" s="15">
        <f>SUM(D54:D56)</f>
        <v>765</v>
      </c>
      <c r="E53" s="14">
        <f>(D54*E54+D55*E55+D56*E56)/D53</f>
        <v>0.8</v>
      </c>
      <c r="F53" s="32">
        <f>SUM(F54:F56)</f>
        <v>612</v>
      </c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</row>
    <row r="54" spans="2:19" ht="15.6" x14ac:dyDescent="0.3">
      <c r="B54" s="34"/>
      <c r="C54" s="22" t="s">
        <v>46</v>
      </c>
      <c r="D54" s="12">
        <v>255</v>
      </c>
      <c r="E54" s="13">
        <v>0.8</v>
      </c>
      <c r="F54" s="35">
        <f>D54*E54</f>
        <v>204</v>
      </c>
      <c r="H54" s="48" t="s">
        <v>62</v>
      </c>
      <c r="I54" s="77"/>
      <c r="J54" s="77"/>
      <c r="K54" s="77"/>
      <c r="L54" s="77"/>
      <c r="M54" s="77"/>
      <c r="N54" s="77"/>
      <c r="O54" s="77"/>
      <c r="P54" s="77"/>
      <c r="Q54" s="77"/>
      <c r="R54" s="77"/>
    </row>
    <row r="55" spans="2:19" x14ac:dyDescent="0.25">
      <c r="B55" s="34"/>
      <c r="C55" s="22" t="s">
        <v>47</v>
      </c>
      <c r="D55" s="12">
        <v>255</v>
      </c>
      <c r="E55" s="13">
        <v>0.8</v>
      </c>
      <c r="F55" s="35">
        <f>D55*E55</f>
        <v>204</v>
      </c>
      <c r="H55" s="79" t="s">
        <v>63</v>
      </c>
      <c r="I55" s="79"/>
      <c r="J55" s="79"/>
      <c r="K55" s="79"/>
      <c r="L55" s="79"/>
      <c r="M55" s="79"/>
      <c r="N55" s="79"/>
      <c r="O55" s="79"/>
      <c r="P55" s="79"/>
      <c r="Q55" s="79"/>
      <c r="R55" s="79"/>
    </row>
    <row r="56" spans="2:19" x14ac:dyDescent="0.25">
      <c r="B56" s="34"/>
      <c r="C56" s="22" t="s">
        <v>48</v>
      </c>
      <c r="D56" s="12">
        <v>255</v>
      </c>
      <c r="E56" s="13">
        <v>0.8</v>
      </c>
      <c r="F56" s="35">
        <f>D56*E56</f>
        <v>204</v>
      </c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</row>
    <row r="57" spans="2:19" x14ac:dyDescent="0.25">
      <c r="B57" s="31" t="s">
        <v>9</v>
      </c>
      <c r="C57" s="16"/>
      <c r="D57" s="15">
        <f>SUM(D58:D62)</f>
        <v>1440.6</v>
      </c>
      <c r="E57" s="14">
        <f>(D58*E58+D59*E59+D60*E60+D61*E61+D62*E62)/D57</f>
        <v>0.85000000000000009</v>
      </c>
      <c r="F57" s="32">
        <f>SUM(F58:F62)</f>
        <v>1224.51</v>
      </c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</row>
    <row r="58" spans="2:19" x14ac:dyDescent="0.25">
      <c r="B58" s="34"/>
      <c r="C58" s="22" t="s">
        <v>46</v>
      </c>
      <c r="D58" s="12">
        <v>221.4</v>
      </c>
      <c r="E58" s="13">
        <v>0.85</v>
      </c>
      <c r="F58" s="35">
        <f>D58*E58</f>
        <v>188.19</v>
      </c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</row>
    <row r="59" spans="2:19" ht="15.6" x14ac:dyDescent="0.3">
      <c r="B59" s="34"/>
      <c r="C59" s="22" t="s">
        <v>47</v>
      </c>
      <c r="D59" s="12">
        <v>221.4</v>
      </c>
      <c r="E59" s="13">
        <v>0.85</v>
      </c>
      <c r="F59" s="35">
        <f>D59*E59</f>
        <v>188.19</v>
      </c>
      <c r="H59" s="74" t="s">
        <v>70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</row>
    <row r="60" spans="2:19" x14ac:dyDescent="0.25">
      <c r="B60" s="34"/>
      <c r="C60" s="22" t="s">
        <v>50</v>
      </c>
      <c r="D60" s="12">
        <v>221.4</v>
      </c>
      <c r="E60" s="13">
        <v>0.85</v>
      </c>
      <c r="F60" s="35">
        <f>D60*E60</f>
        <v>188.19</v>
      </c>
      <c r="H60" s="79" t="s">
        <v>64</v>
      </c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68"/>
    </row>
    <row r="61" spans="2:19" x14ac:dyDescent="0.25">
      <c r="B61" s="34"/>
      <c r="C61" s="22" t="s">
        <v>51</v>
      </c>
      <c r="D61" s="12">
        <v>221.4</v>
      </c>
      <c r="E61" s="13">
        <v>0.85</v>
      </c>
      <c r="F61" s="35">
        <f>D61*E61</f>
        <v>188.19</v>
      </c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</row>
    <row r="62" spans="2:19" ht="13.8" thickBot="1" x14ac:dyDescent="0.3">
      <c r="B62" s="40"/>
      <c r="C62" s="41" t="s">
        <v>48</v>
      </c>
      <c r="D62" s="42">
        <v>555</v>
      </c>
      <c r="E62" s="43">
        <v>0.85</v>
      </c>
      <c r="F62" s="44">
        <f>D62*E62</f>
        <v>471.75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</row>
    <row r="63" spans="2:19" ht="12.75" customHeight="1" x14ac:dyDescent="0.3">
      <c r="H63" s="74" t="s">
        <v>73</v>
      </c>
      <c r="I63" s="76"/>
      <c r="J63" s="76"/>
      <c r="K63" s="76"/>
      <c r="L63" s="76"/>
      <c r="M63" s="76"/>
      <c r="N63" s="76"/>
      <c r="O63" s="76"/>
      <c r="P63" s="76"/>
      <c r="Q63" s="76"/>
      <c r="R63" s="76"/>
    </row>
    <row r="64" spans="2:19" ht="12.75" customHeight="1" x14ac:dyDescent="0.25">
      <c r="H64" s="79" t="s">
        <v>72</v>
      </c>
      <c r="I64" s="79"/>
      <c r="J64" s="79"/>
      <c r="K64" s="79"/>
      <c r="L64" s="79"/>
      <c r="M64" s="79"/>
      <c r="N64" s="79"/>
      <c r="O64" s="79"/>
      <c r="P64" s="79"/>
      <c r="Q64" s="79"/>
      <c r="R64" s="79"/>
    </row>
    <row r="65" spans="1:18" ht="12.75" customHeight="1" x14ac:dyDescent="0.25"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</row>
    <row r="66" spans="1:18" ht="12.75" customHeight="1" x14ac:dyDescent="0.25"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</row>
    <row r="67" spans="1:18" ht="12.75" customHeight="1" x14ac:dyDescent="0.25"/>
    <row r="68" spans="1:18" ht="12.75" customHeight="1" x14ac:dyDescent="0.25"/>
    <row r="69" spans="1:18" ht="12.75" customHeight="1" x14ac:dyDescent="0.25"/>
    <row r="70" spans="1:18" ht="12.75" customHeight="1" x14ac:dyDescent="0.25"/>
    <row r="71" spans="1:18" ht="12.75" customHeight="1" x14ac:dyDescent="0.25"/>
    <row r="72" spans="1:18" ht="12.75" customHeight="1" x14ac:dyDescent="0.25">
      <c r="G72" s="63"/>
    </row>
    <row r="73" spans="1:18" ht="12.75" customHeight="1" x14ac:dyDescent="0.25"/>
    <row r="74" spans="1:18" ht="12.75" customHeight="1" x14ac:dyDescent="0.25">
      <c r="G74" s="63"/>
    </row>
    <row r="75" spans="1:18" ht="12.75" customHeight="1" x14ac:dyDescent="0.25"/>
    <row r="76" spans="1:18" ht="12.75" customHeight="1" x14ac:dyDescent="0.25"/>
    <row r="77" spans="1:18" ht="12.75" customHeight="1" x14ac:dyDescent="0.25"/>
    <row r="78" spans="1:18" ht="12.75" customHeight="1" x14ac:dyDescent="0.25">
      <c r="A78" s="5"/>
    </row>
    <row r="79" spans="1:18" ht="12.75" customHeight="1" x14ac:dyDescent="0.25">
      <c r="A79" s="10"/>
    </row>
    <row r="80" spans="1:18" ht="12.75" customHeight="1" x14ac:dyDescent="0.25">
      <c r="A80" s="5"/>
    </row>
    <row r="81" spans="1:7" ht="12.75" customHeight="1" x14ac:dyDescent="0.25">
      <c r="A81" s="5"/>
    </row>
    <row r="82" spans="1:7" ht="12.75" customHeight="1" x14ac:dyDescent="0.25">
      <c r="A82" s="5"/>
    </row>
    <row r="83" spans="1:7" ht="12.75" customHeight="1" x14ac:dyDescent="0.25">
      <c r="A83" s="5"/>
    </row>
    <row r="84" spans="1:7" ht="12.75" customHeight="1" x14ac:dyDescent="0.25">
      <c r="A84" s="10"/>
    </row>
    <row r="85" spans="1:7" ht="12.75" customHeight="1" x14ac:dyDescent="0.25">
      <c r="A85" s="5"/>
    </row>
    <row r="86" spans="1:7" ht="12.75" customHeight="1" x14ac:dyDescent="0.25">
      <c r="A86" s="5"/>
    </row>
    <row r="87" spans="1:7" ht="12.75" customHeight="1" x14ac:dyDescent="0.25"/>
    <row r="88" spans="1:7" ht="12.75" customHeight="1" x14ac:dyDescent="0.25">
      <c r="A88" s="5"/>
      <c r="G88" s="7"/>
    </row>
    <row r="89" spans="1:7" ht="12.75" customHeight="1" x14ac:dyDescent="0.25">
      <c r="A89" s="5"/>
    </row>
    <row r="90" spans="1:7" ht="12.75" customHeight="1" x14ac:dyDescent="0.25">
      <c r="G90" s="6"/>
    </row>
    <row r="91" spans="1:7" ht="12.75" customHeight="1" x14ac:dyDescent="0.25">
      <c r="G91" s="6"/>
    </row>
    <row r="92" spans="1:7" ht="12.75" customHeight="1" x14ac:dyDescent="0.25"/>
    <row r="93" spans="1:7" ht="12.75" customHeight="1" x14ac:dyDescent="0.25">
      <c r="G93" s="6"/>
    </row>
    <row r="94" spans="1:7" ht="12.75" customHeight="1" x14ac:dyDescent="0.25">
      <c r="G94" s="6"/>
    </row>
    <row r="95" spans="1:7" ht="12.75" customHeight="1" x14ac:dyDescent="0.25"/>
    <row r="96" spans="1:7" ht="12.75" customHeight="1" x14ac:dyDescent="0.25"/>
    <row r="97" spans="7:7" ht="12.75" customHeight="1" x14ac:dyDescent="0.25">
      <c r="G97" s="6"/>
    </row>
    <row r="98" spans="7:7" ht="12.75" customHeight="1" x14ac:dyDescent="0.25">
      <c r="G98" s="6"/>
    </row>
    <row r="99" spans="7:7" ht="12.75" customHeight="1" x14ac:dyDescent="0.25"/>
    <row r="100" spans="7:7" ht="12.75" customHeight="1" x14ac:dyDescent="0.25"/>
    <row r="101" spans="7:7" ht="12.75" customHeight="1" x14ac:dyDescent="0.25"/>
    <row r="102" spans="7:7" ht="12.75" customHeight="1" x14ac:dyDescent="0.25"/>
    <row r="103" spans="7:7" ht="12.75" customHeight="1" x14ac:dyDescent="0.25"/>
    <row r="104" spans="7:7" ht="12.75" customHeight="1" x14ac:dyDescent="0.25"/>
    <row r="114" spans="7:7" x14ac:dyDescent="0.25">
      <c r="G114" s="6"/>
    </row>
  </sheetData>
  <mergeCells count="7">
    <mergeCell ref="H60:R62"/>
    <mergeCell ref="H64:R66"/>
    <mergeCell ref="H50:R53"/>
    <mergeCell ref="H55:R58"/>
    <mergeCell ref="D6:F6"/>
    <mergeCell ref="J6:L6"/>
    <mergeCell ref="P6:R6"/>
  </mergeCells>
  <phoneticPr fontId="1" type="noConversion"/>
  <pageMargins left="0.75" right="0.75" top="1" bottom="1" header="0.5" footer="0.5"/>
  <pageSetup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7"/>
  <sheetViews>
    <sheetView zoomScale="75" zoomScaleNormal="75" workbookViewId="0">
      <selection activeCell="A2" sqref="A2"/>
    </sheetView>
  </sheetViews>
  <sheetFormatPr defaultRowHeight="13.2" x14ac:dyDescent="0.25"/>
  <cols>
    <col min="1" max="1" width="13.33203125" customWidth="1"/>
    <col min="2" max="2" width="11.5546875" customWidth="1"/>
    <col min="3" max="3" width="8.5546875" style="11" customWidth="1"/>
    <col min="4" max="6" width="13" style="1" customWidth="1"/>
    <col min="7" max="7" width="4" style="4" customWidth="1"/>
    <col min="8" max="8" width="10.33203125" style="2" customWidth="1"/>
    <col min="9" max="9" width="9.109375" style="2"/>
    <col min="10" max="12" width="12.88671875" customWidth="1"/>
    <col min="13" max="13" width="3.88671875" customWidth="1"/>
    <col min="16" max="16" width="14.33203125" customWidth="1"/>
    <col min="17" max="18" width="13.109375" customWidth="1"/>
  </cols>
  <sheetData>
    <row r="1" spans="1:18" ht="17.399999999999999" x14ac:dyDescent="0.3">
      <c r="A1" s="83" t="s">
        <v>81</v>
      </c>
      <c r="B1" s="49" t="s">
        <v>66</v>
      </c>
    </row>
    <row r="2" spans="1:18" x14ac:dyDescent="0.25">
      <c r="A2" s="83" t="s">
        <v>80</v>
      </c>
    </row>
    <row r="3" spans="1:18" ht="15.6" x14ac:dyDescent="0.3">
      <c r="B3" s="61" t="s">
        <v>77</v>
      </c>
    </row>
    <row r="4" spans="1:18" ht="15.6" x14ac:dyDescent="0.3">
      <c r="B4" s="64"/>
      <c r="C4" s="50"/>
    </row>
    <row r="5" spans="1:18" ht="13.8" thickBot="1" x14ac:dyDescent="0.3"/>
    <row r="6" spans="1:18" x14ac:dyDescent="0.25">
      <c r="B6" s="27" t="s">
        <v>45</v>
      </c>
      <c r="C6" s="28" t="s">
        <v>49</v>
      </c>
      <c r="D6" s="80" t="s">
        <v>57</v>
      </c>
      <c r="E6" s="81"/>
      <c r="F6" s="82"/>
      <c r="H6" s="27" t="s">
        <v>45</v>
      </c>
      <c r="I6" s="28" t="s">
        <v>49</v>
      </c>
      <c r="J6" s="80" t="s">
        <v>57</v>
      </c>
      <c r="K6" s="81"/>
      <c r="L6" s="82"/>
      <c r="N6" s="27" t="s">
        <v>45</v>
      </c>
      <c r="O6" s="28" t="s">
        <v>49</v>
      </c>
      <c r="P6" s="80" t="s">
        <v>57</v>
      </c>
      <c r="Q6" s="81"/>
      <c r="R6" s="82"/>
    </row>
    <row r="7" spans="1:18" ht="16.5" customHeight="1" thickBot="1" x14ac:dyDescent="0.3">
      <c r="B7" s="29"/>
      <c r="C7" s="24"/>
      <c r="D7" s="3" t="s">
        <v>29</v>
      </c>
      <c r="E7" s="4" t="s">
        <v>28</v>
      </c>
      <c r="F7" s="30" t="s">
        <v>30</v>
      </c>
      <c r="H7" s="29"/>
      <c r="I7" s="24"/>
      <c r="J7" s="3" t="s">
        <v>29</v>
      </c>
      <c r="K7" s="4" t="s">
        <v>28</v>
      </c>
      <c r="L7" s="30" t="s">
        <v>30</v>
      </c>
      <c r="N7" s="29"/>
      <c r="O7" s="24"/>
      <c r="P7" s="3" t="s">
        <v>29</v>
      </c>
      <c r="Q7" s="4" t="s">
        <v>28</v>
      </c>
      <c r="R7" s="30" t="s">
        <v>30</v>
      </c>
    </row>
    <row r="8" spans="1:18" x14ac:dyDescent="0.25">
      <c r="B8" s="36" t="s">
        <v>32</v>
      </c>
      <c r="C8" s="37"/>
      <c r="D8" s="38">
        <f>SUM(D9)</f>
        <v>1524</v>
      </c>
      <c r="E8" s="39"/>
      <c r="F8" s="47">
        <f>SUM(F9)</f>
        <v>1295.4000000000001</v>
      </c>
      <c r="H8" s="33" t="s">
        <v>37</v>
      </c>
      <c r="I8" s="17"/>
      <c r="J8" s="8">
        <f>SUM(J9:J11)</f>
        <v>3380.6</v>
      </c>
      <c r="K8" s="9"/>
      <c r="L8" s="46">
        <f>SUM(L9:L11)</f>
        <v>2951.11</v>
      </c>
      <c r="N8" s="33" t="s">
        <v>43</v>
      </c>
      <c r="O8" s="17"/>
      <c r="P8" s="8">
        <f>SUM(P9,P15)</f>
        <v>2751.2</v>
      </c>
      <c r="Q8" s="9"/>
      <c r="R8" s="46">
        <f>SUM(R9,R15)</f>
        <v>2377.7200000000003</v>
      </c>
    </row>
    <row r="9" spans="1:18" x14ac:dyDescent="0.25">
      <c r="B9" s="31" t="s">
        <v>67</v>
      </c>
      <c r="C9" s="16"/>
      <c r="D9" s="15">
        <f>SUM(D10:D13)</f>
        <v>1524</v>
      </c>
      <c r="E9" s="14">
        <f>SUMPRODUCT(D10:D13,E10:E13)/SUM(D10:D13)</f>
        <v>0.85000000000000009</v>
      </c>
      <c r="F9" s="32">
        <f>SUM(F10:F13)</f>
        <v>1295.4000000000001</v>
      </c>
      <c r="H9" s="31" t="s">
        <v>10</v>
      </c>
      <c r="I9" s="16"/>
      <c r="J9" s="15">
        <v>970</v>
      </c>
      <c r="K9" s="14">
        <v>0.89</v>
      </c>
      <c r="L9" s="32">
        <f>J9*K9</f>
        <v>863.30000000000007</v>
      </c>
      <c r="N9" s="31" t="s">
        <v>16</v>
      </c>
      <c r="O9" s="18"/>
      <c r="P9" s="15">
        <f>SUM(P10:P14)</f>
        <v>1375.6</v>
      </c>
      <c r="Q9" s="14">
        <f>SUMPRODUCT(P10:P14,Q10:Q14)/SUM(P10:P14)</f>
        <v>0.86424832800232643</v>
      </c>
      <c r="R9" s="32">
        <f>SUM(R10:R14)</f>
        <v>1188.8600000000001</v>
      </c>
    </row>
    <row r="10" spans="1:18" x14ac:dyDescent="0.25">
      <c r="B10" s="34"/>
      <c r="C10" s="22" t="s">
        <v>46</v>
      </c>
      <c r="D10" s="12">
        <v>323</v>
      </c>
      <c r="E10" s="13">
        <v>0.85</v>
      </c>
      <c r="F10" s="35">
        <f>D10*E10</f>
        <v>274.55</v>
      </c>
      <c r="H10" s="31" t="s">
        <v>11</v>
      </c>
      <c r="I10" s="16"/>
      <c r="J10" s="15">
        <v>970</v>
      </c>
      <c r="K10" s="14">
        <v>0.89</v>
      </c>
      <c r="L10" s="32">
        <f>J10*K10</f>
        <v>863.30000000000007</v>
      </c>
      <c r="N10" s="34"/>
      <c r="O10" s="22" t="s">
        <v>46</v>
      </c>
      <c r="P10" s="12">
        <v>221.4</v>
      </c>
      <c r="Q10" s="13">
        <v>0.85</v>
      </c>
      <c r="R10" s="35">
        <f>P10*Q10</f>
        <v>188.19</v>
      </c>
    </row>
    <row r="11" spans="1:18" x14ac:dyDescent="0.25">
      <c r="B11" s="34"/>
      <c r="C11" s="22" t="s">
        <v>47</v>
      </c>
      <c r="D11" s="12">
        <v>323</v>
      </c>
      <c r="E11" s="13">
        <v>0.85</v>
      </c>
      <c r="F11" s="35">
        <f>D11*E11</f>
        <v>274.55</v>
      </c>
      <c r="H11" s="31" t="s">
        <v>12</v>
      </c>
      <c r="I11" s="16"/>
      <c r="J11" s="15">
        <f>SUM(J12:J16)</f>
        <v>1440.6</v>
      </c>
      <c r="K11" s="14">
        <f>SUMPRODUCT(J12:J16,K12:K16)/SUM(J12:J16)</f>
        <v>0.85000000000000009</v>
      </c>
      <c r="L11" s="32">
        <f>SUM(L12:L16)</f>
        <v>1224.51</v>
      </c>
      <c r="N11" s="34"/>
      <c r="O11" s="22" t="s">
        <v>47</v>
      </c>
      <c r="P11" s="12">
        <v>221.4</v>
      </c>
      <c r="Q11" s="13">
        <v>0.85</v>
      </c>
      <c r="R11" s="35">
        <f>P11*Q11</f>
        <v>188.19</v>
      </c>
    </row>
    <row r="12" spans="1:18" x14ac:dyDescent="0.25">
      <c r="B12" s="34"/>
      <c r="C12" s="22" t="s">
        <v>50</v>
      </c>
      <c r="D12" s="12">
        <v>323</v>
      </c>
      <c r="E12" s="13">
        <v>0.85</v>
      </c>
      <c r="F12" s="35">
        <f>D12*E12</f>
        <v>274.55</v>
      </c>
      <c r="H12" s="34"/>
      <c r="I12" s="22" t="s">
        <v>46</v>
      </c>
      <c r="J12" s="12">
        <v>221.4</v>
      </c>
      <c r="K12" s="13">
        <v>0.85</v>
      </c>
      <c r="L12" s="35">
        <f>J12*K12</f>
        <v>188.19</v>
      </c>
      <c r="N12" s="34"/>
      <c r="O12" s="22" t="s">
        <v>50</v>
      </c>
      <c r="P12" s="12">
        <v>221.4</v>
      </c>
      <c r="Q12" s="13">
        <v>0.85</v>
      </c>
      <c r="R12" s="35">
        <f>P12*Q12</f>
        <v>188.19</v>
      </c>
    </row>
    <row r="13" spans="1:18" x14ac:dyDescent="0.25">
      <c r="B13" s="34"/>
      <c r="C13" s="22" t="s">
        <v>48</v>
      </c>
      <c r="D13" s="12">
        <v>555</v>
      </c>
      <c r="E13" s="13">
        <v>0.85</v>
      </c>
      <c r="F13" s="35">
        <f>D13*E13</f>
        <v>471.75</v>
      </c>
      <c r="H13" s="34"/>
      <c r="I13" s="22" t="s">
        <v>47</v>
      </c>
      <c r="J13" s="12">
        <v>221.4</v>
      </c>
      <c r="K13" s="13">
        <v>0.85</v>
      </c>
      <c r="L13" s="35">
        <f>J13*K13</f>
        <v>188.19</v>
      </c>
      <c r="N13" s="34"/>
      <c r="O13" s="22" t="s">
        <v>51</v>
      </c>
      <c r="P13" s="12">
        <v>221.4</v>
      </c>
      <c r="Q13" s="13">
        <v>0.85</v>
      </c>
      <c r="R13" s="35">
        <f>P13*Q13</f>
        <v>188.19</v>
      </c>
    </row>
    <row r="14" spans="1:18" x14ac:dyDescent="0.25">
      <c r="B14" s="33" t="s">
        <v>75</v>
      </c>
      <c r="C14" s="17"/>
      <c r="D14" s="8">
        <f>SUM(D15)</f>
        <v>25</v>
      </c>
      <c r="E14" s="9"/>
      <c r="F14" s="46">
        <f>SUM(F15)</f>
        <v>22.5</v>
      </c>
      <c r="H14" s="34"/>
      <c r="I14" s="22" t="s">
        <v>50</v>
      </c>
      <c r="J14" s="12">
        <v>221.4</v>
      </c>
      <c r="K14" s="13">
        <v>0.85</v>
      </c>
      <c r="L14" s="35">
        <f>J14*K14</f>
        <v>188.19</v>
      </c>
      <c r="N14" s="34"/>
      <c r="O14" s="22" t="s">
        <v>48</v>
      </c>
      <c r="P14" s="12">
        <v>490</v>
      </c>
      <c r="Q14" s="13">
        <v>0.89</v>
      </c>
      <c r="R14" s="35">
        <f>P14*Q14</f>
        <v>436.1</v>
      </c>
    </row>
    <row r="15" spans="1:18" x14ac:dyDescent="0.25">
      <c r="B15" s="31" t="s">
        <v>75</v>
      </c>
      <c r="C15" s="16"/>
      <c r="D15" s="15">
        <v>25</v>
      </c>
      <c r="E15" s="14">
        <v>0.9</v>
      </c>
      <c r="F15" s="32">
        <f>D15*E15</f>
        <v>22.5</v>
      </c>
      <c r="H15" s="34"/>
      <c r="I15" s="22" t="s">
        <v>51</v>
      </c>
      <c r="J15" s="12">
        <v>221.4</v>
      </c>
      <c r="K15" s="13">
        <v>0.85</v>
      </c>
      <c r="L15" s="35">
        <f>J15*K15</f>
        <v>188.19</v>
      </c>
      <c r="N15" s="31" t="s">
        <v>17</v>
      </c>
      <c r="O15" s="18"/>
      <c r="P15" s="15">
        <f>SUM(P16:P20)</f>
        <v>1375.6</v>
      </c>
      <c r="Q15" s="14">
        <f>SUMPRODUCT(P16:P20,Q16:Q20)/SUM(P16:P20)</f>
        <v>0.86424832800232643</v>
      </c>
      <c r="R15" s="32">
        <f>SUM(R16:R20)</f>
        <v>1188.8600000000001</v>
      </c>
    </row>
    <row r="16" spans="1:18" x14ac:dyDescent="0.25">
      <c r="B16" s="33" t="s">
        <v>33</v>
      </c>
      <c r="C16" s="17"/>
      <c r="D16" s="8">
        <f>SUM(D17,D21,D25,D26)</f>
        <v>2259.08</v>
      </c>
      <c r="E16" s="9"/>
      <c r="F16" s="46">
        <f>SUM(F17,F21,F25,F26)</f>
        <v>1873.9680000000001</v>
      </c>
      <c r="H16" s="34"/>
      <c r="I16" s="22" t="s">
        <v>48</v>
      </c>
      <c r="J16" s="12">
        <v>555</v>
      </c>
      <c r="K16" s="13">
        <v>0.85</v>
      </c>
      <c r="L16" s="35">
        <f>J16*K16</f>
        <v>471.75</v>
      </c>
      <c r="N16" s="34"/>
      <c r="O16" s="22" t="s">
        <v>46</v>
      </c>
      <c r="P16" s="12">
        <v>221.4</v>
      </c>
      <c r="Q16" s="13">
        <v>0.85</v>
      </c>
      <c r="R16" s="35">
        <f>P16*Q16</f>
        <v>188.19</v>
      </c>
    </row>
    <row r="17" spans="2:18" x14ac:dyDescent="0.25">
      <c r="B17" s="31" t="s">
        <v>0</v>
      </c>
      <c r="C17" s="16"/>
      <c r="D17" s="15">
        <f>SUM(D18:D20)</f>
        <v>646.32400000000007</v>
      </c>
      <c r="E17" s="14">
        <f>SUMPRODUCT(D18:D20,E18:E20)/SUM(D18:D20)</f>
        <v>0.81422073139787465</v>
      </c>
      <c r="F17" s="32">
        <f>SUM(F18:F20)</f>
        <v>526.25040000000001</v>
      </c>
      <c r="H17" s="33" t="s">
        <v>38</v>
      </c>
      <c r="I17" s="17"/>
      <c r="J17" s="8">
        <f>SUM(J18,J23)</f>
        <v>2145.2159999999999</v>
      </c>
      <c r="K17" s="9"/>
      <c r="L17" s="46">
        <f>SUM(L18,L23)</f>
        <v>1823.4335999999998</v>
      </c>
      <c r="N17" s="34"/>
      <c r="O17" s="22" t="s">
        <v>47</v>
      </c>
      <c r="P17" s="12">
        <v>221.4</v>
      </c>
      <c r="Q17" s="13">
        <v>0.85</v>
      </c>
      <c r="R17" s="35">
        <f>P17*Q17</f>
        <v>188.19</v>
      </c>
    </row>
    <row r="18" spans="2:18" x14ac:dyDescent="0.25">
      <c r="B18" s="34"/>
      <c r="C18" s="22" t="s">
        <v>46</v>
      </c>
      <c r="D18" s="12">
        <v>231.25</v>
      </c>
      <c r="E18" s="13">
        <v>0.8</v>
      </c>
      <c r="F18" s="35">
        <f>D18*E18</f>
        <v>185</v>
      </c>
      <c r="H18" s="51" t="s">
        <v>78</v>
      </c>
      <c r="I18" s="52"/>
      <c r="J18" s="53">
        <f>SUM(J19:J22)</f>
        <v>1662</v>
      </c>
      <c r="K18" s="54">
        <f>SUMPRODUCT(J19:J22,K19:K22)/SUM(J19:J22)</f>
        <v>0.84999999999999987</v>
      </c>
      <c r="L18" s="55">
        <f>SUM(L19:L22)</f>
        <v>1412.6999999999998</v>
      </c>
      <c r="N18" s="34"/>
      <c r="O18" s="22" t="s">
        <v>50</v>
      </c>
      <c r="P18" s="12">
        <v>221.4</v>
      </c>
      <c r="Q18" s="13">
        <v>0.85</v>
      </c>
      <c r="R18" s="35">
        <f>P18*Q18</f>
        <v>188.19</v>
      </c>
    </row>
    <row r="19" spans="2:18" x14ac:dyDescent="0.25">
      <c r="B19" s="34"/>
      <c r="C19" s="22" t="s">
        <v>47</v>
      </c>
      <c r="D19" s="12">
        <v>231.25</v>
      </c>
      <c r="E19" s="13">
        <v>0.8</v>
      </c>
      <c r="F19" s="35">
        <f>D19*E19</f>
        <v>185</v>
      </c>
      <c r="H19" s="56"/>
      <c r="I19" s="57" t="s">
        <v>46</v>
      </c>
      <c r="J19" s="58">
        <v>374</v>
      </c>
      <c r="K19" s="59">
        <v>0.85</v>
      </c>
      <c r="L19" s="60">
        <f>J19*K19</f>
        <v>317.89999999999998</v>
      </c>
      <c r="N19" s="34"/>
      <c r="O19" s="22" t="s">
        <v>51</v>
      </c>
      <c r="P19" s="12">
        <v>221.4</v>
      </c>
      <c r="Q19" s="13">
        <v>0.85</v>
      </c>
      <c r="R19" s="35">
        <f>P19*Q19</f>
        <v>188.19</v>
      </c>
    </row>
    <row r="20" spans="2:18" x14ac:dyDescent="0.25">
      <c r="B20" s="34"/>
      <c r="C20" s="22" t="s">
        <v>48</v>
      </c>
      <c r="D20" s="12">
        <v>183.82400000000001</v>
      </c>
      <c r="E20" s="13">
        <v>0.85</v>
      </c>
      <c r="F20" s="35">
        <f>D20*E20</f>
        <v>156.25040000000001</v>
      </c>
      <c r="H20" s="56"/>
      <c r="I20" s="57" t="s">
        <v>47</v>
      </c>
      <c r="J20" s="58">
        <v>374</v>
      </c>
      <c r="K20" s="59">
        <v>0.85</v>
      </c>
      <c r="L20" s="60">
        <f>J20*K20</f>
        <v>317.89999999999998</v>
      </c>
      <c r="N20" s="34"/>
      <c r="O20" s="22" t="s">
        <v>48</v>
      </c>
      <c r="P20" s="12">
        <v>490</v>
      </c>
      <c r="Q20" s="13">
        <v>0.89</v>
      </c>
      <c r="R20" s="35">
        <f>P20*Q20</f>
        <v>436.1</v>
      </c>
    </row>
    <row r="21" spans="2:18" x14ac:dyDescent="0.25">
      <c r="B21" s="31" t="s">
        <v>1</v>
      </c>
      <c r="C21" s="16"/>
      <c r="D21" s="15">
        <f>SUM(D22:D24)</f>
        <v>646.32400000000007</v>
      </c>
      <c r="E21" s="14">
        <f>SUMPRODUCT(D22:D24,E22:E24)/SUM(D22:D24)</f>
        <v>0.81422073139787465</v>
      </c>
      <c r="F21" s="32">
        <f>SUM(F22:F24)</f>
        <v>526.25040000000001</v>
      </c>
      <c r="H21" s="56"/>
      <c r="I21" s="57" t="s">
        <v>50</v>
      </c>
      <c r="J21" s="58">
        <v>374</v>
      </c>
      <c r="K21" s="59">
        <v>0.85</v>
      </c>
      <c r="L21" s="60">
        <f>J21*K21</f>
        <v>317.89999999999998</v>
      </c>
      <c r="N21" s="33" t="s">
        <v>44</v>
      </c>
      <c r="O21" s="17"/>
      <c r="P21" s="8">
        <f>SUM(P22,P23,P24,P25)</f>
        <v>3934.6</v>
      </c>
      <c r="Q21" s="9"/>
      <c r="R21" s="46">
        <f>SUM(R22,R23,R24,R25)</f>
        <v>3344.41</v>
      </c>
    </row>
    <row r="22" spans="2:18" x14ac:dyDescent="0.25">
      <c r="B22" s="34"/>
      <c r="C22" s="22" t="s">
        <v>46</v>
      </c>
      <c r="D22" s="12">
        <v>231.25</v>
      </c>
      <c r="E22" s="13">
        <v>0.8</v>
      </c>
      <c r="F22" s="35">
        <f>D22*E22</f>
        <v>185</v>
      </c>
      <c r="H22" s="56"/>
      <c r="I22" s="57" t="s">
        <v>48</v>
      </c>
      <c r="J22" s="58">
        <v>540</v>
      </c>
      <c r="K22" s="59">
        <v>0.85</v>
      </c>
      <c r="L22" s="60">
        <f>J22*K22</f>
        <v>459</v>
      </c>
      <c r="N22" s="31" t="s">
        <v>18</v>
      </c>
      <c r="O22" s="16"/>
      <c r="P22" s="15">
        <v>430</v>
      </c>
      <c r="Q22" s="14">
        <v>0.85</v>
      </c>
      <c r="R22" s="32">
        <f>P22*Q22</f>
        <v>365.5</v>
      </c>
    </row>
    <row r="23" spans="2:18" x14ac:dyDescent="0.25">
      <c r="B23" s="34"/>
      <c r="C23" s="22" t="s">
        <v>47</v>
      </c>
      <c r="D23" s="12">
        <v>231.25</v>
      </c>
      <c r="E23" s="13">
        <v>0.8</v>
      </c>
      <c r="F23" s="35">
        <f>D23*E23</f>
        <v>185</v>
      </c>
      <c r="H23" s="31" t="s">
        <v>13</v>
      </c>
      <c r="I23" s="16">
        <v>12</v>
      </c>
      <c r="J23" s="15">
        <f>40.268*12</f>
        <v>483.21600000000001</v>
      </c>
      <c r="K23" s="14">
        <v>0.85</v>
      </c>
      <c r="L23" s="32">
        <f>J23*K23</f>
        <v>410.73360000000002</v>
      </c>
      <c r="N23" s="31" t="s">
        <v>19</v>
      </c>
      <c r="O23" s="16"/>
      <c r="P23" s="15">
        <v>1032</v>
      </c>
      <c r="Q23" s="14">
        <v>0.85</v>
      </c>
      <c r="R23" s="32">
        <f>P23*Q23</f>
        <v>877.19999999999993</v>
      </c>
    </row>
    <row r="24" spans="2:18" x14ac:dyDescent="0.25">
      <c r="B24" s="34"/>
      <c r="C24" s="22" t="s">
        <v>48</v>
      </c>
      <c r="D24" s="12">
        <v>183.82400000000001</v>
      </c>
      <c r="E24" s="13">
        <v>0.85</v>
      </c>
      <c r="F24" s="35">
        <f>D24*E24</f>
        <v>156.25040000000001</v>
      </c>
      <c r="H24" s="33" t="s">
        <v>39</v>
      </c>
      <c r="I24" s="17"/>
      <c r="J24" s="8">
        <f>SUM(J25,J29)</f>
        <v>644.44200000000001</v>
      </c>
      <c r="K24" s="9"/>
      <c r="L24" s="46">
        <f>SUM(L25,L29)</f>
        <v>579.99779999999998</v>
      </c>
      <c r="N24" s="31" t="s">
        <v>20</v>
      </c>
      <c r="O24" s="16"/>
      <c r="P24" s="15">
        <v>1032</v>
      </c>
      <c r="Q24" s="14">
        <v>0.85</v>
      </c>
      <c r="R24" s="32">
        <f>P24*Q24</f>
        <v>877.19999999999993</v>
      </c>
    </row>
    <row r="25" spans="2:18" x14ac:dyDescent="0.25">
      <c r="B25" s="31" t="s">
        <v>21</v>
      </c>
      <c r="C25" s="16">
        <v>12</v>
      </c>
      <c r="D25" s="15">
        <f>40.268*C25</f>
        <v>483.21600000000001</v>
      </c>
      <c r="E25" s="14">
        <v>0.85</v>
      </c>
      <c r="F25" s="32">
        <f>D25*E25</f>
        <v>410.73360000000002</v>
      </c>
      <c r="H25" s="31" t="s">
        <v>14</v>
      </c>
      <c r="I25" s="16"/>
      <c r="J25" s="15">
        <f>SUM(J26:J28)</f>
        <v>322.221</v>
      </c>
      <c r="K25" s="14">
        <f>SUMPRODUCT(J26:J28,K26:K28)/SUM(J26:J28)</f>
        <v>0.89999999999999991</v>
      </c>
      <c r="L25" s="32">
        <f>SUM(L26:L28)</f>
        <v>289.99889999999999</v>
      </c>
      <c r="N25" s="31" t="s">
        <v>31</v>
      </c>
      <c r="O25" s="16"/>
      <c r="P25" s="15">
        <f>SUM(P26:P30)</f>
        <v>1440.6</v>
      </c>
      <c r="Q25" s="14">
        <f>SUMPRODUCT(P26:P30,Q26:Q30)/SUM(P26:P30)</f>
        <v>0.85000000000000009</v>
      </c>
      <c r="R25" s="32">
        <f>SUM(R26:R30)</f>
        <v>1224.51</v>
      </c>
    </row>
    <row r="26" spans="2:18" x14ac:dyDescent="0.25">
      <c r="B26" s="31" t="s">
        <v>22</v>
      </c>
      <c r="C26" s="16">
        <v>12</v>
      </c>
      <c r="D26" s="15">
        <f>40.268*C26</f>
        <v>483.21600000000001</v>
      </c>
      <c r="E26" s="14">
        <v>0.85</v>
      </c>
      <c r="F26" s="32">
        <f>D26*E26</f>
        <v>410.73360000000002</v>
      </c>
      <c r="G26" s="6"/>
      <c r="H26" s="34"/>
      <c r="I26" s="22" t="s">
        <v>46</v>
      </c>
      <c r="J26" s="12">
        <v>94.444000000000003</v>
      </c>
      <c r="K26" s="13">
        <v>0.9</v>
      </c>
      <c r="L26" s="35">
        <f>J26*K26</f>
        <v>84.999600000000001</v>
      </c>
      <c r="N26" s="34"/>
      <c r="O26" s="22" t="s">
        <v>46</v>
      </c>
      <c r="P26" s="12">
        <v>221.4</v>
      </c>
      <c r="Q26" s="13">
        <v>0.85</v>
      </c>
      <c r="R26" s="35">
        <f>P26*Q26</f>
        <v>188.19</v>
      </c>
    </row>
    <row r="27" spans="2:18" x14ac:dyDescent="0.25">
      <c r="B27" s="33" t="s">
        <v>34</v>
      </c>
      <c r="C27" s="17"/>
      <c r="D27" s="8">
        <f>SUM(D28,D37,D40)</f>
        <v>3271.692</v>
      </c>
      <c r="E27" s="9"/>
      <c r="F27" s="46">
        <f>SUM(F28,F37,F40)</f>
        <v>2841.8716000000004</v>
      </c>
      <c r="G27" s="6"/>
      <c r="H27" s="34"/>
      <c r="I27" s="22" t="s">
        <v>47</v>
      </c>
      <c r="J27" s="12">
        <v>94.444000000000003</v>
      </c>
      <c r="K27" s="13">
        <v>0.9</v>
      </c>
      <c r="L27" s="35">
        <f>J27*K27</f>
        <v>84.999600000000001</v>
      </c>
      <c r="N27" s="34"/>
      <c r="O27" s="22" t="s">
        <v>47</v>
      </c>
      <c r="P27" s="12">
        <v>221.4</v>
      </c>
      <c r="Q27" s="13">
        <v>0.85</v>
      </c>
      <c r="R27" s="35">
        <f>P27*Q27</f>
        <v>188.19</v>
      </c>
    </row>
    <row r="28" spans="2:18" x14ac:dyDescent="0.25">
      <c r="B28" s="31" t="s">
        <v>2</v>
      </c>
      <c r="C28" s="16"/>
      <c r="D28" s="15">
        <f>SUM(D29:D36)</f>
        <v>2002.2240000000002</v>
      </c>
      <c r="E28" s="14">
        <f>SUMPRODUCT(D29:D36,E29:E36)/SUM(D29:D36)</f>
        <v>0.85978911450467077</v>
      </c>
      <c r="F28" s="32">
        <f>SUM(F29:F36)</f>
        <v>1721.4904000000001</v>
      </c>
      <c r="H28" s="34"/>
      <c r="I28" s="22" t="s">
        <v>48</v>
      </c>
      <c r="J28" s="12">
        <v>133.333</v>
      </c>
      <c r="K28" s="13">
        <v>0.9</v>
      </c>
      <c r="L28" s="35">
        <f>J28*K28</f>
        <v>119.9997</v>
      </c>
      <c r="N28" s="34"/>
      <c r="O28" s="22" t="s">
        <v>50</v>
      </c>
      <c r="P28" s="12">
        <v>221.4</v>
      </c>
      <c r="Q28" s="13">
        <v>0.85</v>
      </c>
      <c r="R28" s="35">
        <f>P28*Q28</f>
        <v>188.19</v>
      </c>
    </row>
    <row r="29" spans="2:18" x14ac:dyDescent="0.25">
      <c r="B29" s="34"/>
      <c r="C29" s="22" t="s">
        <v>46</v>
      </c>
      <c r="D29" s="12">
        <v>221.4</v>
      </c>
      <c r="E29" s="13">
        <v>0.85</v>
      </c>
      <c r="F29" s="35">
        <f t="shared" ref="F29:F36" si="0">D29*E29</f>
        <v>188.19</v>
      </c>
      <c r="H29" s="31" t="s">
        <v>15</v>
      </c>
      <c r="I29" s="16"/>
      <c r="J29" s="15">
        <f>SUM(J30:J32)</f>
        <v>322.221</v>
      </c>
      <c r="K29" s="14">
        <f>SUMPRODUCT(J30:J32,K30:K32)/SUM(J30:J32)</f>
        <v>0.89999999999999991</v>
      </c>
      <c r="L29" s="32">
        <f>SUM(L30:L32)</f>
        <v>289.99889999999999</v>
      </c>
      <c r="N29" s="34"/>
      <c r="O29" s="22" t="s">
        <v>51</v>
      </c>
      <c r="P29" s="12">
        <v>221.4</v>
      </c>
      <c r="Q29" s="13">
        <v>0.85</v>
      </c>
      <c r="R29" s="35">
        <f>P29*Q29</f>
        <v>188.19</v>
      </c>
    </row>
    <row r="30" spans="2:18" x14ac:dyDescent="0.25">
      <c r="B30" s="34"/>
      <c r="C30" s="22" t="s">
        <v>47</v>
      </c>
      <c r="D30" s="12">
        <v>221.4</v>
      </c>
      <c r="E30" s="13">
        <v>0.85</v>
      </c>
      <c r="F30" s="35">
        <f t="shared" si="0"/>
        <v>188.19</v>
      </c>
      <c r="H30" s="34"/>
      <c r="I30" s="22" t="s">
        <v>46</v>
      </c>
      <c r="J30" s="12">
        <v>94.444000000000003</v>
      </c>
      <c r="K30" s="13">
        <v>0.9</v>
      </c>
      <c r="L30" s="35">
        <f>J30*K30</f>
        <v>84.999600000000001</v>
      </c>
      <c r="N30" s="34"/>
      <c r="O30" s="22" t="s">
        <v>48</v>
      </c>
      <c r="P30" s="12">
        <v>555</v>
      </c>
      <c r="Q30" s="13">
        <v>0.85</v>
      </c>
      <c r="R30" s="35">
        <f>P30*Q30</f>
        <v>471.75</v>
      </c>
    </row>
    <row r="31" spans="2:18" x14ac:dyDescent="0.25">
      <c r="B31" s="34"/>
      <c r="C31" s="22" t="s">
        <v>50</v>
      </c>
      <c r="D31" s="12">
        <v>221.4</v>
      </c>
      <c r="E31" s="13">
        <v>0.85</v>
      </c>
      <c r="F31" s="35">
        <f t="shared" si="0"/>
        <v>188.19</v>
      </c>
      <c r="H31" s="34"/>
      <c r="I31" s="22" t="s">
        <v>47</v>
      </c>
      <c r="J31" s="12">
        <v>94.444000000000003</v>
      </c>
      <c r="K31" s="13">
        <v>0.9</v>
      </c>
      <c r="L31" s="35">
        <f>J31*K31</f>
        <v>84.999600000000001</v>
      </c>
      <c r="N31" s="33" t="s">
        <v>58</v>
      </c>
      <c r="O31" s="17"/>
      <c r="P31" s="8">
        <f>SUM(P32,P37,P42)</f>
        <v>4824</v>
      </c>
      <c r="Q31" s="9"/>
      <c r="R31" s="8">
        <f>SUM(R32,R37,R42)</f>
        <v>4100.3999999999996</v>
      </c>
    </row>
    <row r="32" spans="2:18" ht="13.8" thickBot="1" x14ac:dyDescent="0.3">
      <c r="B32" s="34"/>
      <c r="C32" s="22" t="s">
        <v>51</v>
      </c>
      <c r="D32" s="12">
        <v>221.4</v>
      </c>
      <c r="E32" s="13">
        <v>0.85</v>
      </c>
      <c r="F32" s="35">
        <f t="shared" si="0"/>
        <v>188.19</v>
      </c>
      <c r="H32" s="40"/>
      <c r="I32" s="41" t="s">
        <v>48</v>
      </c>
      <c r="J32" s="42">
        <v>133.333</v>
      </c>
      <c r="K32" s="43">
        <v>0.9</v>
      </c>
      <c r="L32" s="44">
        <f>J32*K32</f>
        <v>119.9997</v>
      </c>
      <c r="N32" s="31" t="s">
        <v>59</v>
      </c>
      <c r="O32" s="16"/>
      <c r="P32" s="15">
        <f>SUM(P33:P36)</f>
        <v>1608</v>
      </c>
      <c r="Q32" s="14">
        <f>SUMPRODUCT(P33:P36,Q33:Q36)/SUM(P33:P36)</f>
        <v>0.85</v>
      </c>
      <c r="R32" s="32">
        <f>SUM(R33:R36)</f>
        <v>1366.8</v>
      </c>
    </row>
    <row r="33" spans="1:18" x14ac:dyDescent="0.25">
      <c r="B33" s="34"/>
      <c r="C33" s="22" t="s">
        <v>54</v>
      </c>
      <c r="D33" s="12">
        <v>221.4</v>
      </c>
      <c r="E33" s="13">
        <v>0.85</v>
      </c>
      <c r="F33" s="35">
        <f t="shared" si="0"/>
        <v>188.19</v>
      </c>
      <c r="H33" s="33" t="s">
        <v>40</v>
      </c>
      <c r="I33" s="17"/>
      <c r="J33" s="8">
        <f>SUM(J34)</f>
        <v>1524</v>
      </c>
      <c r="K33" s="9"/>
      <c r="L33" s="46">
        <f>SUM(L34)</f>
        <v>1295.4000000000001</v>
      </c>
      <c r="N33" s="34"/>
      <c r="O33" s="22" t="s">
        <v>46</v>
      </c>
      <c r="P33" s="12">
        <v>351</v>
      </c>
      <c r="Q33" s="13">
        <v>0.85</v>
      </c>
      <c r="R33" s="35">
        <f>P33*Q33</f>
        <v>298.34999999999997</v>
      </c>
    </row>
    <row r="34" spans="1:18" x14ac:dyDescent="0.25">
      <c r="B34" s="34"/>
      <c r="C34" s="22" t="s">
        <v>55</v>
      </c>
      <c r="D34" s="12">
        <v>221.4</v>
      </c>
      <c r="E34" s="13">
        <v>0.85</v>
      </c>
      <c r="F34" s="35">
        <f t="shared" si="0"/>
        <v>188.19</v>
      </c>
      <c r="H34" s="31" t="s">
        <v>68</v>
      </c>
      <c r="I34" s="16"/>
      <c r="J34" s="15">
        <f>SUM(J35:J38)</f>
        <v>1524</v>
      </c>
      <c r="K34" s="14">
        <f>SUMPRODUCT(J35:J38,K35:K38)/SUM(J35:J38)</f>
        <v>0.85000000000000009</v>
      </c>
      <c r="L34" s="32">
        <f>SUM(L35:L38)</f>
        <v>1295.4000000000001</v>
      </c>
      <c r="N34" s="34"/>
      <c r="O34" s="22" t="s">
        <v>47</v>
      </c>
      <c r="P34" s="12">
        <v>351</v>
      </c>
      <c r="Q34" s="13">
        <v>0.85</v>
      </c>
      <c r="R34" s="35">
        <f>P34*Q34</f>
        <v>298.34999999999997</v>
      </c>
    </row>
    <row r="35" spans="1:18" x14ac:dyDescent="0.25">
      <c r="B35" s="34"/>
      <c r="C35" s="22" t="s">
        <v>52</v>
      </c>
      <c r="D35" s="12">
        <v>183.82400000000001</v>
      </c>
      <c r="E35" s="13">
        <v>0.85</v>
      </c>
      <c r="F35" s="35">
        <f t="shared" si="0"/>
        <v>156.25040000000001</v>
      </c>
      <c r="H35" s="34"/>
      <c r="I35" s="22" t="s">
        <v>46</v>
      </c>
      <c r="J35" s="12">
        <v>323</v>
      </c>
      <c r="K35" s="13">
        <v>0.85</v>
      </c>
      <c r="L35" s="35">
        <f>J35*K35</f>
        <v>274.55</v>
      </c>
      <c r="N35" s="34"/>
      <c r="O35" s="22" t="s">
        <v>50</v>
      </c>
      <c r="P35" s="12">
        <v>351</v>
      </c>
      <c r="Q35" s="13">
        <v>0.85</v>
      </c>
      <c r="R35" s="35">
        <f>P35*Q35</f>
        <v>298.34999999999997</v>
      </c>
    </row>
    <row r="36" spans="1:18" x14ac:dyDescent="0.25">
      <c r="B36" s="34"/>
      <c r="C36" s="22" t="s">
        <v>53</v>
      </c>
      <c r="D36" s="12">
        <v>490</v>
      </c>
      <c r="E36" s="13">
        <v>0.89</v>
      </c>
      <c r="F36" s="35">
        <f t="shared" si="0"/>
        <v>436.1</v>
      </c>
      <c r="G36" s="6"/>
      <c r="H36" s="34"/>
      <c r="I36" s="22" t="s">
        <v>47</v>
      </c>
      <c r="J36" s="12">
        <v>323</v>
      </c>
      <c r="K36" s="13">
        <v>0.85</v>
      </c>
      <c r="L36" s="35">
        <f>J36*K36</f>
        <v>274.55</v>
      </c>
      <c r="N36" s="34"/>
      <c r="O36" s="22" t="s">
        <v>48</v>
      </c>
      <c r="P36" s="12">
        <v>555</v>
      </c>
      <c r="Q36" s="13">
        <v>0.85</v>
      </c>
      <c r="R36" s="35">
        <f>P36*Q36</f>
        <v>471.75</v>
      </c>
    </row>
    <row r="37" spans="1:18" x14ac:dyDescent="0.25">
      <c r="B37" s="31" t="s">
        <v>3</v>
      </c>
      <c r="C37" s="18"/>
      <c r="D37" s="15">
        <f>SUM(D38:D39)</f>
        <v>442.8</v>
      </c>
      <c r="E37" s="14">
        <f>SUMPRODUCT(D38:D39,E38:E39)/SUM(D38:D39)</f>
        <v>0.85</v>
      </c>
      <c r="F37" s="32">
        <f>SUM(F38:F39)</f>
        <v>376.38</v>
      </c>
      <c r="H37" s="34"/>
      <c r="I37" s="22" t="s">
        <v>50</v>
      </c>
      <c r="J37" s="12">
        <v>323</v>
      </c>
      <c r="K37" s="13">
        <v>0.85</v>
      </c>
      <c r="L37" s="35">
        <f>J37*K37</f>
        <v>274.55</v>
      </c>
      <c r="N37" s="31" t="s">
        <v>60</v>
      </c>
      <c r="O37" s="16"/>
      <c r="P37" s="15">
        <f>SUM(P38:P41)</f>
        <v>1608</v>
      </c>
      <c r="Q37" s="14">
        <f>SUMPRODUCT(P38:P41,Q38:Q41)/SUM(P38:P41)</f>
        <v>0.85</v>
      </c>
      <c r="R37" s="32">
        <f>SUM(R38:R41)</f>
        <v>1366.8</v>
      </c>
    </row>
    <row r="38" spans="1:18" ht="13.8" thickBot="1" x14ac:dyDescent="0.3">
      <c r="B38" s="34"/>
      <c r="C38" s="22" t="s">
        <v>46</v>
      </c>
      <c r="D38" s="12">
        <v>221.4</v>
      </c>
      <c r="E38" s="13">
        <v>0.85</v>
      </c>
      <c r="F38" s="35">
        <f>D38*E38</f>
        <v>188.19</v>
      </c>
      <c r="H38" s="34"/>
      <c r="I38" s="22" t="s">
        <v>48</v>
      </c>
      <c r="J38" s="12">
        <v>555</v>
      </c>
      <c r="K38" s="13">
        <v>0.85</v>
      </c>
      <c r="L38" s="35">
        <f>J38*K38</f>
        <v>471.75</v>
      </c>
      <c r="N38" s="34"/>
      <c r="O38" s="22" t="s">
        <v>46</v>
      </c>
      <c r="P38" s="12">
        <v>351</v>
      </c>
      <c r="Q38" s="13">
        <v>0.85</v>
      </c>
      <c r="R38" s="35">
        <f>P38*Q38</f>
        <v>298.34999999999997</v>
      </c>
    </row>
    <row r="39" spans="1:18" x14ac:dyDescent="0.25">
      <c r="A39" s="10"/>
      <c r="B39" s="34"/>
      <c r="C39" s="22" t="s">
        <v>47</v>
      </c>
      <c r="D39" s="12">
        <v>221.4</v>
      </c>
      <c r="E39" s="13">
        <v>0.85</v>
      </c>
      <c r="F39" s="35">
        <f>D39*E39</f>
        <v>188.19</v>
      </c>
      <c r="H39" s="36" t="s">
        <v>76</v>
      </c>
      <c r="I39" s="37"/>
      <c r="J39" s="38">
        <f>SUM(J40)</f>
        <v>10</v>
      </c>
      <c r="K39" s="39"/>
      <c r="L39" s="47">
        <f>SUM(L40)</f>
        <v>10</v>
      </c>
      <c r="N39" s="34"/>
      <c r="O39" s="22" t="s">
        <v>47</v>
      </c>
      <c r="P39" s="12">
        <v>351</v>
      </c>
      <c r="Q39" s="13">
        <v>0.85</v>
      </c>
      <c r="R39" s="35">
        <f>P39*Q39</f>
        <v>298.34999999999997</v>
      </c>
    </row>
    <row r="40" spans="1:18" ht="13.8" thickBot="1" x14ac:dyDescent="0.3">
      <c r="A40" s="5"/>
      <c r="B40" s="31" t="s">
        <v>4</v>
      </c>
      <c r="C40" s="16">
        <v>12</v>
      </c>
      <c r="D40" s="15">
        <f>68.889*C40</f>
        <v>826.66799999999989</v>
      </c>
      <c r="E40" s="14">
        <v>0.9</v>
      </c>
      <c r="F40" s="32">
        <f>D40*E40</f>
        <v>744.00119999999993</v>
      </c>
      <c r="G40" s="6"/>
      <c r="H40" s="69" t="s">
        <v>76</v>
      </c>
      <c r="I40" s="70"/>
      <c r="J40" s="71">
        <v>10</v>
      </c>
      <c r="K40" s="72">
        <f>L40/J40</f>
        <v>1</v>
      </c>
      <c r="L40" s="73">
        <v>10</v>
      </c>
      <c r="N40" s="34"/>
      <c r="O40" s="22" t="s">
        <v>50</v>
      </c>
      <c r="P40" s="12">
        <v>351</v>
      </c>
      <c r="Q40" s="13">
        <v>0.85</v>
      </c>
      <c r="R40" s="35">
        <f>P40*Q40</f>
        <v>298.34999999999997</v>
      </c>
    </row>
    <row r="41" spans="1:18" x14ac:dyDescent="0.25">
      <c r="A41" s="10"/>
      <c r="B41" s="33" t="s">
        <v>35</v>
      </c>
      <c r="C41" s="19">
        <v>1</v>
      </c>
      <c r="D41" s="8">
        <f>SUM(D42,D44)</f>
        <v>1510.2</v>
      </c>
      <c r="E41" s="9"/>
      <c r="F41" s="46">
        <f>SUM(F42,F44)</f>
        <v>1359.18</v>
      </c>
      <c r="G41" s="6"/>
      <c r="H41" s="33" t="s">
        <v>41</v>
      </c>
      <c r="I41" s="19">
        <v>1</v>
      </c>
      <c r="J41" s="8">
        <f>SUM(J42)</f>
        <v>990</v>
      </c>
      <c r="K41" s="9"/>
      <c r="L41" s="46">
        <f>SUM(L42)</f>
        <v>891</v>
      </c>
      <c r="N41" s="34"/>
      <c r="O41" s="22" t="s">
        <v>48</v>
      </c>
      <c r="P41" s="12">
        <v>555</v>
      </c>
      <c r="Q41" s="13">
        <v>0.85</v>
      </c>
      <c r="R41" s="35">
        <f>P41*Q41</f>
        <v>471.75</v>
      </c>
    </row>
    <row r="42" spans="1:18" x14ac:dyDescent="0.25">
      <c r="A42" s="5"/>
      <c r="B42" s="31" t="s">
        <v>26</v>
      </c>
      <c r="C42" s="20">
        <v>1</v>
      </c>
      <c r="D42" s="15">
        <f>755.1</f>
        <v>755.1</v>
      </c>
      <c r="E42" s="14">
        <v>0.9</v>
      </c>
      <c r="F42" s="32">
        <f>D42*E42</f>
        <v>679.59</v>
      </c>
      <c r="G42" s="6"/>
      <c r="H42" s="31" t="s">
        <v>23</v>
      </c>
      <c r="I42" s="20">
        <v>1</v>
      </c>
      <c r="J42" s="15">
        <f>990</f>
        <v>990</v>
      </c>
      <c r="K42" s="14">
        <v>0.9</v>
      </c>
      <c r="L42" s="32">
        <f>J42*K42</f>
        <v>891</v>
      </c>
      <c r="N42" s="31" t="s">
        <v>74</v>
      </c>
      <c r="O42" s="16"/>
      <c r="P42" s="15">
        <f>SUM(P43:P46)</f>
        <v>1608</v>
      </c>
      <c r="Q42" s="14">
        <f>SUMPRODUCT(P43:P46,Q43:Q46)/SUM(P43:P46)</f>
        <v>0.85</v>
      </c>
      <c r="R42" s="32">
        <f>SUM(R43:R46)</f>
        <v>1366.8</v>
      </c>
    </row>
    <row r="43" spans="1:18" x14ac:dyDescent="0.25">
      <c r="B43" s="34" t="s">
        <v>26</v>
      </c>
      <c r="C43" s="21">
        <v>0.2</v>
      </c>
      <c r="D43" s="12">
        <f>755.1*C43</f>
        <v>151.02000000000001</v>
      </c>
      <c r="E43" s="13">
        <v>0.9</v>
      </c>
      <c r="F43" s="35">
        <f>D43*E43</f>
        <v>135.91800000000001</v>
      </c>
      <c r="G43" s="6"/>
      <c r="H43" s="34" t="s">
        <v>23</v>
      </c>
      <c r="I43" s="23">
        <v>0.76359999999999995</v>
      </c>
      <c r="J43" s="12">
        <f>990*I43</f>
        <v>755.96399999999994</v>
      </c>
      <c r="K43" s="13">
        <v>0.9</v>
      </c>
      <c r="L43" s="35">
        <f>J43*K43</f>
        <v>680.36759999999992</v>
      </c>
      <c r="N43" s="34"/>
      <c r="O43" s="22" t="s">
        <v>46</v>
      </c>
      <c r="P43" s="12">
        <v>351</v>
      </c>
      <c r="Q43" s="13">
        <v>0.85</v>
      </c>
      <c r="R43" s="35">
        <f>P43*Q43</f>
        <v>298.34999999999997</v>
      </c>
    </row>
    <row r="44" spans="1:18" x14ac:dyDescent="0.25">
      <c r="B44" s="31" t="s">
        <v>27</v>
      </c>
      <c r="C44" s="20">
        <v>1</v>
      </c>
      <c r="D44" s="15">
        <f>755.1</f>
        <v>755.1</v>
      </c>
      <c r="E44" s="14">
        <v>0.9</v>
      </c>
      <c r="F44" s="32">
        <f>D44*E44</f>
        <v>679.59</v>
      </c>
      <c r="H44" s="33" t="s">
        <v>42</v>
      </c>
      <c r="I44" s="19">
        <v>1</v>
      </c>
      <c r="J44" s="8">
        <f>SUM(J45:J46)</f>
        <v>2400</v>
      </c>
      <c r="K44" s="9"/>
      <c r="L44" s="46">
        <f>SUM(L45:L46)</f>
        <v>2160</v>
      </c>
      <c r="N44" s="34"/>
      <c r="O44" s="22" t="s">
        <v>47</v>
      </c>
      <c r="P44" s="12">
        <v>351</v>
      </c>
      <c r="Q44" s="13">
        <v>0.85</v>
      </c>
      <c r="R44" s="35">
        <f>P44*Q44</f>
        <v>298.34999999999997</v>
      </c>
    </row>
    <row r="45" spans="1:18" ht="13.8" thickBot="1" x14ac:dyDescent="0.3">
      <c r="B45" s="40" t="s">
        <v>27</v>
      </c>
      <c r="C45" s="45">
        <v>0.2</v>
      </c>
      <c r="D45" s="42">
        <f>755.1*C45</f>
        <v>151.02000000000001</v>
      </c>
      <c r="E45" s="43">
        <v>0.9</v>
      </c>
      <c r="F45" s="44">
        <f>D45*E45</f>
        <v>135.91800000000001</v>
      </c>
      <c r="G45" s="6"/>
      <c r="H45" s="31" t="s">
        <v>24</v>
      </c>
      <c r="I45" s="20">
        <v>1</v>
      </c>
      <c r="J45" s="15">
        <v>1200</v>
      </c>
      <c r="K45" s="14">
        <v>0.9</v>
      </c>
      <c r="L45" s="32">
        <f>J45*K45</f>
        <v>1080</v>
      </c>
      <c r="N45" s="34"/>
      <c r="O45" s="22" t="s">
        <v>50</v>
      </c>
      <c r="P45" s="12">
        <v>351</v>
      </c>
      <c r="Q45" s="13">
        <v>0.85</v>
      </c>
      <c r="R45" s="35">
        <f>P45*Q45</f>
        <v>298.34999999999997</v>
      </c>
    </row>
    <row r="46" spans="1:18" ht="13.8" thickBot="1" x14ac:dyDescent="0.3">
      <c r="B46" s="36" t="s">
        <v>36</v>
      </c>
      <c r="C46" s="37"/>
      <c r="D46" s="38">
        <f>SUM(D47,D48,D49,D53,D57)</f>
        <v>5070.6000000000004</v>
      </c>
      <c r="E46" s="39"/>
      <c r="F46" s="47">
        <f>SUM(F47,F48,F49,F53,F57)</f>
        <v>4317.51</v>
      </c>
      <c r="G46" s="6"/>
      <c r="H46" s="31" t="s">
        <v>25</v>
      </c>
      <c r="I46" s="20">
        <v>1</v>
      </c>
      <c r="J46" s="15">
        <v>1200</v>
      </c>
      <c r="K46" s="14">
        <v>0.9</v>
      </c>
      <c r="L46" s="32">
        <f>J46*K46</f>
        <v>1080</v>
      </c>
      <c r="N46" s="34"/>
      <c r="O46" s="22" t="s">
        <v>48</v>
      </c>
      <c r="P46" s="12">
        <v>555</v>
      </c>
      <c r="Q46" s="13">
        <v>0.85</v>
      </c>
      <c r="R46" s="35">
        <f>P46*Q46</f>
        <v>471.75</v>
      </c>
    </row>
    <row r="47" spans="1:18" ht="12.75" customHeight="1" thickBot="1" x14ac:dyDescent="0.3">
      <c r="B47" s="31" t="s">
        <v>5</v>
      </c>
      <c r="C47" s="16"/>
      <c r="D47" s="15">
        <v>1050</v>
      </c>
      <c r="E47" s="14">
        <v>0.89</v>
      </c>
      <c r="F47" s="32">
        <f>D47*E47</f>
        <v>934.5</v>
      </c>
      <c r="H47" s="40" t="s">
        <v>25</v>
      </c>
      <c r="I47" s="78">
        <v>0.85150000000000003</v>
      </c>
      <c r="J47" s="42">
        <f>1000*I47</f>
        <v>851.5</v>
      </c>
      <c r="K47" s="43">
        <v>0.9</v>
      </c>
      <c r="L47" s="44">
        <f>J47*K47</f>
        <v>766.35</v>
      </c>
      <c r="N47" s="25" t="s">
        <v>56</v>
      </c>
      <c r="O47" s="26"/>
      <c r="P47" s="65">
        <f>SUM(D8,D14,D16,D27,D41,D46,J8,J17,J24,J33,J39,J41,J44,P8,P31,P21)</f>
        <v>36264.629999999997</v>
      </c>
      <c r="Q47" s="66"/>
      <c r="R47" s="67">
        <f>SUM(F8,F14,F16,F27,F41,F46,L8,L17,L24,L33,L39,L41,L44,R8,R31,R21)</f>
        <v>31243.901000000002</v>
      </c>
    </row>
    <row r="48" spans="1:18" ht="12.75" customHeight="1" x14ac:dyDescent="0.25">
      <c r="B48" s="31" t="s">
        <v>6</v>
      </c>
      <c r="C48" s="16"/>
      <c r="D48" s="15">
        <v>1050</v>
      </c>
      <c r="E48" s="14">
        <v>0.89</v>
      </c>
      <c r="F48" s="32">
        <f>D48*E48</f>
        <v>934.5</v>
      </c>
    </row>
    <row r="49" spans="1:18" ht="12.75" customHeight="1" x14ac:dyDescent="0.3">
      <c r="B49" s="31" t="s">
        <v>7</v>
      </c>
      <c r="C49" s="16"/>
      <c r="D49" s="15">
        <f>SUM(D50:D52)</f>
        <v>765</v>
      </c>
      <c r="E49" s="14">
        <f>SUMPRODUCT(D50:D52,E50:E52)/SUM(D50:D52)</f>
        <v>0.8</v>
      </c>
      <c r="F49" s="32">
        <f>SUM(F50:F52)</f>
        <v>612</v>
      </c>
      <c r="H49" s="74" t="s">
        <v>71</v>
      </c>
      <c r="I49" s="74"/>
      <c r="J49" s="74"/>
      <c r="K49" s="74"/>
      <c r="L49" s="74"/>
      <c r="M49" s="74"/>
      <c r="N49" s="62"/>
      <c r="O49" s="62"/>
      <c r="P49" s="62"/>
      <c r="Q49" s="62"/>
      <c r="R49" s="62"/>
    </row>
    <row r="50" spans="1:18" ht="12.75" customHeight="1" x14ac:dyDescent="0.25">
      <c r="B50" s="34"/>
      <c r="C50" s="22" t="s">
        <v>46</v>
      </c>
      <c r="D50" s="12">
        <v>255</v>
      </c>
      <c r="E50" s="13">
        <v>0.8</v>
      </c>
      <c r="F50" s="35">
        <f>D50*E50</f>
        <v>204</v>
      </c>
      <c r="H50" s="79" t="s">
        <v>61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</row>
    <row r="51" spans="1:18" ht="12.75" customHeight="1" x14ac:dyDescent="0.25">
      <c r="B51" s="34"/>
      <c r="C51" s="22" t="s">
        <v>47</v>
      </c>
      <c r="D51" s="12">
        <v>255</v>
      </c>
      <c r="E51" s="13">
        <v>0.8</v>
      </c>
      <c r="F51" s="35">
        <f>D51*E51</f>
        <v>204</v>
      </c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</row>
    <row r="52" spans="1:18" ht="12.75" customHeight="1" x14ac:dyDescent="0.25">
      <c r="B52" s="34"/>
      <c r="C52" s="22" t="s">
        <v>48</v>
      </c>
      <c r="D52" s="12">
        <v>255</v>
      </c>
      <c r="E52" s="13">
        <v>0.8</v>
      </c>
      <c r="F52" s="35">
        <f>D52*E52</f>
        <v>204</v>
      </c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</row>
    <row r="53" spans="1:18" ht="12.75" customHeight="1" x14ac:dyDescent="0.25">
      <c r="B53" s="31" t="s">
        <v>8</v>
      </c>
      <c r="C53" s="16"/>
      <c r="D53" s="15">
        <f>SUM(D54:D56)</f>
        <v>765</v>
      </c>
      <c r="E53" s="14">
        <f>SUMPRODUCT(D54:D56,E54:E56)/SUM(D54:D56)</f>
        <v>0.8</v>
      </c>
      <c r="F53" s="32">
        <f>SUM(F54:F56)</f>
        <v>612</v>
      </c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</row>
    <row r="54" spans="1:18" ht="12.75" customHeight="1" x14ac:dyDescent="0.3">
      <c r="B54" s="34"/>
      <c r="C54" s="22" t="s">
        <v>46</v>
      </c>
      <c r="D54" s="12">
        <v>255</v>
      </c>
      <c r="E54" s="13">
        <v>0.8</v>
      </c>
      <c r="F54" s="35">
        <f>D54*E54</f>
        <v>204</v>
      </c>
      <c r="H54" s="48" t="s">
        <v>62</v>
      </c>
      <c r="I54" s="77"/>
      <c r="J54" s="77"/>
      <c r="K54" s="77"/>
      <c r="L54" s="77"/>
      <c r="M54" s="77"/>
      <c r="N54" s="77"/>
      <c r="O54" s="77"/>
      <c r="P54" s="77"/>
      <c r="Q54" s="77"/>
      <c r="R54" s="77"/>
    </row>
    <row r="55" spans="1:18" ht="12.75" customHeight="1" x14ac:dyDescent="0.25">
      <c r="B55" s="34"/>
      <c r="C55" s="22" t="s">
        <v>47</v>
      </c>
      <c r="D55" s="12">
        <v>255</v>
      </c>
      <c r="E55" s="13">
        <v>0.8</v>
      </c>
      <c r="F55" s="35">
        <f>D55*E55</f>
        <v>204</v>
      </c>
      <c r="H55" s="79" t="s">
        <v>63</v>
      </c>
      <c r="I55" s="79"/>
      <c r="J55" s="79"/>
      <c r="K55" s="79"/>
      <c r="L55" s="79"/>
      <c r="M55" s="79"/>
      <c r="N55" s="79"/>
      <c r="O55" s="79"/>
      <c r="P55" s="79"/>
      <c r="Q55" s="79"/>
      <c r="R55" s="79"/>
    </row>
    <row r="56" spans="1:18" ht="12.75" customHeight="1" x14ac:dyDescent="0.25">
      <c r="B56" s="34"/>
      <c r="C56" s="22" t="s">
        <v>48</v>
      </c>
      <c r="D56" s="12">
        <v>255</v>
      </c>
      <c r="E56" s="13">
        <v>0.8</v>
      </c>
      <c r="F56" s="35">
        <f>D56*E56</f>
        <v>204</v>
      </c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</row>
    <row r="57" spans="1:18" ht="12.75" customHeight="1" x14ac:dyDescent="0.25">
      <c r="A57" s="5"/>
      <c r="B57" s="31" t="s">
        <v>9</v>
      </c>
      <c r="C57" s="16"/>
      <c r="D57" s="15">
        <f>SUM(D58:D62)</f>
        <v>1440.6</v>
      </c>
      <c r="E57" s="14">
        <f>SUMPRODUCT(D58:D62,E58:E62)/SUM(D58:D62)</f>
        <v>0.85000000000000009</v>
      </c>
      <c r="F57" s="32">
        <f>SUM(F58:F62)</f>
        <v>1224.51</v>
      </c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</row>
    <row r="58" spans="1:18" ht="12.75" customHeight="1" x14ac:dyDescent="0.25">
      <c r="A58" s="10"/>
      <c r="B58" s="34"/>
      <c r="C58" s="22" t="s">
        <v>46</v>
      </c>
      <c r="D58" s="12">
        <v>221.4</v>
      </c>
      <c r="E58" s="13">
        <v>0.85</v>
      </c>
      <c r="F58" s="35">
        <f>D58*E58</f>
        <v>188.19</v>
      </c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</row>
    <row r="59" spans="1:18" ht="13.5" customHeight="1" x14ac:dyDescent="0.3">
      <c r="A59" s="5"/>
      <c r="B59" s="34"/>
      <c r="C59" s="22" t="s">
        <v>47</v>
      </c>
      <c r="D59" s="12">
        <v>221.4</v>
      </c>
      <c r="E59" s="13">
        <v>0.85</v>
      </c>
      <c r="F59" s="35">
        <f>D59*E59</f>
        <v>188.19</v>
      </c>
      <c r="H59" s="74" t="s">
        <v>70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</row>
    <row r="60" spans="1:18" ht="12.75" customHeight="1" x14ac:dyDescent="0.25">
      <c r="A60" s="5"/>
      <c r="B60" s="34"/>
      <c r="C60" s="22" t="s">
        <v>50</v>
      </c>
      <c r="D60" s="12">
        <v>221.4</v>
      </c>
      <c r="E60" s="13">
        <v>0.85</v>
      </c>
      <c r="F60" s="35">
        <f>D60*E60</f>
        <v>188.19</v>
      </c>
      <c r="H60" s="79" t="s">
        <v>64</v>
      </c>
      <c r="I60" s="79"/>
      <c r="J60" s="79"/>
      <c r="K60" s="79"/>
      <c r="L60" s="79"/>
      <c r="M60" s="79"/>
      <c r="N60" s="79"/>
      <c r="O60" s="79"/>
      <c r="P60" s="79"/>
      <c r="Q60" s="79"/>
      <c r="R60" s="79"/>
    </row>
    <row r="61" spans="1:18" ht="12.75" customHeight="1" x14ac:dyDescent="0.25">
      <c r="A61" s="5"/>
      <c r="B61" s="34"/>
      <c r="C61" s="22" t="s">
        <v>51</v>
      </c>
      <c r="D61" s="12">
        <v>221.4</v>
      </c>
      <c r="E61" s="13">
        <v>0.85</v>
      </c>
      <c r="F61" s="35">
        <f>D61*E61</f>
        <v>188.19</v>
      </c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</row>
    <row r="62" spans="1:18" ht="12.75" customHeight="1" thickBot="1" x14ac:dyDescent="0.3">
      <c r="A62" s="5"/>
      <c r="B62" s="40"/>
      <c r="C62" s="41" t="s">
        <v>48</v>
      </c>
      <c r="D62" s="42">
        <v>555</v>
      </c>
      <c r="E62" s="43">
        <v>0.85</v>
      </c>
      <c r="F62" s="44">
        <f>D62*E62</f>
        <v>471.75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</row>
    <row r="63" spans="1:18" ht="12.75" customHeight="1" x14ac:dyDescent="0.3">
      <c r="A63" s="10"/>
      <c r="H63" s="74" t="s">
        <v>73</v>
      </c>
      <c r="I63" s="76"/>
      <c r="J63" s="76"/>
      <c r="K63" s="76"/>
      <c r="L63" s="76"/>
      <c r="M63" s="76"/>
      <c r="N63" s="76"/>
      <c r="O63" s="76"/>
      <c r="P63" s="76"/>
      <c r="Q63" s="76"/>
      <c r="R63" s="76"/>
    </row>
    <row r="64" spans="1:18" ht="12.75" customHeight="1" x14ac:dyDescent="0.25">
      <c r="A64" s="5"/>
      <c r="H64" s="79" t="s">
        <v>72</v>
      </c>
      <c r="I64" s="79"/>
      <c r="J64" s="79"/>
      <c r="K64" s="79"/>
      <c r="L64" s="79"/>
      <c r="M64" s="79"/>
      <c r="N64" s="79"/>
      <c r="O64" s="79"/>
      <c r="P64" s="79"/>
      <c r="Q64" s="79"/>
      <c r="R64" s="79"/>
    </row>
    <row r="65" spans="1:18" ht="12.75" customHeight="1" x14ac:dyDescent="0.25">
      <c r="A65" s="5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</row>
    <row r="66" spans="1:18" ht="12.75" customHeight="1" x14ac:dyDescent="0.25"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</row>
    <row r="67" spans="1:18" ht="12.75" customHeight="1" x14ac:dyDescent="0.25">
      <c r="A67" s="5"/>
      <c r="G67" s="6"/>
    </row>
    <row r="68" spans="1:18" ht="12.75" customHeight="1" x14ac:dyDescent="0.25">
      <c r="A68" s="5"/>
    </row>
    <row r="69" spans="1:18" ht="12.75" customHeight="1" x14ac:dyDescent="0.25"/>
    <row r="70" spans="1:18" x14ac:dyDescent="0.25">
      <c r="G70" s="6"/>
    </row>
    <row r="71" spans="1:18" x14ac:dyDescent="0.25">
      <c r="G71" s="6"/>
    </row>
    <row r="87" spans="7:7" x14ac:dyDescent="0.25">
      <c r="G87" s="6"/>
    </row>
  </sheetData>
  <mergeCells count="7">
    <mergeCell ref="H64:R66"/>
    <mergeCell ref="D6:F6"/>
    <mergeCell ref="J6:L6"/>
    <mergeCell ref="P6:R6"/>
    <mergeCell ref="H50:R53"/>
    <mergeCell ref="H55:R58"/>
    <mergeCell ref="H60:R62"/>
  </mergeCells>
  <phoneticPr fontId="1" type="noConversion"/>
  <pageMargins left="0.75" right="0.75" top="1" bottom="1" header="0.5" footer="0.5"/>
  <pageSetup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Nameplate Capacity</vt:lpstr>
      <vt:lpstr>Nameplate Rating</vt:lpstr>
      <vt:lpstr>'Nameplate Capacity'!gen_nameplate</vt:lpstr>
      <vt:lpstr>'Nameplate Capacity'!name_plate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2016-04-08T15:40:43Z</dcterms:created>
  <dcterms:modified xsi:type="dcterms:W3CDTF">2016-04-08T17:50:41Z</dcterms:modified>
</cp:coreProperties>
</file>