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9416" windowHeight="11016"/>
  </bookViews>
  <sheets>
    <sheet name="Historical CILC-CDR Equip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P">'[1]1'!#REF!</definedName>
    <definedName name="_Key1" hidden="1">[2]Index!#REF!</definedName>
    <definedName name="AL">#REF!</definedName>
    <definedName name="ANSWERS">'[3]DataValidation-DO NOT ALTER'!$A$1:$A$3</definedName>
    <definedName name="CurrentRow">#REF!</definedName>
    <definedName name="EmergorNon">'[4]Data Validation-DO NOT EDIT'!$C$3:$C$5</definedName>
    <definedName name="FUEL">'[3]DataValidation-DO NOT ALTER'!$B$1:$B$2</definedName>
    <definedName name="IMPACT">'[3]DataValidation-DO NOT ALTER'!$D$1:$D$3</definedName>
    <definedName name="_xlnm.Print_Area" localSheetId="0">'Historical CILC-CDR Equip'!$A$4:$O$105</definedName>
    <definedName name="STATUS">'[3]DataValidation-DO NOT ALTER'!$C$1:$C$2</definedName>
    <definedName name="Status1">'[5]DataValidation-DO NOT ALTER'!$C$1:$C$2</definedName>
    <definedName name="TypeofBusiness">'[4]Data Validation-DO NOT EDIT'!$B$3:$B$36</definedName>
    <definedName name="YesNo">'[4]Data Validation-DO NOT EDIT'!$A$3:$A$5</definedName>
  </definedNames>
  <calcPr calcId="145621"/>
</workbook>
</file>

<file path=xl/calcChain.xml><?xml version="1.0" encoding="utf-8"?>
<calcChain xmlns="http://schemas.openxmlformats.org/spreadsheetml/2006/main">
  <c r="E92" i="1" l="1"/>
  <c r="E88" i="1"/>
  <c r="N77" i="1"/>
  <c r="M77" i="1"/>
  <c r="H77" i="1"/>
  <c r="N76" i="1"/>
  <c r="M76" i="1"/>
  <c r="I76" i="1"/>
  <c r="H76" i="1"/>
  <c r="N75" i="1"/>
  <c r="M75" i="1"/>
  <c r="K75" i="1"/>
  <c r="I75" i="1"/>
  <c r="I83" i="1" s="1"/>
  <c r="H75" i="1"/>
  <c r="G75" i="1"/>
  <c r="O74" i="1"/>
  <c r="N73" i="1"/>
  <c r="M73" i="1"/>
  <c r="I73" i="1"/>
  <c r="N72" i="1"/>
  <c r="N83" i="1" s="1"/>
  <c r="M72" i="1"/>
  <c r="M83" i="1" s="1"/>
  <c r="J72" i="1"/>
  <c r="L72" i="1" s="1"/>
  <c r="J69" i="1"/>
  <c r="O69" i="1" s="1"/>
  <c r="G68" i="1"/>
  <c r="G77" i="1" s="1"/>
  <c r="J67" i="1"/>
  <c r="O67" i="1" s="1"/>
  <c r="J66" i="1"/>
  <c r="O66" i="1" s="1"/>
  <c r="J65" i="1"/>
  <c r="O65" i="1" s="1"/>
  <c r="J64" i="1"/>
  <c r="O64" i="1" s="1"/>
  <c r="J63" i="1"/>
  <c r="O63" i="1" s="1"/>
  <c r="J62" i="1"/>
  <c r="O62" i="1" s="1"/>
  <c r="G61" i="1"/>
  <c r="J61" i="1" s="1"/>
  <c r="O61" i="1" s="1"/>
  <c r="O60" i="1"/>
  <c r="J60" i="1"/>
  <c r="O59" i="1"/>
  <c r="J59" i="1"/>
  <c r="J58" i="1"/>
  <c r="O58" i="1" s="1"/>
  <c r="J57" i="1"/>
  <c r="O57" i="1" s="1"/>
  <c r="O56" i="1"/>
  <c r="J56" i="1"/>
  <c r="O55" i="1"/>
  <c r="J55" i="1"/>
  <c r="J54" i="1"/>
  <c r="O54" i="1" s="1"/>
  <c r="K53" i="1"/>
  <c r="J53" i="1"/>
  <c r="O53" i="1" s="1"/>
  <c r="O52" i="1"/>
  <c r="H52" i="1"/>
  <c r="H51" i="1"/>
  <c r="H50" i="1"/>
  <c r="H49" i="1"/>
  <c r="H48" i="1"/>
  <c r="J48" i="1" s="1"/>
  <c r="J47" i="1"/>
  <c r="H47" i="1"/>
  <c r="J46" i="1"/>
  <c r="H46" i="1"/>
  <c r="H45" i="1"/>
  <c r="J45" i="1" s="1"/>
  <c r="H44" i="1"/>
  <c r="J44" i="1" s="1"/>
  <c r="J43" i="1"/>
  <c r="H43" i="1"/>
  <c r="J42" i="1"/>
  <c r="H42" i="1"/>
  <c r="J41" i="1"/>
  <c r="J40" i="1"/>
  <c r="J39" i="1"/>
  <c r="J38" i="1"/>
  <c r="O38" i="1" s="1"/>
  <c r="H38" i="1"/>
  <c r="J37" i="1"/>
  <c r="J36" i="1"/>
  <c r="J35" i="1"/>
  <c r="H34" i="1"/>
  <c r="J34" i="1" s="1"/>
  <c r="J33" i="1"/>
  <c r="O34" i="1" s="1"/>
  <c r="J32" i="1"/>
  <c r="J31" i="1"/>
  <c r="H30" i="1"/>
  <c r="J30" i="1" s="1"/>
  <c r="J29" i="1"/>
  <c r="O30" i="1" s="1"/>
  <c r="J28" i="1"/>
  <c r="H27" i="1"/>
  <c r="J27" i="1" s="1"/>
  <c r="O27" i="1" s="1"/>
  <c r="J26" i="1"/>
  <c r="J25" i="1"/>
  <c r="J24" i="1"/>
  <c r="J23" i="1"/>
  <c r="J22" i="1"/>
  <c r="O22" i="1" s="1"/>
  <c r="J21" i="1"/>
  <c r="J20" i="1"/>
  <c r="J19" i="1"/>
  <c r="J18" i="1"/>
  <c r="G17" i="1"/>
  <c r="J17" i="1" s="1"/>
  <c r="O17" i="1" s="1"/>
  <c r="O16" i="1"/>
  <c r="K16" i="1"/>
  <c r="J16" i="1"/>
  <c r="O15" i="1"/>
  <c r="O14" i="1"/>
  <c r="O13" i="1"/>
  <c r="H13" i="1"/>
  <c r="H72" i="1" s="1"/>
  <c r="H10" i="1"/>
  <c r="O72" i="1" l="1"/>
  <c r="K76" i="1"/>
  <c r="G73" i="1"/>
  <c r="K73" i="1" s="1"/>
  <c r="K83" i="1" s="1"/>
  <c r="H73" i="1"/>
  <c r="H83" i="1" s="1"/>
  <c r="J75" i="1"/>
  <c r="J68" i="1"/>
  <c r="O68" i="1" s="1"/>
  <c r="J73" i="1"/>
  <c r="G76" i="1"/>
  <c r="J76" i="1"/>
  <c r="J77" i="1"/>
  <c r="L77" i="1" l="1"/>
  <c r="O77" i="1"/>
  <c r="L73" i="1"/>
  <c r="J83" i="1"/>
  <c r="O73" i="1"/>
  <c r="L75" i="1"/>
  <c r="O75" i="1" s="1"/>
  <c r="L76" i="1"/>
  <c r="O76" i="1" s="1"/>
  <c r="O83" i="1" l="1"/>
  <c r="L83" i="1"/>
</calcChain>
</file>

<file path=xl/sharedStrings.xml><?xml version="1.0" encoding="utf-8"?>
<sst xmlns="http://schemas.openxmlformats.org/spreadsheetml/2006/main" count="158" uniqueCount="76">
  <si>
    <t>Field Equipment Used On CILC and CDR Programs</t>
  </si>
  <si>
    <t>Costs Per Unit</t>
  </si>
  <si>
    <t>Item</t>
  </si>
  <si>
    <t>Date</t>
  </si>
  <si>
    <t>M&amp;S 
Number</t>
  </si>
  <si>
    <t>Plant 
Acct.</t>
  </si>
  <si>
    <t># of 
Units</t>
  </si>
  <si>
    <t>Total Cost 
(Excl. engr 
&amp; devel)</t>
  </si>
  <si>
    <t xml:space="preserve">Total 
Engr &amp; 
Develop-
ment 
Costs </t>
  </si>
  <si>
    <t>Cost 
(Excl. engr 
&amp; devel)</t>
  </si>
  <si>
    <t xml:space="preserve">Engr &amp; 
Development 
Costs </t>
  </si>
  <si>
    <t xml:space="preserve">Florida 
Sales 
Tax </t>
  </si>
  <si>
    <t>Shipping 
&amp; 
Handling</t>
  </si>
  <si>
    <t>Installation 
Cost</t>
  </si>
  <si>
    <t>Total 
Cost</t>
  </si>
  <si>
    <t>PRIMARY ONLY-</t>
  </si>
  <si>
    <t>Primary Aerial Switch (see note)</t>
  </si>
  <si>
    <t>270-274-505</t>
  </si>
  <si>
    <t xml:space="preserve">TRANSMISSION &amp; DISTRIBUTION (TRANSACTIONS) - </t>
  </si>
  <si>
    <t>CILC Load Control Junction Box (LCJB) &amp; installation</t>
  </si>
  <si>
    <t>420-07000-7</t>
  </si>
  <si>
    <t xml:space="preserve">CABINET, W/3 POLE TEST SWITCH, FP:51    </t>
  </si>
  <si>
    <t>Per BOM</t>
  </si>
  <si>
    <t xml:space="preserve">CABINET, METER, UTB      </t>
  </si>
  <si>
    <t xml:space="preserve">420-00098-0    </t>
  </si>
  <si>
    <t>Base</t>
  </si>
  <si>
    <t>CILC LCI-200 Load Control Device (mtrs) &amp; installation</t>
  </si>
  <si>
    <t>n/a</t>
  </si>
  <si>
    <t>LCI-200 Base Unit</t>
  </si>
  <si>
    <t>EXT</t>
  </si>
  <si>
    <t>LCI-200 Additional Contact Input</t>
  </si>
  <si>
    <t>Feet</t>
  </si>
  <si>
    <t>LCI-200 Mounting Feet</t>
  </si>
  <si>
    <t>PS-200</t>
  </si>
  <si>
    <t>Power Supply for LCI-200</t>
  </si>
  <si>
    <t>Modem Connector</t>
  </si>
  <si>
    <t>PCBoard</t>
  </si>
  <si>
    <t>LCI-200-PCB (PC Board Assembly)</t>
  </si>
  <si>
    <t>ProgramChip</t>
  </si>
  <si>
    <t>LCI-200-CHIP (Program Chip for LCI-200)</t>
  </si>
  <si>
    <t>CILC AirLink Modem for LCI-200 (communications)</t>
  </si>
  <si>
    <t>Old</t>
  </si>
  <si>
    <t>CILC MA-200 Adapter Board for EDGE Modem</t>
  </si>
  <si>
    <t>MA-200</t>
  </si>
  <si>
    <t>Modem Adapter for LCI-200</t>
  </si>
  <si>
    <t>CILC EDGE Modem for MA-200 (communications)</t>
  </si>
  <si>
    <t>New</t>
  </si>
  <si>
    <t>Wireless GPRS Modem</t>
  </si>
  <si>
    <t>CILC Technicom Monitor. LCM-100</t>
  </si>
  <si>
    <t>LCM-100 Load Control Monitor &amp; Cable</t>
  </si>
  <si>
    <t>LCM-100</t>
  </si>
  <si>
    <t xml:space="preserve">TRANSMISSION &amp; DISTRIBUTION (AVERAGE) - </t>
  </si>
  <si>
    <t>LCI-200 Load Control Device (mtrs) &amp; installation</t>
  </si>
  <si>
    <t>No Longer Used</t>
  </si>
  <si>
    <t>Total Transmission &amp; Distribution</t>
  </si>
  <si>
    <t>CILC Primary Switches</t>
  </si>
  <si>
    <t>Total CILC Customers</t>
  </si>
  <si>
    <t>% with switches</t>
  </si>
  <si>
    <t>CDR Primary Switches</t>
  </si>
  <si>
    <t>Total CDR Customers</t>
  </si>
  <si>
    <t>Note:</t>
  </si>
  <si>
    <t>(1)  Used where applicable on large primary metered locations.</t>
  </si>
  <si>
    <t>(2)  CDR goal reduction goal increased for 2006, 2007, 2008 years increasing # of sign ups to CDR.</t>
  </si>
  <si>
    <t>(3)  For above items # 2,3,5,6, and 7 we anticipate 100 of each to be purchased in 2006</t>
  </si>
  <si>
    <t>Sources:</t>
  </si>
  <si>
    <t>Technicom Inc's proposal for LCI-200, dated 7/6/01.</t>
  </si>
  <si>
    <t>Technicom Inc's proposal for MA-200, dated 7/20/04.</t>
  </si>
  <si>
    <t xml:space="preserve">PO # 4500015331 to Technicom Inc., dated 10/5/00. </t>
  </si>
  <si>
    <t>Airlink's invoice dated 7/31/01.</t>
  </si>
  <si>
    <t>Est # of CILC &amp; CDR Cust's as of 1/31/06.</t>
  </si>
  <si>
    <t>December 2007 invoices and estimated purchases per Ernie Placensia for recent transactions</t>
  </si>
  <si>
    <t>2008, 2009, 2010 &amp; 2011 invoices per Ernie Placensia</t>
  </si>
  <si>
    <t>No additional costs were added during 2013 - per Dan Haywood.</t>
  </si>
  <si>
    <t>??</t>
  </si>
  <si>
    <t>OPC 013365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</si>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</sst>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8"/>
      <name val="Courier New"/>
      <family val="3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color rgb="FFFF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95">
    <xf numFmtId="0" fontId="0" fillId="0" borderId="0"/>
    <xf numFmtId="43" fontId="4" fillId="0" borderId="0" applyFont="0" applyFill="0" applyBorder="0" applyAlignment="0" applyProtection="0">
      <alignment vertical="top" wrapText="1"/>
      <protection locked="0"/>
    </xf>
    <xf numFmtId="44" fontId="4" fillId="0" borderId="0" applyFont="0" applyFill="0" applyBorder="0" applyAlignment="0" applyProtection="0">
      <alignment vertical="top" wrapText="1"/>
      <protection locked="0"/>
    </xf>
    <xf numFmtId="9" fontId="4" fillId="0" borderId="0" applyFont="0" applyFill="0" applyBorder="0" applyAlignment="0" applyProtection="0">
      <alignment vertical="top" wrapText="1"/>
      <protection locked="0"/>
    </xf>
    <xf numFmtId="0" fontId="2" fillId="0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26" borderId="0" applyNumberFormat="0" applyBorder="0" applyAlignment="0" applyProtection="0"/>
    <xf numFmtId="0" fontId="14" fillId="30" borderId="14" applyNumberFormat="0" applyAlignment="0" applyProtection="0"/>
    <xf numFmtId="0" fontId="15" fillId="23" borderId="1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1" fillId="19" borderId="0" applyNumberFormat="0" applyBorder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27" borderId="14" applyNumberFormat="0" applyAlignment="0" applyProtection="0"/>
    <xf numFmtId="0" fontId="21" fillId="0" borderId="19" applyNumberFormat="0" applyFill="0" applyAlignment="0" applyProtection="0"/>
    <xf numFmtId="0" fontId="21" fillId="27" borderId="0" applyNumberFormat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26" borderId="14" applyNumberFormat="0" applyFont="0" applyAlignment="0" applyProtection="0"/>
    <xf numFmtId="0" fontId="24" fillId="30" borderId="20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4" fontId="23" fillId="34" borderId="14" applyNumberFormat="0" applyProtection="0">
      <alignment vertical="center"/>
    </xf>
    <xf numFmtId="4" fontId="25" fillId="4" borderId="14" applyNumberFormat="0" applyProtection="0">
      <alignment vertical="center"/>
    </xf>
    <xf numFmtId="4" fontId="23" fillId="4" borderId="14" applyNumberFormat="0" applyProtection="0">
      <alignment horizontal="left" vertical="center" indent="1"/>
    </xf>
    <xf numFmtId="0" fontId="26" fillId="34" borderId="21" applyNumberFormat="0" applyProtection="0">
      <alignment horizontal="left" vertical="top" indent="1"/>
    </xf>
    <xf numFmtId="4" fontId="23" fillId="35" borderId="14" applyNumberFormat="0" applyProtection="0">
      <alignment horizontal="left" vertical="center" indent="1"/>
    </xf>
    <xf numFmtId="4" fontId="23" fillId="36" borderId="14" applyNumberFormat="0" applyProtection="0">
      <alignment horizontal="right" vertical="center"/>
    </xf>
    <xf numFmtId="4" fontId="23" fillId="37" borderId="14" applyNumberFormat="0" applyProtection="0">
      <alignment horizontal="right" vertical="center"/>
    </xf>
    <xf numFmtId="4" fontId="23" fillId="38" borderId="22" applyNumberFormat="0" applyProtection="0">
      <alignment horizontal="right" vertical="center"/>
    </xf>
    <xf numFmtId="4" fontId="23" fillId="39" borderId="14" applyNumberFormat="0" applyProtection="0">
      <alignment horizontal="right" vertical="center"/>
    </xf>
    <xf numFmtId="4" fontId="23" fillId="40" borderId="14" applyNumberFormat="0" applyProtection="0">
      <alignment horizontal="right" vertical="center"/>
    </xf>
    <xf numFmtId="4" fontId="23" fillId="41" borderId="14" applyNumberFormat="0" applyProtection="0">
      <alignment horizontal="right" vertical="center"/>
    </xf>
    <xf numFmtId="4" fontId="23" fillId="42" borderId="14" applyNumberFormat="0" applyProtection="0">
      <alignment horizontal="right" vertical="center"/>
    </xf>
    <xf numFmtId="4" fontId="23" fillId="43" borderId="14" applyNumberFormat="0" applyProtection="0">
      <alignment horizontal="right" vertical="center"/>
    </xf>
    <xf numFmtId="4" fontId="23" fillId="44" borderId="14" applyNumberFormat="0" applyProtection="0">
      <alignment horizontal="right" vertical="center"/>
    </xf>
    <xf numFmtId="4" fontId="23" fillId="45" borderId="22" applyNumberFormat="0" applyProtection="0">
      <alignment horizontal="left" vertical="center" indent="1"/>
    </xf>
    <xf numFmtId="4" fontId="2" fillId="46" borderId="22" applyNumberFormat="0" applyProtection="0">
      <alignment horizontal="left" vertical="center" indent="1"/>
    </xf>
    <xf numFmtId="4" fontId="2" fillId="46" borderId="22" applyNumberFormat="0" applyProtection="0">
      <alignment horizontal="left" vertical="center" indent="1"/>
    </xf>
    <xf numFmtId="4" fontId="23" fillId="47" borderId="14" applyNumberFormat="0" applyProtection="0">
      <alignment horizontal="right" vertical="center"/>
    </xf>
    <xf numFmtId="4" fontId="23" fillId="48" borderId="22" applyNumberFormat="0" applyProtection="0">
      <alignment horizontal="left" vertical="center" indent="1"/>
    </xf>
    <xf numFmtId="4" fontId="23" fillId="47" borderId="22" applyNumberFormat="0" applyProtection="0">
      <alignment horizontal="left" vertical="center" indent="1"/>
    </xf>
    <xf numFmtId="0" fontId="23" fillId="49" borderId="14" applyNumberFormat="0" applyProtection="0">
      <alignment horizontal="left" vertical="center" indent="1"/>
    </xf>
    <xf numFmtId="0" fontId="23" fillId="46" borderId="21" applyNumberFormat="0" applyProtection="0">
      <alignment horizontal="left" vertical="top" indent="1"/>
    </xf>
    <xf numFmtId="0" fontId="23" fillId="50" borderId="14" applyNumberFormat="0" applyProtection="0">
      <alignment horizontal="left" vertical="center" indent="1"/>
    </xf>
    <xf numFmtId="0" fontId="23" fillId="47" borderId="21" applyNumberFormat="0" applyProtection="0">
      <alignment horizontal="left" vertical="top" indent="1"/>
    </xf>
    <xf numFmtId="0" fontId="23" fillId="51" borderId="14" applyNumberFormat="0" applyProtection="0">
      <alignment horizontal="left" vertical="center" indent="1"/>
    </xf>
    <xf numFmtId="0" fontId="23" fillId="51" borderId="21" applyNumberFormat="0" applyProtection="0">
      <alignment horizontal="left" vertical="top" indent="1"/>
    </xf>
    <xf numFmtId="0" fontId="23" fillId="48" borderId="14" applyNumberFormat="0" applyProtection="0">
      <alignment horizontal="left" vertical="center" indent="1"/>
    </xf>
    <xf numFmtId="0" fontId="23" fillId="48" borderId="21" applyNumberFormat="0" applyProtection="0">
      <alignment horizontal="left" vertical="top" indent="1"/>
    </xf>
    <xf numFmtId="0" fontId="23" fillId="52" borderId="23" applyNumberFormat="0">
      <protection locked="0"/>
    </xf>
    <xf numFmtId="0" fontId="27" fillId="46" borderId="24" applyBorder="0"/>
    <xf numFmtId="4" fontId="28" fillId="53" borderId="21" applyNumberFormat="0" applyProtection="0">
      <alignment vertical="center"/>
    </xf>
    <xf numFmtId="4" fontId="25" fillId="54" borderId="25" applyNumberFormat="0" applyProtection="0">
      <alignment vertical="center"/>
    </xf>
    <xf numFmtId="4" fontId="28" fillId="49" borderId="21" applyNumberFormat="0" applyProtection="0">
      <alignment horizontal="left" vertical="center" indent="1"/>
    </xf>
    <xf numFmtId="0" fontId="28" fillId="53" borderId="21" applyNumberFormat="0" applyProtection="0">
      <alignment horizontal="left" vertical="top" indent="1"/>
    </xf>
    <xf numFmtId="4" fontId="23" fillId="5" borderId="14" applyNumberFormat="0" applyProtection="0">
      <alignment horizontal="right" vertical="center"/>
    </xf>
    <xf numFmtId="4" fontId="25" fillId="5" borderId="14" applyNumberFormat="0" applyProtection="0">
      <alignment horizontal="right" vertical="center"/>
    </xf>
    <xf numFmtId="4" fontId="23" fillId="35" borderId="14" applyNumberFormat="0" applyProtection="0">
      <alignment horizontal="left" vertical="center" indent="1"/>
    </xf>
    <xf numFmtId="0" fontId="28" fillId="47" borderId="21" applyNumberFormat="0" applyProtection="0">
      <alignment horizontal="left" vertical="top" indent="1"/>
    </xf>
    <xf numFmtId="4" fontId="29" fillId="55" borderId="22" applyNumberFormat="0" applyProtection="0">
      <alignment horizontal="left" vertical="center" indent="1"/>
    </xf>
    <xf numFmtId="0" fontId="23" fillId="56" borderId="25"/>
    <xf numFmtId="4" fontId="30" fillId="52" borderId="14" applyNumberFormat="0" applyProtection="0">
      <alignment horizontal="right" vertical="center"/>
    </xf>
    <xf numFmtId="0" fontId="31" fillId="0" borderId="0" applyNumberFormat="0" applyFill="0" applyBorder="0" applyAlignment="0" applyProtection="0"/>
    <xf numFmtId="165" fontId="2" fillId="0" borderId="0">
      <alignment horizontal="left" wrapText="1"/>
    </xf>
    <xf numFmtId="0" fontId="16" fillId="0" borderId="26" applyNumberFormat="0" applyFill="0" applyAlignment="0" applyProtection="0"/>
    <xf numFmtId="0" fontId="32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4"/>
    <xf numFmtId="0" fontId="3" fillId="0" borderId="0" xfId="4" applyFont="1"/>
    <xf numFmtId="0" fontId="2" fillId="0" borderId="0" xfId="4" applyAlignment="1">
      <alignment horizontal="center"/>
    </xf>
    <xf numFmtId="164" fontId="2" fillId="0" borderId="0" xfId="4" applyNumberFormat="1" applyAlignment="1">
      <alignment horizontal="center"/>
    </xf>
    <xf numFmtId="44" fontId="2" fillId="0" borderId="0" xfId="2" applyFont="1" applyAlignment="1" applyProtection="1"/>
    <xf numFmtId="0" fontId="5" fillId="0" borderId="0" xfId="4" applyFont="1"/>
    <xf numFmtId="0" fontId="2" fillId="2" borderId="1" xfId="4" applyFill="1" applyBorder="1"/>
    <xf numFmtId="0" fontId="2" fillId="2" borderId="2" xfId="4" applyFill="1" applyBorder="1"/>
    <xf numFmtId="0" fontId="5" fillId="2" borderId="2" xfId="4" applyFont="1" applyFill="1" applyBorder="1"/>
    <xf numFmtId="0" fontId="2" fillId="2" borderId="2" xfId="4" applyFill="1" applyBorder="1" applyAlignment="1">
      <alignment horizontal="center"/>
    </xf>
    <xf numFmtId="164" fontId="2" fillId="2" borderId="3" xfId="4" applyNumberFormat="1" applyFill="1" applyBorder="1" applyAlignment="1">
      <alignment horizontal="center"/>
    </xf>
    <xf numFmtId="0" fontId="6" fillId="3" borderId="1" xfId="4" applyFont="1" applyFill="1" applyBorder="1" applyAlignment="1"/>
    <xf numFmtId="0" fontId="6" fillId="3" borderId="2" xfId="4" applyFont="1" applyFill="1" applyBorder="1" applyAlignment="1"/>
    <xf numFmtId="0" fontId="6" fillId="3" borderId="3" xfId="4" applyFont="1" applyFill="1" applyBorder="1" applyAlignment="1"/>
    <xf numFmtId="0" fontId="2" fillId="2" borderId="6" xfId="4" applyFill="1" applyBorder="1"/>
    <xf numFmtId="0" fontId="2" fillId="2" borderId="7" xfId="4" applyFill="1" applyBorder="1"/>
    <xf numFmtId="0" fontId="6" fillId="2" borderId="7" xfId="4" applyFont="1" applyFill="1" applyBorder="1" applyAlignment="1">
      <alignment horizontal="center"/>
    </xf>
    <xf numFmtId="0" fontId="6" fillId="2" borderId="7" xfId="4" applyFont="1" applyFill="1" applyBorder="1"/>
    <xf numFmtId="0" fontId="6" fillId="2" borderId="7" xfId="4" applyFont="1" applyFill="1" applyBorder="1" applyAlignment="1">
      <alignment horizontal="center" wrapText="1"/>
    </xf>
    <xf numFmtId="164" fontId="6" fillId="2" borderId="8" xfId="4" applyNumberFormat="1" applyFont="1" applyFill="1" applyBorder="1" applyAlignment="1">
      <alignment horizontal="center" wrapText="1"/>
    </xf>
    <xf numFmtId="0" fontId="6" fillId="3" borderId="6" xfId="4" applyFont="1" applyFill="1" applyBorder="1" applyAlignment="1">
      <alignment horizontal="center" wrapText="1"/>
    </xf>
    <xf numFmtId="0" fontId="6" fillId="3" borderId="7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center" wrapText="1"/>
    </xf>
    <xf numFmtId="0" fontId="6" fillId="5" borderId="4" xfId="4" applyFont="1" applyFill="1" applyBorder="1" applyAlignment="1">
      <alignment horizontal="center" wrapText="1"/>
    </xf>
    <xf numFmtId="0" fontId="6" fillId="5" borderId="5" xfId="4" applyFont="1" applyFill="1" applyBorder="1" applyAlignment="1">
      <alignment horizontal="center" wrapText="1"/>
    </xf>
    <xf numFmtId="0" fontId="2" fillId="0" borderId="9" xfId="4" applyBorder="1"/>
    <xf numFmtId="0" fontId="2" fillId="0" borderId="0" xfId="4" applyBorder="1"/>
    <xf numFmtId="0" fontId="6" fillId="0" borderId="0" xfId="4" applyFont="1" applyBorder="1" applyAlignment="1">
      <alignment horizontal="center"/>
    </xf>
    <xf numFmtId="0" fontId="6" fillId="0" borderId="0" xfId="4" applyFont="1" applyBorder="1"/>
    <xf numFmtId="164" fontId="6" fillId="0" borderId="10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 wrapText="1"/>
    </xf>
    <xf numFmtId="0" fontId="6" fillId="0" borderId="2" xfId="4" applyFont="1" applyBorder="1" applyAlignment="1">
      <alignment horizontal="center" wrapText="1"/>
    </xf>
    <xf numFmtId="0" fontId="2" fillId="0" borderId="2" xfId="4" applyBorder="1" applyAlignment="1">
      <alignment wrapText="1"/>
    </xf>
    <xf numFmtId="44" fontId="2" fillId="0" borderId="2" xfId="2" applyFont="1" applyBorder="1" applyAlignment="1" applyProtection="1">
      <alignment wrapText="1"/>
    </xf>
    <xf numFmtId="0" fontId="2" fillId="0" borderId="3" xfId="4" applyBorder="1" applyAlignment="1">
      <alignment wrapText="1"/>
    </xf>
    <xf numFmtId="0" fontId="7" fillId="0" borderId="9" xfId="4" applyFont="1" applyBorder="1"/>
    <xf numFmtId="0" fontId="7" fillId="0" borderId="0" xfId="4" applyFont="1" applyBorder="1"/>
    <xf numFmtId="0" fontId="6" fillId="0" borderId="9" xfId="4" applyFont="1" applyBorder="1" applyAlignment="1">
      <alignment horizontal="center" wrapText="1"/>
    </xf>
    <xf numFmtId="0" fontId="6" fillId="0" borderId="0" xfId="4" applyFont="1" applyBorder="1" applyAlignment="1">
      <alignment horizontal="center" wrapText="1"/>
    </xf>
    <xf numFmtId="0" fontId="2" fillId="0" borderId="0" xfId="4" applyBorder="1" applyAlignment="1">
      <alignment wrapText="1"/>
    </xf>
    <xf numFmtId="44" fontId="2" fillId="0" borderId="0" xfId="2" applyFont="1" applyBorder="1" applyAlignment="1" applyProtection="1">
      <alignment wrapText="1"/>
    </xf>
    <xf numFmtId="0" fontId="2" fillId="0" borderId="10" xfId="4" applyBorder="1" applyAlignment="1">
      <alignment wrapText="1"/>
    </xf>
    <xf numFmtId="0" fontId="2" fillId="0" borderId="0" xfId="4" applyFont="1" applyBorder="1"/>
    <xf numFmtId="0" fontId="2" fillId="0" borderId="0" xfId="4" applyBorder="1" applyAlignment="1">
      <alignment horizontal="center"/>
    </xf>
    <xf numFmtId="164" fontId="2" fillId="0" borderId="10" xfId="4" applyNumberFormat="1" applyBorder="1" applyAlignment="1">
      <alignment horizontal="center"/>
    </xf>
    <xf numFmtId="43" fontId="2" fillId="0" borderId="0" xfId="1" applyFont="1" applyBorder="1" applyAlignment="1" applyProtection="1"/>
    <xf numFmtId="43" fontId="2" fillId="0" borderId="10" xfId="1" applyFont="1" applyBorder="1" applyAlignment="1" applyProtection="1"/>
    <xf numFmtId="43" fontId="6" fillId="0" borderId="0" xfId="1" applyFont="1" applyBorder="1" applyAlignment="1" applyProtection="1">
      <alignment horizontal="center" wrapText="1"/>
    </xf>
    <xf numFmtId="43" fontId="2" fillId="0" borderId="0" xfId="1" applyFont="1" applyBorder="1" applyAlignment="1" applyProtection="1">
      <alignment wrapText="1"/>
    </xf>
    <xf numFmtId="43" fontId="2" fillId="0" borderId="10" xfId="1" applyFont="1" applyBorder="1" applyAlignment="1" applyProtection="1">
      <alignment wrapText="1"/>
    </xf>
    <xf numFmtId="0" fontId="2" fillId="6" borderId="9" xfId="4" applyFill="1" applyBorder="1"/>
    <xf numFmtId="0" fontId="2" fillId="6" borderId="0" xfId="4" applyFill="1" applyBorder="1"/>
    <xf numFmtId="0" fontId="2" fillId="6" borderId="0" xfId="4" applyFill="1" applyBorder="1" applyAlignment="1"/>
    <xf numFmtId="164" fontId="2" fillId="6" borderId="10" xfId="4" applyNumberFormat="1" applyFill="1" applyBorder="1" applyAlignment="1">
      <alignment horizontal="center"/>
    </xf>
    <xf numFmtId="43" fontId="2" fillId="6" borderId="0" xfId="1" applyFont="1" applyFill="1" applyBorder="1" applyAlignment="1" applyProtection="1"/>
    <xf numFmtId="43" fontId="2" fillId="6" borderId="10" xfId="1" applyFont="1" applyFill="1" applyBorder="1" applyAlignment="1" applyProtection="1"/>
    <xf numFmtId="0" fontId="2" fillId="6" borderId="0" xfId="4" applyFont="1" applyFill="1" applyBorder="1"/>
    <xf numFmtId="0" fontId="2" fillId="6" borderId="0" xfId="4" applyFont="1" applyFill="1" applyBorder="1" applyAlignment="1">
      <alignment horizontal="center"/>
    </xf>
    <xf numFmtId="0" fontId="2" fillId="6" borderId="0" xfId="4" applyFont="1" applyFill="1" applyBorder="1" applyAlignment="1"/>
    <xf numFmtId="0" fontId="2" fillId="7" borderId="9" xfId="4" applyFill="1" applyBorder="1"/>
    <xf numFmtId="0" fontId="2" fillId="7" borderId="0" xfId="4" applyFont="1" applyFill="1" applyBorder="1"/>
    <xf numFmtId="0" fontId="2" fillId="7" borderId="0" xfId="4" applyFill="1" applyBorder="1"/>
    <xf numFmtId="0" fontId="2" fillId="7" borderId="0" xfId="4" applyFill="1" applyBorder="1" applyAlignment="1">
      <alignment horizontal="center"/>
    </xf>
    <xf numFmtId="164" fontId="2" fillId="7" borderId="10" xfId="4" applyNumberFormat="1" applyFill="1" applyBorder="1" applyAlignment="1">
      <alignment horizontal="center"/>
    </xf>
    <xf numFmtId="43" fontId="2" fillId="7" borderId="0" xfId="1" applyFont="1" applyFill="1" applyBorder="1" applyAlignment="1" applyProtection="1"/>
    <xf numFmtId="43" fontId="2" fillId="7" borderId="10" xfId="1" applyFont="1" applyFill="1" applyBorder="1" applyAlignment="1" applyProtection="1"/>
    <xf numFmtId="14" fontId="2" fillId="7" borderId="0" xfId="4" applyNumberFormat="1" applyFill="1" applyBorder="1"/>
    <xf numFmtId="0" fontId="2" fillId="7" borderId="9" xfId="4" applyFont="1" applyFill="1" applyBorder="1"/>
    <xf numFmtId="43" fontId="2" fillId="0" borderId="0" xfId="4" applyNumberFormat="1"/>
    <xf numFmtId="0" fontId="7" fillId="0" borderId="0" xfId="4" applyFont="1" applyFill="1" applyBorder="1" applyAlignment="1">
      <alignment horizontal="center"/>
    </xf>
    <xf numFmtId="0" fontId="2" fillId="4" borderId="9" xfId="4" applyFill="1" applyBorder="1"/>
    <xf numFmtId="0" fontId="2" fillId="4" borderId="0" xfId="4" applyFill="1" applyBorder="1"/>
    <xf numFmtId="0" fontId="2" fillId="4" borderId="0" xfId="4" applyFill="1" applyBorder="1" applyAlignment="1">
      <alignment horizontal="center"/>
    </xf>
    <xf numFmtId="164" fontId="2" fillId="4" borderId="10" xfId="4" applyNumberFormat="1" applyFill="1" applyBorder="1" applyAlignment="1">
      <alignment horizontal="center"/>
    </xf>
    <xf numFmtId="43" fontId="2" fillId="4" borderId="0" xfId="1" applyFont="1" applyFill="1" applyBorder="1" applyAlignment="1" applyProtection="1"/>
    <xf numFmtId="43" fontId="2" fillId="4" borderId="10" xfId="1" applyFont="1" applyFill="1" applyBorder="1" applyAlignment="1" applyProtection="1"/>
    <xf numFmtId="0" fontId="2" fillId="4" borderId="0" xfId="4" applyFont="1" applyFill="1" applyBorder="1"/>
    <xf numFmtId="14" fontId="2" fillId="4" borderId="0" xfId="4" applyNumberFormat="1" applyFill="1" applyBorder="1"/>
    <xf numFmtId="0" fontId="2" fillId="3" borderId="9" xfId="4" applyFill="1" applyBorder="1"/>
    <xf numFmtId="0" fontId="2" fillId="3" borderId="0" xfId="4" applyFill="1" applyBorder="1"/>
    <xf numFmtId="0" fontId="2" fillId="3" borderId="0" xfId="4" applyFont="1" applyFill="1" applyBorder="1" applyAlignment="1">
      <alignment horizontal="center"/>
    </xf>
    <xf numFmtId="164" fontId="2" fillId="3" borderId="10" xfId="4" applyNumberFormat="1" applyFill="1" applyBorder="1" applyAlignment="1">
      <alignment horizontal="center"/>
    </xf>
    <xf numFmtId="43" fontId="2" fillId="3" borderId="0" xfId="1" applyFont="1" applyFill="1" applyBorder="1" applyAlignment="1" applyProtection="1"/>
    <xf numFmtId="43" fontId="2" fillId="3" borderId="10" xfId="1" applyFont="1" applyFill="1" applyBorder="1" applyAlignment="1" applyProtection="1"/>
    <xf numFmtId="0" fontId="2" fillId="3" borderId="0" xfId="4" applyFont="1" applyFill="1" applyBorder="1"/>
    <xf numFmtId="0" fontId="2" fillId="3" borderId="0" xfId="4" applyFill="1" applyBorder="1" applyAlignment="1">
      <alignment horizontal="left"/>
    </xf>
    <xf numFmtId="14" fontId="2" fillId="3" borderId="0" xfId="4" applyNumberFormat="1" applyFill="1" applyBorder="1"/>
    <xf numFmtId="0" fontId="2" fillId="8" borderId="9" xfId="4" applyFill="1" applyBorder="1"/>
    <xf numFmtId="0" fontId="2" fillId="8" borderId="0" xfId="4" applyFont="1" applyFill="1" applyBorder="1"/>
    <xf numFmtId="0" fontId="2" fillId="8" borderId="0" xfId="4" applyFill="1" applyBorder="1"/>
    <xf numFmtId="0" fontId="2" fillId="8" borderId="0" xfId="4" applyFill="1" applyBorder="1" applyAlignment="1">
      <alignment horizontal="center"/>
    </xf>
    <xf numFmtId="164" fontId="2" fillId="8" borderId="10" xfId="4" applyNumberFormat="1" applyFill="1" applyBorder="1" applyAlignment="1">
      <alignment horizontal="center"/>
    </xf>
    <xf numFmtId="43" fontId="2" fillId="8" borderId="0" xfId="1" applyFont="1" applyFill="1" applyBorder="1" applyAlignment="1" applyProtection="1"/>
    <xf numFmtId="43" fontId="2" fillId="8" borderId="10" xfId="1" applyFont="1" applyFill="1" applyBorder="1" applyAlignment="1" applyProtection="1"/>
    <xf numFmtId="14" fontId="2" fillId="8" borderId="0" xfId="4" applyNumberFormat="1" applyFill="1" applyBorder="1"/>
    <xf numFmtId="6" fontId="2" fillId="0" borderId="0" xfId="4" applyNumberFormat="1" applyBorder="1"/>
    <xf numFmtId="8" fontId="2" fillId="0" borderId="0" xfId="4" applyNumberFormat="1" applyBorder="1"/>
    <xf numFmtId="8" fontId="2" fillId="0" borderId="10" xfId="4" applyNumberFormat="1" applyBorder="1"/>
    <xf numFmtId="0" fontId="2" fillId="0" borderId="0" xfId="4" applyFont="1" applyBorder="1" applyAlignment="1">
      <alignment horizontal="center"/>
    </xf>
    <xf numFmtId="0" fontId="2" fillId="0" borderId="10" xfId="4" applyBorder="1"/>
    <xf numFmtId="44" fontId="2" fillId="0" borderId="11" xfId="2" applyFont="1" applyBorder="1" applyAlignment="1" applyProtection="1"/>
    <xf numFmtId="44" fontId="2" fillId="9" borderId="11" xfId="2" applyFont="1" applyFill="1" applyBorder="1" applyAlignment="1" applyProtection="1"/>
    <xf numFmtId="44" fontId="2" fillId="0" borderId="12" xfId="2" applyFont="1" applyBorder="1" applyAlignment="1" applyProtection="1"/>
    <xf numFmtId="0" fontId="2" fillId="0" borderId="6" xfId="4" applyBorder="1"/>
    <xf numFmtId="0" fontId="2" fillId="0" borderId="7" xfId="4" applyBorder="1"/>
    <xf numFmtId="0" fontId="2" fillId="0" borderId="7" xfId="4" applyBorder="1" applyAlignment="1">
      <alignment horizontal="center"/>
    </xf>
    <xf numFmtId="164" fontId="2" fillId="0" borderId="8" xfId="4" applyNumberFormat="1" applyBorder="1" applyAlignment="1">
      <alignment horizontal="center"/>
    </xf>
    <xf numFmtId="44" fontId="2" fillId="0" borderId="7" xfId="2" applyFont="1" applyBorder="1" applyAlignment="1" applyProtection="1"/>
    <xf numFmtId="0" fontId="2" fillId="0" borderId="8" xfId="4" applyBorder="1"/>
    <xf numFmtId="44" fontId="8" fillId="0" borderId="0" xfId="2" applyFont="1" applyAlignment="1" applyProtection="1"/>
    <xf numFmtId="0" fontId="2" fillId="0" borderId="0" xfId="4" applyFont="1"/>
    <xf numFmtId="9" fontId="2" fillId="0" borderId="0" xfId="3" applyFont="1" applyAlignment="1" applyProtection="1"/>
    <xf numFmtId="0" fontId="9" fillId="0" borderId="13" xfId="4" applyFont="1" applyBorder="1"/>
    <xf numFmtId="43" fontId="6" fillId="0" borderId="4" xfId="4" applyNumberFormat="1" applyFont="1" applyBorder="1"/>
    <xf numFmtId="0" fontId="6" fillId="0" borderId="4" xfId="4" applyFont="1" applyBorder="1"/>
    <xf numFmtId="44" fontId="6" fillId="0" borderId="4" xfId="2" applyFont="1" applyBorder="1" applyAlignment="1" applyProtection="1"/>
    <xf numFmtId="44" fontId="2" fillId="0" borderId="5" xfId="2" applyFont="1" applyBorder="1" applyAlignment="1" applyProtection="1"/>
    <xf numFmtId="0" fontId="10" fillId="0" borderId="0" xfId="4" applyFont="1"/>
    <xf numFmtId="8" fontId="8" fillId="0" borderId="0" xfId="4" applyNumberFormat="1" applyFont="1"/>
    <xf numFmtId="0" fontId="2" fillId="57" borderId="0" xfId="4" applyFont="1" applyFill="1"/>
    <xf numFmtId="0" fontId="2" fillId="57" borderId="0" xfId="4" applyFill="1"/>
    <xf numFmtId="164" fontId="33" fillId="0" borderId="0" xfId="4" applyNumberFormat="1" applyFont="1" applyAlignment="1">
      <alignment horizontal="center"/>
    </xf>
    <xf numFmtId="43" fontId="2" fillId="0" borderId="0" xfId="1" applyFont="1" applyFill="1" applyBorder="1" applyAlignment="1" applyProtection="1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0" borderId="0" xfId="4" applyFont="1"/>
  </cellXfs>
  <cellStyles count="195">
    <cellStyle name="Accent1 - 20%" xfId="5"/>
    <cellStyle name="Accent1 - 40%" xfId="6"/>
    <cellStyle name="Accent1 - 60%" xfId="7"/>
    <cellStyle name="Accent1 10" xfId="8"/>
    <cellStyle name="Accent1 11" xfId="9"/>
    <cellStyle name="Accent1 12" xfId="10"/>
    <cellStyle name="Accent1 13" xfId="11"/>
    <cellStyle name="Accent1 14" xfId="12"/>
    <cellStyle name="Accent1 15" xfId="13"/>
    <cellStyle name="Accent1 16" xfId="14"/>
    <cellStyle name="Accent1 17" xfId="15"/>
    <cellStyle name="Accent1 2" xfId="16"/>
    <cellStyle name="Accent1 3" xfId="17"/>
    <cellStyle name="Accent1 4" xfId="18"/>
    <cellStyle name="Accent1 5" xfId="19"/>
    <cellStyle name="Accent1 6" xfId="20"/>
    <cellStyle name="Accent1 7" xfId="21"/>
    <cellStyle name="Accent1 8" xfId="22"/>
    <cellStyle name="Accent1 9" xfId="23"/>
    <cellStyle name="Accent2 - 20%" xfId="24"/>
    <cellStyle name="Accent2 - 40%" xfId="25"/>
    <cellStyle name="Accent2 - 60%" xfId="26"/>
    <cellStyle name="Accent2 10" xfId="27"/>
    <cellStyle name="Accent2 11" xfId="28"/>
    <cellStyle name="Accent2 12" xfId="29"/>
    <cellStyle name="Accent2 13" xfId="30"/>
    <cellStyle name="Accent2 14" xfId="31"/>
    <cellStyle name="Accent2 15" xfId="32"/>
    <cellStyle name="Accent2 16" xfId="33"/>
    <cellStyle name="Accent2 17" xfId="34"/>
    <cellStyle name="Accent2 2" xfId="35"/>
    <cellStyle name="Accent2 3" xfId="36"/>
    <cellStyle name="Accent2 4" xfId="37"/>
    <cellStyle name="Accent2 5" xfId="38"/>
    <cellStyle name="Accent2 6" xfId="39"/>
    <cellStyle name="Accent2 7" xfId="40"/>
    <cellStyle name="Accent2 8" xfId="41"/>
    <cellStyle name="Accent2 9" xfId="42"/>
    <cellStyle name="Accent3 - 20%" xfId="43"/>
    <cellStyle name="Accent3 - 40%" xfId="44"/>
    <cellStyle name="Accent3 - 60%" xfId="45"/>
    <cellStyle name="Accent3 10" xfId="46"/>
    <cellStyle name="Accent3 11" xfId="47"/>
    <cellStyle name="Accent3 12" xfId="48"/>
    <cellStyle name="Accent3 13" xfId="49"/>
    <cellStyle name="Accent3 14" xfId="50"/>
    <cellStyle name="Accent3 15" xfId="51"/>
    <cellStyle name="Accent3 16" xfId="52"/>
    <cellStyle name="Accent3 17" xfId="53"/>
    <cellStyle name="Accent3 2" xfId="54"/>
    <cellStyle name="Accent3 3" xfId="55"/>
    <cellStyle name="Accent3 4" xfId="56"/>
    <cellStyle name="Accent3 5" xfId="57"/>
    <cellStyle name="Accent3 6" xfId="58"/>
    <cellStyle name="Accent3 7" xfId="59"/>
    <cellStyle name="Accent3 8" xfId="60"/>
    <cellStyle name="Accent3 9" xfId="61"/>
    <cellStyle name="Accent4 - 20%" xfId="62"/>
    <cellStyle name="Accent4 - 40%" xfId="63"/>
    <cellStyle name="Accent4 - 60%" xfId="64"/>
    <cellStyle name="Accent4 10" xfId="65"/>
    <cellStyle name="Accent4 11" xfId="66"/>
    <cellStyle name="Accent4 12" xfId="67"/>
    <cellStyle name="Accent4 13" xfId="68"/>
    <cellStyle name="Accent4 14" xfId="69"/>
    <cellStyle name="Accent4 15" xfId="70"/>
    <cellStyle name="Accent4 16" xfId="71"/>
    <cellStyle name="Accent4 17" xfId="72"/>
    <cellStyle name="Accent4 2" xfId="73"/>
    <cellStyle name="Accent4 3" xfId="74"/>
    <cellStyle name="Accent4 4" xfId="75"/>
    <cellStyle name="Accent4 5" xfId="76"/>
    <cellStyle name="Accent4 6" xfId="77"/>
    <cellStyle name="Accent4 7" xfId="78"/>
    <cellStyle name="Accent4 8" xfId="79"/>
    <cellStyle name="Accent4 9" xfId="80"/>
    <cellStyle name="Accent5 - 20%" xfId="81"/>
    <cellStyle name="Accent5 - 40%" xfId="82"/>
    <cellStyle name="Accent5 - 60%" xfId="83"/>
    <cellStyle name="Accent5 10" xfId="84"/>
    <cellStyle name="Accent5 11" xfId="85"/>
    <cellStyle name="Accent5 12" xfId="86"/>
    <cellStyle name="Accent5 13" xfId="87"/>
    <cellStyle name="Accent5 14" xfId="88"/>
    <cellStyle name="Accent5 15" xfId="89"/>
    <cellStyle name="Accent5 16" xfId="90"/>
    <cellStyle name="Accent5 17" xfId="91"/>
    <cellStyle name="Accent5 2" xfId="92"/>
    <cellStyle name="Accent5 3" xfId="93"/>
    <cellStyle name="Accent5 4" xfId="94"/>
    <cellStyle name="Accent5 5" xfId="95"/>
    <cellStyle name="Accent5 6" xfId="96"/>
    <cellStyle name="Accent5 7" xfId="97"/>
    <cellStyle name="Accent5 8" xfId="98"/>
    <cellStyle name="Accent5 9" xfId="99"/>
    <cellStyle name="Accent6 - 20%" xfId="100"/>
    <cellStyle name="Accent6 - 40%" xfId="101"/>
    <cellStyle name="Accent6 - 60%" xfId="102"/>
    <cellStyle name="Accent6 10" xfId="103"/>
    <cellStyle name="Accent6 11" xfId="104"/>
    <cellStyle name="Accent6 12" xfId="105"/>
    <cellStyle name="Accent6 13" xfId="106"/>
    <cellStyle name="Accent6 14" xfId="107"/>
    <cellStyle name="Accent6 15" xfId="108"/>
    <cellStyle name="Accent6 16" xfId="109"/>
    <cellStyle name="Accent6 17" xfId="110"/>
    <cellStyle name="Accent6 2" xfId="111"/>
    <cellStyle name="Accent6 3" xfId="112"/>
    <cellStyle name="Accent6 4" xfId="113"/>
    <cellStyle name="Accent6 5" xfId="114"/>
    <cellStyle name="Accent6 6" xfId="115"/>
    <cellStyle name="Accent6 7" xfId="116"/>
    <cellStyle name="Accent6 8" xfId="117"/>
    <cellStyle name="Accent6 9" xfId="118"/>
    <cellStyle name="Bad 2" xfId="119"/>
    <cellStyle name="Calculation 2" xfId="120"/>
    <cellStyle name="Check Cell 2" xfId="121"/>
    <cellStyle name="Comma" xfId="1" builtinId="3"/>
    <cellStyle name="Comma 2" xfId="122"/>
    <cellStyle name="Comma 3" xfId="123"/>
    <cellStyle name="Currency" xfId="2" builtinId="4"/>
    <cellStyle name="Currency 2" xfId="124"/>
    <cellStyle name="Currency 2 2" xfId="125"/>
    <cellStyle name="Emphasis 1" xfId="126"/>
    <cellStyle name="Emphasis 2" xfId="127"/>
    <cellStyle name="Emphasis 3" xfId="128"/>
    <cellStyle name="Good 2" xfId="129"/>
    <cellStyle name="Heading 1 2" xfId="130"/>
    <cellStyle name="Heading 2 2" xfId="131"/>
    <cellStyle name="Heading 3 2" xfId="132"/>
    <cellStyle name="Heading 4 2" xfId="133"/>
    <cellStyle name="Input 2" xfId="134"/>
    <cellStyle name="Linked Cell 2" xfId="135"/>
    <cellStyle name="Neutral 2" xfId="136"/>
    <cellStyle name="Normal" xfId="0" builtinId="0"/>
    <cellStyle name="Normal 2" xfId="137"/>
    <cellStyle name="Normal 2 2" xfId="138"/>
    <cellStyle name="Normal 3" xfId="139"/>
    <cellStyle name="Normal 4" xfId="140"/>
    <cellStyle name="Normal 5" xfId="141"/>
    <cellStyle name="Normal 6" xfId="142"/>
    <cellStyle name="Normal 7" xfId="143"/>
    <cellStyle name="Normal 8" xfId="144"/>
    <cellStyle name="Normal 9" xfId="145"/>
    <cellStyle name="Normal_CILC-CDR Equipment" xfId="4"/>
    <cellStyle name="Note 2" xfId="146"/>
    <cellStyle name="Output 2" xfId="147"/>
    <cellStyle name="Percent" xfId="3" builtinId="5"/>
    <cellStyle name="Percent 2" xfId="148"/>
    <cellStyle name="Percent 3" xfId="149"/>
    <cellStyle name="SAPBEXaggData" xfId="150"/>
    <cellStyle name="SAPBEXaggDataEmph" xfId="151"/>
    <cellStyle name="SAPBEXaggItem" xfId="152"/>
    <cellStyle name="SAPBEXaggItemX" xfId="153"/>
    <cellStyle name="SAPBEXchaText" xfId="154"/>
    <cellStyle name="SAPBEXexcBad7" xfId="155"/>
    <cellStyle name="SAPBEXexcBad8" xfId="156"/>
    <cellStyle name="SAPBEXexcBad9" xfId="157"/>
    <cellStyle name="SAPBEXexcCritical4" xfId="158"/>
    <cellStyle name="SAPBEXexcCritical5" xfId="159"/>
    <cellStyle name="SAPBEXexcCritical6" xfId="160"/>
    <cellStyle name="SAPBEXexcGood1" xfId="161"/>
    <cellStyle name="SAPBEXexcGood2" xfId="162"/>
    <cellStyle name="SAPBEXexcGood3" xfId="163"/>
    <cellStyle name="SAPBEXfilterDrill" xfId="164"/>
    <cellStyle name="SAPBEXfilterItem" xfId="165"/>
    <cellStyle name="SAPBEXfilterText" xfId="166"/>
    <cellStyle name="SAPBEXformats" xfId="167"/>
    <cellStyle name="SAPBEXheaderItem" xfId="168"/>
    <cellStyle name="SAPBEXheaderText" xfId="169"/>
    <cellStyle name="SAPBEXHLevel0" xfId="170"/>
    <cellStyle name="SAPBEXHLevel0X" xfId="171"/>
    <cellStyle name="SAPBEXHLevel1" xfId="172"/>
    <cellStyle name="SAPBEXHLevel1X" xfId="173"/>
    <cellStyle name="SAPBEXHLevel2" xfId="174"/>
    <cellStyle name="SAPBEXHLevel2X" xfId="175"/>
    <cellStyle name="SAPBEXHLevel3" xfId="176"/>
    <cellStyle name="SAPBEXHLevel3X" xfId="177"/>
    <cellStyle name="SAPBEXinputData" xfId="178"/>
    <cellStyle name="SAPBEXItemHeader" xfId="179"/>
    <cellStyle name="SAPBEXresData" xfId="180"/>
    <cellStyle name="SAPBEXresDataEmph" xfId="181"/>
    <cellStyle name="SAPBEXresItem" xfId="182"/>
    <cellStyle name="SAPBEXresItemX" xfId="183"/>
    <cellStyle name="SAPBEXstdData" xfId="184"/>
    <cellStyle name="SAPBEXstdDataEmph" xfId="185"/>
    <cellStyle name="SAPBEXstdItem" xfId="186"/>
    <cellStyle name="SAPBEXstdItemX" xfId="187"/>
    <cellStyle name="SAPBEXtitle" xfId="188"/>
    <cellStyle name="SAPBEXunassignedItem" xfId="189"/>
    <cellStyle name="SAPBEXundefined" xfId="190"/>
    <cellStyle name="Sheet Title" xfId="191"/>
    <cellStyle name="Style 1" xfId="192"/>
    <cellStyle name="Total 2" xfId="193"/>
    <cellStyle name="Warning Text 2" xfId="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Q106"/>
  <sheetViews>
    <sheetView showGridLines="0" tabSelected="1" zoomScale="75" zoomScaleNormal="75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B1" sqref="B1:B2"/>
    </sheetView>
  </sheetViews>
  <sheetFormatPr defaultColWidth="9.109375" defaultRowHeight="13.2" x14ac:dyDescent="0.25"/>
  <cols>
    <col min="1" max="1" width="2.33203125" style="1" bestFit="1" customWidth="1"/>
    <col min="2" max="2" width="12" style="1" customWidth="1"/>
    <col min="3" max="3" width="45" style="1" customWidth="1"/>
    <col min="4" max="4" width="11.6640625" style="1" customWidth="1"/>
    <col min="5" max="5" width="11.33203125" style="3" bestFit="1" customWidth="1"/>
    <col min="6" max="6" width="8.6640625" style="4" customWidth="1"/>
    <col min="7" max="7" width="6.5546875" style="1" customWidth="1"/>
    <col min="8" max="8" width="15.6640625" style="1" customWidth="1"/>
    <col min="9" max="9" width="12.6640625" style="1" customWidth="1"/>
    <col min="10" max="10" width="13.44140625" style="1" customWidth="1"/>
    <col min="11" max="11" width="16" style="1" customWidth="1"/>
    <col min="12" max="12" width="9.6640625" style="1" customWidth="1"/>
    <col min="13" max="13" width="11.6640625" style="5" customWidth="1"/>
    <col min="14" max="14" width="12.6640625" style="5" bestFit="1" customWidth="1"/>
    <col min="15" max="15" width="12.6640625" style="1" customWidth="1"/>
    <col min="16" max="16" width="9.109375" style="1"/>
    <col min="17" max="17" width="10.44140625" style="1" bestFit="1" customWidth="1"/>
    <col min="18" max="16384" width="9.109375" style="1"/>
  </cols>
  <sheetData>
    <row r="1" spans="1:15" x14ac:dyDescent="0.25">
      <c r="B1" s="126" t="s">
        <v>74</v>
      </c>
    </row>
    <row r="2" spans="1:15" x14ac:dyDescent="0.25">
      <c r="B2" s="126" t="s">
        <v>75</v>
      </c>
    </row>
    <row r="4" spans="1:15" ht="22.8" x14ac:dyDescent="0.4">
      <c r="C4" s="2" t="s">
        <v>0</v>
      </c>
    </row>
    <row r="5" spans="1:15" ht="13.8" thickBot="1" x14ac:dyDescent="0.3">
      <c r="C5" s="6"/>
    </row>
    <row r="6" spans="1:15" ht="13.8" thickBot="1" x14ac:dyDescent="0.3">
      <c r="A6" s="7"/>
      <c r="B6" s="8"/>
      <c r="C6" s="9"/>
      <c r="D6" s="8"/>
      <c r="E6" s="10"/>
      <c r="F6" s="11"/>
      <c r="G6" s="12"/>
      <c r="H6" s="13"/>
      <c r="I6" s="14"/>
      <c r="J6" s="124" t="s">
        <v>1</v>
      </c>
      <c r="K6" s="124"/>
      <c r="L6" s="124"/>
      <c r="M6" s="124"/>
      <c r="N6" s="124"/>
      <c r="O6" s="125"/>
    </row>
    <row r="7" spans="1:15" ht="66.599999999999994" thickBot="1" x14ac:dyDescent="0.3">
      <c r="A7" s="15"/>
      <c r="B7" s="16"/>
      <c r="C7" s="17" t="s">
        <v>2</v>
      </c>
      <c r="D7" s="18" t="s">
        <v>3</v>
      </c>
      <c r="E7" s="19" t="s">
        <v>4</v>
      </c>
      <c r="F7" s="20" t="s">
        <v>5</v>
      </c>
      <c r="G7" s="21" t="s">
        <v>6</v>
      </c>
      <c r="H7" s="22" t="s">
        <v>7</v>
      </c>
      <c r="I7" s="23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25" t="s">
        <v>14</v>
      </c>
    </row>
    <row r="8" spans="1:15" ht="12.9" customHeight="1" x14ac:dyDescent="0.25">
      <c r="A8" s="26"/>
      <c r="B8" s="27"/>
      <c r="C8" s="28"/>
      <c r="D8" s="29"/>
      <c r="E8" s="28"/>
      <c r="F8" s="30"/>
      <c r="G8" s="31"/>
      <c r="H8" s="32"/>
      <c r="I8" s="32"/>
      <c r="J8" s="32"/>
      <c r="K8" s="33"/>
      <c r="L8" s="33"/>
      <c r="M8" s="34"/>
      <c r="N8" s="34"/>
      <c r="O8" s="35"/>
    </row>
    <row r="9" spans="1:15" ht="12.9" customHeight="1" x14ac:dyDescent="0.25">
      <c r="A9" s="36" t="s">
        <v>15</v>
      </c>
      <c r="B9" s="37"/>
      <c r="C9" s="28"/>
      <c r="D9" s="29"/>
      <c r="E9" s="28"/>
      <c r="F9" s="30"/>
      <c r="G9" s="38"/>
      <c r="H9" s="39"/>
      <c r="I9" s="39"/>
      <c r="J9" s="39"/>
      <c r="K9" s="40"/>
      <c r="L9" s="40"/>
      <c r="M9" s="41"/>
      <c r="N9" s="41"/>
      <c r="O9" s="42"/>
    </row>
    <row r="10" spans="1:15" ht="12.9" customHeight="1" x14ac:dyDescent="0.25">
      <c r="A10" s="26">
        <v>1</v>
      </c>
      <c r="B10" s="27"/>
      <c r="C10" s="43" t="s">
        <v>16</v>
      </c>
      <c r="D10" s="27"/>
      <c r="E10" s="44" t="s">
        <v>17</v>
      </c>
      <c r="F10" s="45"/>
      <c r="G10" s="26">
        <v>15</v>
      </c>
      <c r="H10" s="46">
        <f>J10*G10</f>
        <v>300000</v>
      </c>
      <c r="I10" s="46"/>
      <c r="J10" s="123">
        <v>20000</v>
      </c>
      <c r="K10" s="46"/>
      <c r="L10" s="46"/>
      <c r="M10" s="46"/>
      <c r="N10" s="46"/>
      <c r="O10" s="47"/>
    </row>
    <row r="11" spans="1:15" ht="12.9" customHeight="1" x14ac:dyDescent="0.25">
      <c r="A11" s="26"/>
      <c r="B11" s="27"/>
      <c r="C11" s="27"/>
      <c r="D11" s="27"/>
      <c r="E11" s="44"/>
      <c r="F11" s="45"/>
      <c r="G11" s="26"/>
      <c r="H11" s="46"/>
      <c r="I11" s="46"/>
      <c r="J11" s="46"/>
      <c r="K11" s="46"/>
      <c r="L11" s="46"/>
      <c r="M11" s="46"/>
      <c r="N11" s="46"/>
      <c r="O11" s="47"/>
    </row>
    <row r="12" spans="1:15" ht="12.9" customHeight="1" x14ac:dyDescent="0.25">
      <c r="A12" s="36" t="s">
        <v>18</v>
      </c>
      <c r="B12" s="37"/>
      <c r="C12" s="28"/>
      <c r="D12" s="29"/>
      <c r="E12" s="28"/>
      <c r="F12" s="30"/>
      <c r="G12" s="38"/>
      <c r="H12" s="48"/>
      <c r="I12" s="48"/>
      <c r="J12" s="48"/>
      <c r="K12" s="49"/>
      <c r="L12" s="49"/>
      <c r="M12" s="49"/>
      <c r="N12" s="49"/>
      <c r="O12" s="50"/>
    </row>
    <row r="13" spans="1:15" ht="12.9" customHeight="1" x14ac:dyDescent="0.25">
      <c r="A13" s="51">
        <v>2</v>
      </c>
      <c r="B13" s="52"/>
      <c r="C13" s="52" t="s">
        <v>19</v>
      </c>
      <c r="D13" s="52"/>
      <c r="E13" s="53" t="s">
        <v>20</v>
      </c>
      <c r="F13" s="54">
        <v>586.1</v>
      </c>
      <c r="G13" s="51">
        <v>550</v>
      </c>
      <c r="H13" s="55">
        <f>J13*G13</f>
        <v>110000</v>
      </c>
      <c r="I13" s="55"/>
      <c r="J13" s="55">
        <v>200</v>
      </c>
      <c r="K13" s="55"/>
      <c r="L13" s="55"/>
      <c r="M13" s="55">
        <v>5</v>
      </c>
      <c r="N13" s="55">
        <v>50</v>
      </c>
      <c r="O13" s="56">
        <f>SUM(J13:M13)</f>
        <v>205</v>
      </c>
    </row>
    <row r="14" spans="1:15" ht="12.9" customHeight="1" x14ac:dyDescent="0.25">
      <c r="A14" s="51">
        <v>2</v>
      </c>
      <c r="B14" s="52"/>
      <c r="C14" s="57" t="s">
        <v>21</v>
      </c>
      <c r="D14" s="58" t="s">
        <v>22</v>
      </c>
      <c r="E14" s="59" t="s">
        <v>20</v>
      </c>
      <c r="F14" s="54"/>
      <c r="G14" s="51"/>
      <c r="H14" s="55"/>
      <c r="I14" s="55"/>
      <c r="J14" s="55">
        <v>222.54740884406516</v>
      </c>
      <c r="K14" s="55"/>
      <c r="L14" s="55"/>
      <c r="M14" s="55"/>
      <c r="N14" s="55"/>
      <c r="O14" s="56">
        <f>SUM(J14:M14)</f>
        <v>222.54740884406516</v>
      </c>
    </row>
    <row r="15" spans="1:15" ht="12.9" customHeight="1" x14ac:dyDescent="0.25">
      <c r="A15" s="51">
        <v>2</v>
      </c>
      <c r="B15" s="52"/>
      <c r="C15" s="57" t="s">
        <v>23</v>
      </c>
      <c r="D15" s="58" t="s">
        <v>22</v>
      </c>
      <c r="E15" s="59" t="s">
        <v>24</v>
      </c>
      <c r="F15" s="54"/>
      <c r="G15" s="51"/>
      <c r="H15" s="55"/>
      <c r="I15" s="55"/>
      <c r="J15" s="55">
        <v>95.449803592787603</v>
      </c>
      <c r="K15" s="55"/>
      <c r="L15" s="55"/>
      <c r="M15" s="55"/>
      <c r="N15" s="55"/>
      <c r="O15" s="56">
        <f>SUM(J15:M15)</f>
        <v>95.449803592787603</v>
      </c>
    </row>
    <row r="16" spans="1:15" ht="12.9" customHeight="1" x14ac:dyDescent="0.25">
      <c r="A16" s="60">
        <v>3</v>
      </c>
      <c r="B16" s="61" t="s">
        <v>25</v>
      </c>
      <c r="C16" s="62" t="s">
        <v>26</v>
      </c>
      <c r="D16" s="62"/>
      <c r="E16" s="63" t="s">
        <v>27</v>
      </c>
      <c r="F16" s="64">
        <v>370.9</v>
      </c>
      <c r="G16" s="60">
        <v>600</v>
      </c>
      <c r="H16" s="65">
        <v>300000</v>
      </c>
      <c r="I16" s="65">
        <v>27810</v>
      </c>
      <c r="J16" s="65">
        <f t="shared" ref="J16:J48" si="0">H16/G16</f>
        <v>500</v>
      </c>
      <c r="K16" s="65">
        <f>(I16/G16)</f>
        <v>46.35</v>
      </c>
      <c r="L16" s="65">
        <v>50</v>
      </c>
      <c r="M16" s="65">
        <v>5</v>
      </c>
      <c r="N16" s="65">
        <v>50</v>
      </c>
      <c r="O16" s="66">
        <f>SUM(J16:M16)</f>
        <v>601.35</v>
      </c>
    </row>
    <row r="17" spans="1:15" ht="12.9" customHeight="1" x14ac:dyDescent="0.25">
      <c r="A17" s="60">
        <v>3</v>
      </c>
      <c r="B17" s="61" t="s">
        <v>25</v>
      </c>
      <c r="C17" s="61" t="s">
        <v>28</v>
      </c>
      <c r="D17" s="67">
        <v>39437</v>
      </c>
      <c r="E17" s="63"/>
      <c r="F17" s="64"/>
      <c r="G17" s="60">
        <f>50+50</f>
        <v>100</v>
      </c>
      <c r="H17" s="65">
        <v>34200</v>
      </c>
      <c r="I17" s="65"/>
      <c r="J17" s="65">
        <f t="shared" si="0"/>
        <v>342</v>
      </c>
      <c r="K17" s="65"/>
      <c r="L17" s="65"/>
      <c r="M17" s="65"/>
      <c r="N17" s="65"/>
      <c r="O17" s="66">
        <f>SUM(J17:J21)</f>
        <v>445.3</v>
      </c>
    </row>
    <row r="18" spans="1:15" ht="12.9" customHeight="1" x14ac:dyDescent="0.25">
      <c r="A18" s="60">
        <v>3</v>
      </c>
      <c r="B18" s="61" t="s">
        <v>29</v>
      </c>
      <c r="C18" s="61" t="s">
        <v>30</v>
      </c>
      <c r="D18" s="67">
        <v>39437</v>
      </c>
      <c r="E18" s="63"/>
      <c r="F18" s="64"/>
      <c r="G18" s="68">
        <v>100</v>
      </c>
      <c r="H18" s="65">
        <v>575</v>
      </c>
      <c r="I18" s="65"/>
      <c r="J18" s="65">
        <f t="shared" si="0"/>
        <v>5.75</v>
      </c>
      <c r="K18" s="65"/>
      <c r="L18" s="65"/>
      <c r="M18" s="65"/>
      <c r="N18" s="65"/>
      <c r="O18" s="66"/>
    </row>
    <row r="19" spans="1:15" ht="12.9" customHeight="1" x14ac:dyDescent="0.25">
      <c r="A19" s="60">
        <v>3</v>
      </c>
      <c r="B19" s="61" t="s">
        <v>31</v>
      </c>
      <c r="C19" s="61" t="s">
        <v>32</v>
      </c>
      <c r="D19" s="67">
        <v>39437</v>
      </c>
      <c r="E19" s="63"/>
      <c r="F19" s="64"/>
      <c r="G19" s="68">
        <v>100</v>
      </c>
      <c r="H19" s="65">
        <v>1505</v>
      </c>
      <c r="I19" s="65"/>
      <c r="J19" s="65">
        <f t="shared" si="0"/>
        <v>15.05</v>
      </c>
      <c r="K19" s="65"/>
      <c r="L19" s="65"/>
      <c r="M19" s="65"/>
      <c r="N19" s="65"/>
      <c r="O19" s="66"/>
    </row>
    <row r="20" spans="1:15" ht="12.9" customHeight="1" x14ac:dyDescent="0.25">
      <c r="A20" s="60">
        <v>3</v>
      </c>
      <c r="B20" s="61" t="s">
        <v>33</v>
      </c>
      <c r="C20" s="61" t="s">
        <v>34</v>
      </c>
      <c r="D20" s="67">
        <v>39429</v>
      </c>
      <c r="E20" s="63"/>
      <c r="F20" s="64"/>
      <c r="G20" s="68">
        <v>100</v>
      </c>
      <c r="H20" s="65">
        <v>7500</v>
      </c>
      <c r="I20" s="65"/>
      <c r="J20" s="65">
        <f t="shared" si="0"/>
        <v>75</v>
      </c>
      <c r="K20" s="65"/>
      <c r="L20" s="65"/>
      <c r="M20" s="65"/>
      <c r="N20" s="65"/>
      <c r="O20" s="66"/>
    </row>
    <row r="21" spans="1:15" ht="12.9" customHeight="1" x14ac:dyDescent="0.25">
      <c r="A21" s="60">
        <v>3</v>
      </c>
      <c r="B21" s="62"/>
      <c r="C21" s="61" t="s">
        <v>35</v>
      </c>
      <c r="D21" s="67">
        <v>39438</v>
      </c>
      <c r="E21" s="63"/>
      <c r="F21" s="64"/>
      <c r="G21" s="68">
        <v>100</v>
      </c>
      <c r="H21" s="65">
        <v>750</v>
      </c>
      <c r="I21" s="65"/>
      <c r="J21" s="65">
        <f t="shared" si="0"/>
        <v>7.5</v>
      </c>
      <c r="K21" s="65"/>
      <c r="L21" s="65"/>
      <c r="M21" s="65"/>
      <c r="N21" s="65"/>
      <c r="O21" s="66"/>
    </row>
    <row r="22" spans="1:15" ht="12.9" customHeight="1" x14ac:dyDescent="0.25">
      <c r="A22" s="60"/>
      <c r="B22" s="61" t="s">
        <v>25</v>
      </c>
      <c r="C22" s="61" t="s">
        <v>28</v>
      </c>
      <c r="D22" s="67">
        <v>39485</v>
      </c>
      <c r="E22" s="63"/>
      <c r="F22" s="64"/>
      <c r="G22" s="68">
        <v>50</v>
      </c>
      <c r="H22" s="65">
        <v>17100</v>
      </c>
      <c r="I22" s="65"/>
      <c r="J22" s="65">
        <f t="shared" si="0"/>
        <v>342</v>
      </c>
      <c r="K22" s="65"/>
      <c r="L22" s="65"/>
      <c r="M22" s="65"/>
      <c r="N22" s="65"/>
      <c r="O22" s="66">
        <f>SUM(J22:J25)</f>
        <v>437.8</v>
      </c>
    </row>
    <row r="23" spans="1:15" ht="12.9" customHeight="1" x14ac:dyDescent="0.25">
      <c r="A23" s="60"/>
      <c r="B23" s="61" t="s">
        <v>29</v>
      </c>
      <c r="C23" s="61" t="s">
        <v>30</v>
      </c>
      <c r="D23" s="67">
        <v>39485</v>
      </c>
      <c r="E23" s="63"/>
      <c r="F23" s="64"/>
      <c r="G23" s="68">
        <v>50</v>
      </c>
      <c r="H23" s="65">
        <v>287.5</v>
      </c>
      <c r="I23" s="65"/>
      <c r="J23" s="65">
        <f t="shared" si="0"/>
        <v>5.75</v>
      </c>
      <c r="K23" s="65"/>
      <c r="L23" s="65"/>
      <c r="M23" s="65"/>
      <c r="N23" s="65"/>
      <c r="O23" s="66"/>
    </row>
    <row r="24" spans="1:15" ht="12.9" customHeight="1" x14ac:dyDescent="0.25">
      <c r="A24" s="60"/>
      <c r="B24" s="61" t="s">
        <v>31</v>
      </c>
      <c r="C24" s="61" t="s">
        <v>32</v>
      </c>
      <c r="D24" s="67">
        <v>39485</v>
      </c>
      <c r="E24" s="63"/>
      <c r="F24" s="64"/>
      <c r="G24" s="68">
        <v>50</v>
      </c>
      <c r="H24" s="65">
        <v>752.5</v>
      </c>
      <c r="I24" s="65"/>
      <c r="J24" s="65">
        <f t="shared" si="0"/>
        <v>15.05</v>
      </c>
      <c r="K24" s="65"/>
      <c r="L24" s="65"/>
      <c r="M24" s="65"/>
      <c r="N24" s="65"/>
      <c r="O24" s="66"/>
    </row>
    <row r="25" spans="1:15" ht="12.9" customHeight="1" x14ac:dyDescent="0.25">
      <c r="A25" s="60"/>
      <c r="B25" s="61" t="s">
        <v>33</v>
      </c>
      <c r="C25" s="61" t="s">
        <v>34</v>
      </c>
      <c r="D25" s="67">
        <v>39503</v>
      </c>
      <c r="E25" s="63"/>
      <c r="F25" s="64"/>
      <c r="G25" s="68">
        <v>50</v>
      </c>
      <c r="H25" s="65">
        <v>3750</v>
      </c>
      <c r="I25" s="65"/>
      <c r="J25" s="65">
        <f t="shared" si="0"/>
        <v>75</v>
      </c>
      <c r="K25" s="65"/>
      <c r="L25" s="65"/>
      <c r="M25" s="65"/>
      <c r="N25" s="65"/>
      <c r="O25" s="66"/>
    </row>
    <row r="26" spans="1:15" ht="12.9" customHeight="1" x14ac:dyDescent="0.25">
      <c r="A26" s="60"/>
      <c r="B26" s="61" t="s">
        <v>33</v>
      </c>
      <c r="C26" s="61" t="s">
        <v>34</v>
      </c>
      <c r="D26" s="67">
        <v>39793</v>
      </c>
      <c r="E26" s="63"/>
      <c r="F26" s="64"/>
      <c r="G26" s="68">
        <v>50</v>
      </c>
      <c r="H26" s="65">
        <v>3750</v>
      </c>
      <c r="I26" s="65"/>
      <c r="J26" s="65">
        <f t="shared" si="0"/>
        <v>75</v>
      </c>
      <c r="K26" s="65"/>
      <c r="L26" s="65"/>
      <c r="M26" s="65"/>
      <c r="N26" s="65"/>
      <c r="O26" s="66"/>
    </row>
    <row r="27" spans="1:15" ht="12.9" customHeight="1" x14ac:dyDescent="0.25">
      <c r="A27" s="60"/>
      <c r="B27" s="61" t="s">
        <v>25</v>
      </c>
      <c r="C27" s="61" t="s">
        <v>28</v>
      </c>
      <c r="D27" s="67">
        <v>39797</v>
      </c>
      <c r="E27" s="63"/>
      <c r="F27" s="64"/>
      <c r="G27" s="68">
        <v>50</v>
      </c>
      <c r="H27" s="65">
        <f>19350+178.9</f>
        <v>19528.900000000001</v>
      </c>
      <c r="I27" s="65"/>
      <c r="J27" s="65">
        <f t="shared" si="0"/>
        <v>390.57800000000003</v>
      </c>
      <c r="K27" s="65"/>
      <c r="L27" s="65"/>
      <c r="M27" s="65"/>
      <c r="N27" s="65"/>
      <c r="O27" s="66">
        <f>SUM(J26:J29)</f>
        <v>486.37800000000004</v>
      </c>
    </row>
    <row r="28" spans="1:15" ht="12.9" customHeight="1" x14ac:dyDescent="0.25">
      <c r="A28" s="60"/>
      <c r="B28" s="61" t="s">
        <v>29</v>
      </c>
      <c r="C28" s="61" t="s">
        <v>30</v>
      </c>
      <c r="D28" s="67">
        <v>39797</v>
      </c>
      <c r="E28" s="63"/>
      <c r="F28" s="64"/>
      <c r="G28" s="68">
        <v>50</v>
      </c>
      <c r="H28" s="65">
        <v>287.5</v>
      </c>
      <c r="I28" s="65"/>
      <c r="J28" s="65">
        <f t="shared" si="0"/>
        <v>5.75</v>
      </c>
      <c r="K28" s="65"/>
      <c r="L28" s="65"/>
      <c r="M28" s="65"/>
      <c r="N28" s="65"/>
      <c r="O28" s="66"/>
    </row>
    <row r="29" spans="1:15" ht="12.9" customHeight="1" x14ac:dyDescent="0.25">
      <c r="A29" s="60"/>
      <c r="B29" s="61" t="s">
        <v>31</v>
      </c>
      <c r="C29" s="61" t="s">
        <v>32</v>
      </c>
      <c r="D29" s="67">
        <v>39797</v>
      </c>
      <c r="E29" s="63"/>
      <c r="F29" s="64"/>
      <c r="G29" s="68">
        <v>50</v>
      </c>
      <c r="H29" s="65">
        <v>752.5</v>
      </c>
      <c r="I29" s="65"/>
      <c r="J29" s="65">
        <f t="shared" si="0"/>
        <v>15.05</v>
      </c>
      <c r="K29" s="65"/>
      <c r="L29" s="65"/>
      <c r="M29" s="65"/>
      <c r="N29" s="65"/>
      <c r="O29" s="66"/>
    </row>
    <row r="30" spans="1:15" ht="12.9" customHeight="1" x14ac:dyDescent="0.25">
      <c r="A30" s="60"/>
      <c r="B30" s="61" t="s">
        <v>25</v>
      </c>
      <c r="C30" s="61" t="s">
        <v>28</v>
      </c>
      <c r="D30" s="67">
        <v>39828</v>
      </c>
      <c r="E30" s="63"/>
      <c r="F30" s="64"/>
      <c r="G30" s="68">
        <v>50</v>
      </c>
      <c r="H30" s="65">
        <f>19350+208.95</f>
        <v>19558.95</v>
      </c>
      <c r="I30" s="65"/>
      <c r="J30" s="65">
        <f t="shared" si="0"/>
        <v>391.17900000000003</v>
      </c>
      <c r="K30" s="65"/>
      <c r="L30" s="65"/>
      <c r="M30" s="65"/>
      <c r="N30" s="65"/>
      <c r="O30" s="66">
        <f>SUM(J29:J32)</f>
        <v>427.02900000000005</v>
      </c>
    </row>
    <row r="31" spans="1:15" ht="12.9" customHeight="1" x14ac:dyDescent="0.25">
      <c r="A31" s="60"/>
      <c r="B31" s="61" t="s">
        <v>29</v>
      </c>
      <c r="C31" s="61" t="s">
        <v>30</v>
      </c>
      <c r="D31" s="67">
        <v>39828</v>
      </c>
      <c r="E31" s="63"/>
      <c r="F31" s="64"/>
      <c r="G31" s="68">
        <v>50</v>
      </c>
      <c r="H31" s="65">
        <v>287.5</v>
      </c>
      <c r="I31" s="65"/>
      <c r="J31" s="65">
        <f t="shared" si="0"/>
        <v>5.75</v>
      </c>
      <c r="K31" s="65"/>
      <c r="L31" s="65"/>
      <c r="M31" s="65"/>
      <c r="N31" s="65"/>
      <c r="O31" s="66"/>
    </row>
    <row r="32" spans="1:15" ht="12.9" customHeight="1" x14ac:dyDescent="0.25">
      <c r="A32" s="60"/>
      <c r="B32" s="61" t="s">
        <v>31</v>
      </c>
      <c r="C32" s="61" t="s">
        <v>32</v>
      </c>
      <c r="D32" s="67">
        <v>39828</v>
      </c>
      <c r="E32" s="63"/>
      <c r="F32" s="64"/>
      <c r="G32" s="68">
        <v>50</v>
      </c>
      <c r="H32" s="65">
        <v>752.5</v>
      </c>
      <c r="I32" s="65"/>
      <c r="J32" s="65">
        <f t="shared" si="0"/>
        <v>15.05</v>
      </c>
      <c r="K32" s="65"/>
      <c r="L32" s="65"/>
      <c r="M32" s="65"/>
      <c r="N32" s="65"/>
      <c r="O32" s="66"/>
    </row>
    <row r="33" spans="1:15" ht="12.9" customHeight="1" x14ac:dyDescent="0.25">
      <c r="A33" s="60"/>
      <c r="B33" s="61" t="s">
        <v>33</v>
      </c>
      <c r="C33" s="61" t="s">
        <v>34</v>
      </c>
      <c r="D33" s="67">
        <v>39828</v>
      </c>
      <c r="E33" s="63"/>
      <c r="F33" s="64"/>
      <c r="G33" s="68">
        <v>50</v>
      </c>
      <c r="H33" s="65">
        <v>3750</v>
      </c>
      <c r="I33" s="65"/>
      <c r="J33" s="65">
        <f t="shared" si="0"/>
        <v>75</v>
      </c>
      <c r="K33" s="65"/>
      <c r="L33" s="65"/>
      <c r="M33" s="65"/>
      <c r="N33" s="65"/>
      <c r="O33" s="66"/>
    </row>
    <row r="34" spans="1:15" ht="12.9" customHeight="1" x14ac:dyDescent="0.25">
      <c r="A34" s="60"/>
      <c r="B34" s="61" t="s">
        <v>25</v>
      </c>
      <c r="C34" s="61" t="s">
        <v>28</v>
      </c>
      <c r="D34" s="67">
        <v>40120</v>
      </c>
      <c r="E34" s="63"/>
      <c r="F34" s="64"/>
      <c r="G34" s="68">
        <v>50</v>
      </c>
      <c r="H34" s="65">
        <f>19350+108.45</f>
        <v>19458.45</v>
      </c>
      <c r="I34" s="65"/>
      <c r="J34" s="65">
        <f t="shared" si="0"/>
        <v>389.16900000000004</v>
      </c>
      <c r="K34" s="65"/>
      <c r="L34" s="65"/>
      <c r="M34" s="65"/>
      <c r="N34" s="65"/>
      <c r="O34" s="66">
        <f>SUM(J33:J36)</f>
        <v>484.96900000000005</v>
      </c>
    </row>
    <row r="35" spans="1:15" ht="12.9" customHeight="1" x14ac:dyDescent="0.25">
      <c r="A35" s="60"/>
      <c r="B35" s="61" t="s">
        <v>29</v>
      </c>
      <c r="C35" s="61" t="s">
        <v>30</v>
      </c>
      <c r="D35" s="67">
        <v>40120</v>
      </c>
      <c r="E35" s="63"/>
      <c r="F35" s="64"/>
      <c r="G35" s="68">
        <v>50</v>
      </c>
      <c r="H35" s="65">
        <v>287.5</v>
      </c>
      <c r="I35" s="65"/>
      <c r="J35" s="65">
        <f t="shared" si="0"/>
        <v>5.75</v>
      </c>
      <c r="K35" s="65"/>
      <c r="L35" s="65"/>
      <c r="M35" s="65"/>
      <c r="N35" s="65"/>
      <c r="O35" s="66"/>
    </row>
    <row r="36" spans="1:15" ht="12.9" customHeight="1" x14ac:dyDescent="0.25">
      <c r="A36" s="60"/>
      <c r="B36" s="61" t="s">
        <v>31</v>
      </c>
      <c r="C36" s="61" t="s">
        <v>32</v>
      </c>
      <c r="D36" s="67">
        <v>40120</v>
      </c>
      <c r="E36" s="63"/>
      <c r="F36" s="64"/>
      <c r="G36" s="68">
        <v>50</v>
      </c>
      <c r="H36" s="65">
        <v>752.5</v>
      </c>
      <c r="I36" s="65"/>
      <c r="J36" s="65">
        <f t="shared" si="0"/>
        <v>15.05</v>
      </c>
      <c r="K36" s="65"/>
      <c r="L36" s="65"/>
      <c r="M36" s="65"/>
      <c r="N36" s="65"/>
      <c r="O36" s="66"/>
    </row>
    <row r="37" spans="1:15" ht="12.9" customHeight="1" x14ac:dyDescent="0.25">
      <c r="A37" s="60"/>
      <c r="B37" s="61" t="s">
        <v>33</v>
      </c>
      <c r="C37" s="61" t="s">
        <v>34</v>
      </c>
      <c r="D37" s="67">
        <v>40121</v>
      </c>
      <c r="E37" s="63"/>
      <c r="F37" s="64"/>
      <c r="G37" s="68">
        <v>46</v>
      </c>
      <c r="H37" s="65">
        <v>3498</v>
      </c>
      <c r="I37" s="65"/>
      <c r="J37" s="65">
        <f t="shared" si="0"/>
        <v>76.043478260869563</v>
      </c>
      <c r="K37" s="65"/>
      <c r="L37" s="65"/>
      <c r="M37" s="65"/>
      <c r="N37" s="65"/>
      <c r="O37" s="66"/>
    </row>
    <row r="38" spans="1:15" ht="12.9" customHeight="1" x14ac:dyDescent="0.25">
      <c r="A38" s="60"/>
      <c r="B38" s="61" t="s">
        <v>25</v>
      </c>
      <c r="C38" s="61" t="s">
        <v>28</v>
      </c>
      <c r="D38" s="67">
        <v>40499</v>
      </c>
      <c r="E38" s="63"/>
      <c r="F38" s="64"/>
      <c r="G38" s="68">
        <v>50</v>
      </c>
      <c r="H38" s="65">
        <f>19350+150</f>
        <v>19500</v>
      </c>
      <c r="I38" s="65"/>
      <c r="J38" s="65">
        <f t="shared" si="0"/>
        <v>390</v>
      </c>
      <c r="K38" s="65"/>
      <c r="L38" s="65"/>
      <c r="M38" s="65"/>
      <c r="N38" s="65"/>
      <c r="O38" s="66">
        <f>SUM(J37:J40)</f>
        <v>486.84347826086957</v>
      </c>
    </row>
    <row r="39" spans="1:15" ht="12.9" customHeight="1" x14ac:dyDescent="0.25">
      <c r="A39" s="60"/>
      <c r="B39" s="61" t="s">
        <v>29</v>
      </c>
      <c r="C39" s="61" t="s">
        <v>30</v>
      </c>
      <c r="D39" s="67">
        <v>40499</v>
      </c>
      <c r="E39" s="63"/>
      <c r="F39" s="64"/>
      <c r="G39" s="68">
        <v>50</v>
      </c>
      <c r="H39" s="65">
        <v>287.5</v>
      </c>
      <c r="I39" s="65"/>
      <c r="J39" s="65">
        <f t="shared" si="0"/>
        <v>5.75</v>
      </c>
      <c r="K39" s="65"/>
      <c r="L39" s="65"/>
      <c r="M39" s="65"/>
      <c r="N39" s="65"/>
      <c r="O39" s="66"/>
    </row>
    <row r="40" spans="1:15" ht="12.9" customHeight="1" x14ac:dyDescent="0.25">
      <c r="A40" s="60"/>
      <c r="B40" s="61" t="s">
        <v>31</v>
      </c>
      <c r="C40" s="61" t="s">
        <v>32</v>
      </c>
      <c r="D40" s="67">
        <v>40499</v>
      </c>
      <c r="E40" s="63"/>
      <c r="F40" s="64"/>
      <c r="G40" s="68">
        <v>50</v>
      </c>
      <c r="H40" s="65">
        <v>752.5</v>
      </c>
      <c r="I40" s="65"/>
      <c r="J40" s="65">
        <f t="shared" si="0"/>
        <v>15.05</v>
      </c>
      <c r="K40" s="65"/>
      <c r="L40" s="65"/>
      <c r="M40" s="65"/>
      <c r="N40" s="65"/>
      <c r="O40" s="66"/>
    </row>
    <row r="41" spans="1:15" ht="12.9" customHeight="1" x14ac:dyDescent="0.25">
      <c r="A41" s="60"/>
      <c r="B41" s="61" t="s">
        <v>33</v>
      </c>
      <c r="C41" s="61" t="s">
        <v>34</v>
      </c>
      <c r="D41" s="67">
        <v>40501</v>
      </c>
      <c r="E41" s="63"/>
      <c r="F41" s="64"/>
      <c r="G41" s="68">
        <v>50</v>
      </c>
      <c r="H41" s="65">
        <v>3815.8</v>
      </c>
      <c r="I41" s="65"/>
      <c r="J41" s="65">
        <f t="shared" si="0"/>
        <v>76.316000000000003</v>
      </c>
      <c r="K41" s="65"/>
      <c r="L41" s="65"/>
      <c r="M41" s="65"/>
      <c r="N41" s="65"/>
      <c r="O41" s="66"/>
    </row>
    <row r="42" spans="1:15" ht="12.9" customHeight="1" x14ac:dyDescent="0.25">
      <c r="A42" s="60"/>
      <c r="B42" s="61" t="s">
        <v>36</v>
      </c>
      <c r="C42" s="61" t="s">
        <v>37</v>
      </c>
      <c r="D42" s="67">
        <v>40499</v>
      </c>
      <c r="E42" s="63"/>
      <c r="F42" s="64"/>
      <c r="G42" s="68">
        <v>50</v>
      </c>
      <c r="H42" s="65">
        <f>14000+48.5</f>
        <v>14048.5</v>
      </c>
      <c r="I42" s="65"/>
      <c r="J42" s="65">
        <f t="shared" si="0"/>
        <v>280.97000000000003</v>
      </c>
      <c r="K42" s="65"/>
      <c r="L42" s="65"/>
      <c r="M42" s="65"/>
      <c r="N42" s="65"/>
      <c r="O42" s="66"/>
    </row>
    <row r="43" spans="1:15" ht="12.9" customHeight="1" x14ac:dyDescent="0.25">
      <c r="A43" s="60"/>
      <c r="B43" s="61" t="s">
        <v>38</v>
      </c>
      <c r="C43" s="61" t="s">
        <v>39</v>
      </c>
      <c r="D43" s="67">
        <v>40499</v>
      </c>
      <c r="E43" s="63"/>
      <c r="F43" s="64"/>
      <c r="G43" s="68">
        <v>250</v>
      </c>
      <c r="H43" s="65">
        <f>3750+10</f>
        <v>3760</v>
      </c>
      <c r="I43" s="65"/>
      <c r="J43" s="65">
        <f t="shared" si="0"/>
        <v>15.04</v>
      </c>
      <c r="K43" s="65"/>
      <c r="L43" s="65"/>
      <c r="M43" s="65"/>
      <c r="N43" s="65"/>
      <c r="O43" s="66"/>
    </row>
    <row r="44" spans="1:15" ht="12.9" customHeight="1" x14ac:dyDescent="0.25">
      <c r="A44" s="60"/>
      <c r="B44" s="61" t="s">
        <v>38</v>
      </c>
      <c r="C44" s="61" t="s">
        <v>39</v>
      </c>
      <c r="D44" s="67">
        <v>40645</v>
      </c>
      <c r="E44" s="63"/>
      <c r="F44" s="64"/>
      <c r="G44" s="68">
        <v>114</v>
      </c>
      <c r="H44" s="65">
        <f>2137.5+10</f>
        <v>2147.5</v>
      </c>
      <c r="I44" s="65"/>
      <c r="J44" s="65">
        <f t="shared" si="0"/>
        <v>18.837719298245613</v>
      </c>
      <c r="K44" s="65"/>
      <c r="L44" s="65"/>
      <c r="M44" s="65"/>
      <c r="N44" s="65"/>
      <c r="O44" s="66"/>
    </row>
    <row r="45" spans="1:15" ht="12.9" customHeight="1" x14ac:dyDescent="0.25">
      <c r="A45" s="60"/>
      <c r="B45" s="61" t="s">
        <v>38</v>
      </c>
      <c r="C45" s="61" t="s">
        <v>39</v>
      </c>
      <c r="D45" s="67">
        <v>40676</v>
      </c>
      <c r="E45" s="63"/>
      <c r="F45" s="64"/>
      <c r="G45" s="68">
        <v>114</v>
      </c>
      <c r="H45" s="65">
        <f>2137.5+10</f>
        <v>2147.5</v>
      </c>
      <c r="I45" s="65"/>
      <c r="J45" s="65">
        <f t="shared" si="0"/>
        <v>18.837719298245613</v>
      </c>
      <c r="K45" s="65"/>
      <c r="L45" s="65"/>
      <c r="M45" s="65"/>
      <c r="N45" s="65"/>
      <c r="O45" s="66"/>
    </row>
    <row r="46" spans="1:15" ht="12.9" customHeight="1" x14ac:dyDescent="0.25">
      <c r="A46" s="60"/>
      <c r="B46" s="61" t="s">
        <v>38</v>
      </c>
      <c r="C46" s="61" t="s">
        <v>39</v>
      </c>
      <c r="D46" s="67">
        <v>40676</v>
      </c>
      <c r="E46" s="63"/>
      <c r="F46" s="64"/>
      <c r="G46" s="68">
        <v>114</v>
      </c>
      <c r="H46" s="65">
        <f>2137.5+87.57</f>
        <v>2225.0700000000002</v>
      </c>
      <c r="I46" s="65"/>
      <c r="J46" s="65">
        <f t="shared" si="0"/>
        <v>19.518157894736845</v>
      </c>
      <c r="K46" s="65"/>
      <c r="L46" s="65"/>
      <c r="M46" s="65"/>
      <c r="N46" s="65"/>
      <c r="O46" s="66"/>
    </row>
    <row r="47" spans="1:15" ht="12.9" customHeight="1" x14ac:dyDescent="0.25">
      <c r="A47" s="60"/>
      <c r="B47" s="61" t="s">
        <v>38</v>
      </c>
      <c r="C47" s="61" t="s">
        <v>39</v>
      </c>
      <c r="D47" s="67">
        <v>40717</v>
      </c>
      <c r="E47" s="63"/>
      <c r="F47" s="64"/>
      <c r="G47" s="68">
        <v>114</v>
      </c>
      <c r="H47" s="65">
        <f>2137.5+10</f>
        <v>2147.5</v>
      </c>
      <c r="I47" s="65"/>
      <c r="J47" s="65">
        <f t="shared" si="0"/>
        <v>18.837719298245613</v>
      </c>
      <c r="K47" s="65"/>
      <c r="L47" s="65"/>
      <c r="M47" s="65"/>
      <c r="N47" s="65"/>
      <c r="O47" s="66"/>
    </row>
    <row r="48" spans="1:15" ht="12.9" customHeight="1" x14ac:dyDescent="0.25">
      <c r="A48" s="60"/>
      <c r="B48" s="61" t="s">
        <v>38</v>
      </c>
      <c r="C48" s="61" t="s">
        <v>39</v>
      </c>
      <c r="D48" s="67">
        <v>40721</v>
      </c>
      <c r="E48" s="63"/>
      <c r="F48" s="64"/>
      <c r="G48" s="68">
        <v>114</v>
      </c>
      <c r="H48" s="65">
        <f>2137.5+10</f>
        <v>2147.5</v>
      </c>
      <c r="I48" s="65"/>
      <c r="J48" s="65">
        <f t="shared" si="0"/>
        <v>18.837719298245613</v>
      </c>
      <c r="K48" s="65"/>
      <c r="L48" s="65"/>
      <c r="M48" s="65"/>
      <c r="N48" s="65"/>
      <c r="O48" s="66"/>
    </row>
    <row r="49" spans="1:17" ht="12.9" customHeight="1" x14ac:dyDescent="0.25">
      <c r="A49" s="60"/>
      <c r="B49" s="61" t="s">
        <v>38</v>
      </c>
      <c r="C49" s="61" t="s">
        <v>39</v>
      </c>
      <c r="D49" s="67">
        <v>40757</v>
      </c>
      <c r="E49" s="63"/>
      <c r="F49" s="64"/>
      <c r="G49" s="68">
        <v>114</v>
      </c>
      <c r="H49" s="65">
        <f>2137.5+10</f>
        <v>2147.5</v>
      </c>
      <c r="I49" s="65"/>
      <c r="J49" s="65">
        <v>18.837719298245613</v>
      </c>
      <c r="K49" s="65"/>
      <c r="L49" s="65"/>
      <c r="M49" s="65"/>
      <c r="N49" s="65"/>
      <c r="O49" s="66"/>
    </row>
    <row r="50" spans="1:17" ht="12.9" customHeight="1" x14ac:dyDescent="0.25">
      <c r="A50" s="60"/>
      <c r="B50" s="61" t="s">
        <v>38</v>
      </c>
      <c r="C50" s="61" t="s">
        <v>39</v>
      </c>
      <c r="D50" s="67">
        <v>40771</v>
      </c>
      <c r="E50" s="63"/>
      <c r="F50" s="64"/>
      <c r="G50" s="68">
        <v>114</v>
      </c>
      <c r="H50" s="65">
        <f>2137.5+10</f>
        <v>2147.5</v>
      </c>
      <c r="I50" s="65"/>
      <c r="J50" s="65">
        <v>18.837719298245613</v>
      </c>
      <c r="K50" s="65"/>
      <c r="L50" s="65"/>
      <c r="M50" s="65"/>
      <c r="N50" s="65"/>
      <c r="O50" s="66"/>
    </row>
    <row r="51" spans="1:17" ht="12.9" customHeight="1" x14ac:dyDescent="0.25">
      <c r="A51" s="60"/>
      <c r="B51" s="61" t="s">
        <v>38</v>
      </c>
      <c r="C51" s="61" t="s">
        <v>39</v>
      </c>
      <c r="D51" s="67">
        <v>40844</v>
      </c>
      <c r="E51" s="63"/>
      <c r="F51" s="64"/>
      <c r="G51" s="68">
        <v>250</v>
      </c>
      <c r="H51" s="65">
        <f>4687.5+11</f>
        <v>4698.5</v>
      </c>
      <c r="I51" s="65"/>
      <c r="J51" s="65">
        <v>18.837719298245613</v>
      </c>
      <c r="K51" s="65"/>
      <c r="L51" s="65"/>
      <c r="M51" s="65"/>
      <c r="N51" s="65"/>
      <c r="O51" s="66"/>
      <c r="Q51" s="69"/>
    </row>
    <row r="52" spans="1:17" ht="12.9" customHeight="1" x14ac:dyDescent="0.25">
      <c r="A52" s="26">
        <v>4</v>
      </c>
      <c r="B52" s="27"/>
      <c r="C52" s="27" t="s">
        <v>40</v>
      </c>
      <c r="D52" s="27"/>
      <c r="E52" s="70" t="s">
        <v>41</v>
      </c>
      <c r="F52" s="45">
        <v>586.85</v>
      </c>
      <c r="G52" s="26">
        <v>500</v>
      </c>
      <c r="H52" s="46">
        <f>J52*G52</f>
        <v>112000</v>
      </c>
      <c r="I52" s="46"/>
      <c r="J52" s="46">
        <v>224</v>
      </c>
      <c r="K52" s="46"/>
      <c r="L52" s="46">
        <v>22.4</v>
      </c>
      <c r="M52" s="46">
        <v>5</v>
      </c>
      <c r="O52" s="47">
        <f t="shared" ref="O52:O69" si="1">SUM(J52:M52)</f>
        <v>251.4</v>
      </c>
    </row>
    <row r="53" spans="1:17" ht="12.9" customHeight="1" x14ac:dyDescent="0.25">
      <c r="A53" s="71">
        <v>5</v>
      </c>
      <c r="B53" s="72"/>
      <c r="C53" s="72" t="s">
        <v>42</v>
      </c>
      <c r="D53" s="72"/>
      <c r="E53" s="73" t="s">
        <v>27</v>
      </c>
      <c r="F53" s="74">
        <v>370.9</v>
      </c>
      <c r="G53" s="71">
        <v>650</v>
      </c>
      <c r="H53" s="75">
        <v>109525</v>
      </c>
      <c r="I53" s="75">
        <v>50000</v>
      </c>
      <c r="J53" s="75">
        <f t="shared" ref="J53:J69" si="2">H53/G53</f>
        <v>168.5</v>
      </c>
      <c r="K53" s="75">
        <f>(I53/G53)</f>
        <v>76.92307692307692</v>
      </c>
      <c r="L53" s="75">
        <v>16.850000000000001</v>
      </c>
      <c r="M53" s="75">
        <v>5</v>
      </c>
      <c r="N53" s="75">
        <v>50</v>
      </c>
      <c r="O53" s="76">
        <f>SUM(J53:M53)</f>
        <v>267.27307692307693</v>
      </c>
    </row>
    <row r="54" spans="1:17" ht="12.9" customHeight="1" x14ac:dyDescent="0.25">
      <c r="A54" s="71">
        <v>5</v>
      </c>
      <c r="B54" s="77" t="s">
        <v>43</v>
      </c>
      <c r="C54" s="77" t="s">
        <v>44</v>
      </c>
      <c r="D54" s="72"/>
      <c r="E54" s="73"/>
      <c r="F54" s="74"/>
      <c r="G54" s="71">
        <v>50</v>
      </c>
      <c r="H54" s="75">
        <v>11850</v>
      </c>
      <c r="I54" s="75"/>
      <c r="J54" s="75">
        <f t="shared" si="2"/>
        <v>237</v>
      </c>
      <c r="K54" s="75"/>
      <c r="L54" s="75"/>
      <c r="M54" s="75"/>
      <c r="N54" s="75"/>
      <c r="O54" s="76">
        <f t="shared" si="1"/>
        <v>237</v>
      </c>
    </row>
    <row r="55" spans="1:17" ht="12.9" customHeight="1" x14ac:dyDescent="0.25">
      <c r="A55" s="71"/>
      <c r="B55" s="77" t="s">
        <v>43</v>
      </c>
      <c r="C55" s="77" t="s">
        <v>44</v>
      </c>
      <c r="D55" s="78">
        <v>39485</v>
      </c>
      <c r="E55" s="73"/>
      <c r="F55" s="74"/>
      <c r="G55" s="71">
        <v>50</v>
      </c>
      <c r="H55" s="75">
        <v>11850</v>
      </c>
      <c r="I55" s="75"/>
      <c r="J55" s="75">
        <f t="shared" si="2"/>
        <v>237</v>
      </c>
      <c r="K55" s="75"/>
      <c r="L55" s="75"/>
      <c r="M55" s="75"/>
      <c r="N55" s="75"/>
      <c r="O55" s="76">
        <f t="shared" si="1"/>
        <v>237</v>
      </c>
    </row>
    <row r="56" spans="1:17" ht="12.9" customHeight="1" x14ac:dyDescent="0.25">
      <c r="A56" s="71"/>
      <c r="B56" s="77" t="s">
        <v>43</v>
      </c>
      <c r="C56" s="77" t="s">
        <v>44</v>
      </c>
      <c r="D56" s="78">
        <v>39797</v>
      </c>
      <c r="E56" s="73"/>
      <c r="F56" s="74"/>
      <c r="G56" s="71">
        <v>50</v>
      </c>
      <c r="H56" s="75">
        <v>13000</v>
      </c>
      <c r="I56" s="75"/>
      <c r="J56" s="75">
        <f t="shared" si="2"/>
        <v>260</v>
      </c>
      <c r="K56" s="75"/>
      <c r="L56" s="75"/>
      <c r="M56" s="75"/>
      <c r="N56" s="75"/>
      <c r="O56" s="76">
        <f t="shared" si="1"/>
        <v>260</v>
      </c>
    </row>
    <row r="57" spans="1:17" ht="12.9" customHeight="1" x14ac:dyDescent="0.25">
      <c r="A57" s="71"/>
      <c r="B57" s="77" t="s">
        <v>43</v>
      </c>
      <c r="C57" s="77" t="s">
        <v>44</v>
      </c>
      <c r="D57" s="78">
        <v>39828</v>
      </c>
      <c r="E57" s="73"/>
      <c r="F57" s="74"/>
      <c r="G57" s="71">
        <v>50</v>
      </c>
      <c r="H57" s="75">
        <v>13000</v>
      </c>
      <c r="I57" s="75"/>
      <c r="J57" s="75">
        <f t="shared" si="2"/>
        <v>260</v>
      </c>
      <c r="K57" s="75"/>
      <c r="L57" s="75"/>
      <c r="M57" s="75"/>
      <c r="N57" s="75"/>
      <c r="O57" s="76">
        <f t="shared" ref="O57:O59" si="3">SUM(J57:M57)</f>
        <v>260</v>
      </c>
    </row>
    <row r="58" spans="1:17" ht="12.9" customHeight="1" x14ac:dyDescent="0.25">
      <c r="A58" s="71"/>
      <c r="B58" s="77" t="s">
        <v>43</v>
      </c>
      <c r="C58" s="77" t="s">
        <v>44</v>
      </c>
      <c r="D58" s="78">
        <v>40120</v>
      </c>
      <c r="E58" s="73"/>
      <c r="F58" s="74"/>
      <c r="G58" s="71">
        <v>50</v>
      </c>
      <c r="H58" s="75">
        <v>13000</v>
      </c>
      <c r="I58" s="75"/>
      <c r="J58" s="75">
        <f t="shared" si="2"/>
        <v>260</v>
      </c>
      <c r="K58" s="75"/>
      <c r="L58" s="75"/>
      <c r="M58" s="75"/>
      <c r="N58" s="75"/>
      <c r="O58" s="76">
        <f t="shared" si="3"/>
        <v>260</v>
      </c>
    </row>
    <row r="59" spans="1:17" ht="12.9" customHeight="1" x14ac:dyDescent="0.25">
      <c r="A59" s="71"/>
      <c r="B59" s="77" t="s">
        <v>43</v>
      </c>
      <c r="C59" s="77" t="s">
        <v>44</v>
      </c>
      <c r="D59" s="78">
        <v>40499</v>
      </c>
      <c r="E59" s="73"/>
      <c r="F59" s="74"/>
      <c r="G59" s="71">
        <v>50</v>
      </c>
      <c r="H59" s="75">
        <v>13000</v>
      </c>
      <c r="I59" s="75"/>
      <c r="J59" s="75">
        <f t="shared" si="2"/>
        <v>260</v>
      </c>
      <c r="K59" s="75"/>
      <c r="L59" s="75"/>
      <c r="M59" s="75"/>
      <c r="N59" s="75"/>
      <c r="O59" s="76">
        <f t="shared" si="3"/>
        <v>260</v>
      </c>
    </row>
    <row r="60" spans="1:17" ht="12.9" customHeight="1" x14ac:dyDescent="0.25">
      <c r="A60" s="79">
        <v>6</v>
      </c>
      <c r="B60" s="80"/>
      <c r="C60" s="80" t="s">
        <v>45</v>
      </c>
      <c r="D60" s="80"/>
      <c r="E60" s="81" t="s">
        <v>46</v>
      </c>
      <c r="F60" s="82">
        <v>397.19900000000001</v>
      </c>
      <c r="G60" s="79">
        <v>600</v>
      </c>
      <c r="H60" s="83">
        <v>240000</v>
      </c>
      <c r="I60" s="83"/>
      <c r="J60" s="83">
        <f t="shared" si="2"/>
        <v>400</v>
      </c>
      <c r="K60" s="83"/>
      <c r="L60" s="83">
        <v>40</v>
      </c>
      <c r="M60" s="83">
        <v>5</v>
      </c>
      <c r="N60" s="83"/>
      <c r="O60" s="84">
        <f t="shared" si="1"/>
        <v>445</v>
      </c>
    </row>
    <row r="61" spans="1:17" ht="12.9" customHeight="1" x14ac:dyDescent="0.25">
      <c r="A61" s="79">
        <v>6</v>
      </c>
      <c r="B61" s="80"/>
      <c r="C61" s="85" t="s">
        <v>47</v>
      </c>
      <c r="D61" s="80"/>
      <c r="E61" s="81"/>
      <c r="F61" s="82"/>
      <c r="G61" s="79">
        <f>50+50</f>
        <v>100</v>
      </c>
      <c r="H61" s="83">
        <v>39450</v>
      </c>
      <c r="I61" s="83"/>
      <c r="J61" s="83">
        <f t="shared" si="2"/>
        <v>394.5</v>
      </c>
      <c r="K61" s="83"/>
      <c r="L61" s="83"/>
      <c r="M61" s="83"/>
      <c r="N61" s="83"/>
      <c r="O61" s="84">
        <f t="shared" si="1"/>
        <v>394.5</v>
      </c>
    </row>
    <row r="62" spans="1:17" ht="12.9" customHeight="1" x14ac:dyDescent="0.25">
      <c r="A62" s="79"/>
      <c r="B62" s="86">
        <v>70002019</v>
      </c>
      <c r="C62" s="85" t="s">
        <v>47</v>
      </c>
      <c r="D62" s="87">
        <v>39580</v>
      </c>
      <c r="E62" s="81"/>
      <c r="F62" s="82"/>
      <c r="G62" s="79">
        <v>50</v>
      </c>
      <c r="H62" s="83">
        <v>21143.54</v>
      </c>
      <c r="I62" s="83"/>
      <c r="J62" s="83">
        <f t="shared" si="2"/>
        <v>422.87080000000003</v>
      </c>
      <c r="K62" s="83"/>
      <c r="L62" s="83"/>
      <c r="M62" s="83"/>
      <c r="N62" s="83"/>
      <c r="O62" s="84">
        <f t="shared" si="1"/>
        <v>422.87080000000003</v>
      </c>
    </row>
    <row r="63" spans="1:17" ht="12.9" customHeight="1" x14ac:dyDescent="0.25">
      <c r="A63" s="79"/>
      <c r="B63" s="86">
        <v>70002019</v>
      </c>
      <c r="C63" s="85" t="s">
        <v>47</v>
      </c>
      <c r="D63" s="87">
        <v>39799</v>
      </c>
      <c r="E63" s="81"/>
      <c r="F63" s="82"/>
      <c r="G63" s="79">
        <v>50</v>
      </c>
      <c r="H63" s="83">
        <v>21110.57</v>
      </c>
      <c r="I63" s="83"/>
      <c r="J63" s="83">
        <f t="shared" si="2"/>
        <v>422.21139999999997</v>
      </c>
      <c r="K63" s="83"/>
      <c r="L63" s="83"/>
      <c r="M63" s="83"/>
      <c r="N63" s="83"/>
      <c r="O63" s="84">
        <f t="shared" si="1"/>
        <v>422.21139999999997</v>
      </c>
    </row>
    <row r="64" spans="1:17" ht="12.9" customHeight="1" x14ac:dyDescent="0.25">
      <c r="A64" s="86"/>
      <c r="B64" s="86">
        <v>70002019</v>
      </c>
      <c r="C64" s="85" t="s">
        <v>47</v>
      </c>
      <c r="D64" s="87">
        <v>39863</v>
      </c>
      <c r="E64" s="81"/>
      <c r="F64" s="82"/>
      <c r="G64" s="79">
        <v>50</v>
      </c>
      <c r="H64" s="83">
        <v>19729.5</v>
      </c>
      <c r="I64" s="83"/>
      <c r="J64" s="83">
        <f t="shared" si="2"/>
        <v>394.59</v>
      </c>
      <c r="K64" s="83"/>
      <c r="L64" s="83"/>
      <c r="M64" s="83"/>
      <c r="N64" s="83"/>
      <c r="O64" s="84">
        <f t="shared" si="1"/>
        <v>394.59</v>
      </c>
    </row>
    <row r="65" spans="1:15" ht="12.9" customHeight="1" x14ac:dyDescent="0.25">
      <c r="A65" s="79"/>
      <c r="B65" s="86">
        <v>70002019</v>
      </c>
      <c r="C65" s="85" t="s">
        <v>47</v>
      </c>
      <c r="D65" s="87">
        <v>40176</v>
      </c>
      <c r="E65" s="81"/>
      <c r="F65" s="82"/>
      <c r="G65" s="79">
        <v>50</v>
      </c>
      <c r="H65" s="83">
        <v>19729.5</v>
      </c>
      <c r="I65" s="83"/>
      <c r="J65" s="83">
        <f t="shared" si="2"/>
        <v>394.59</v>
      </c>
      <c r="K65" s="83"/>
      <c r="L65" s="83"/>
      <c r="M65" s="83"/>
      <c r="N65" s="83"/>
      <c r="O65" s="84">
        <f t="shared" ref="O65:O66" si="4">SUM(J65:M65)</f>
        <v>394.59</v>
      </c>
    </row>
    <row r="66" spans="1:15" ht="12.9" customHeight="1" x14ac:dyDescent="0.25">
      <c r="A66" s="79"/>
      <c r="B66" s="86">
        <v>70002019</v>
      </c>
      <c r="C66" s="85" t="s">
        <v>47</v>
      </c>
      <c r="D66" s="87">
        <v>40540</v>
      </c>
      <c r="E66" s="81"/>
      <c r="F66" s="82"/>
      <c r="G66" s="79">
        <v>50</v>
      </c>
      <c r="H66" s="83">
        <v>19729.5</v>
      </c>
      <c r="I66" s="83"/>
      <c r="J66" s="83">
        <f t="shared" si="2"/>
        <v>394.59</v>
      </c>
      <c r="K66" s="83"/>
      <c r="L66" s="83"/>
      <c r="M66" s="83"/>
      <c r="N66" s="83"/>
      <c r="O66" s="84">
        <f t="shared" si="4"/>
        <v>394.59</v>
      </c>
    </row>
    <row r="67" spans="1:15" ht="12.9" customHeight="1" x14ac:dyDescent="0.25">
      <c r="A67" s="88">
        <v>7</v>
      </c>
      <c r="B67" s="89"/>
      <c r="C67" s="90" t="s">
        <v>48</v>
      </c>
      <c r="D67" s="90"/>
      <c r="E67" s="91" t="s">
        <v>27</v>
      </c>
      <c r="F67" s="92">
        <v>371.30099999999999</v>
      </c>
      <c r="G67" s="88">
        <v>600</v>
      </c>
      <c r="H67" s="93">
        <v>288000</v>
      </c>
      <c r="I67" s="93"/>
      <c r="J67" s="93">
        <f t="shared" si="2"/>
        <v>480</v>
      </c>
      <c r="K67" s="93"/>
      <c r="L67" s="93">
        <v>48</v>
      </c>
      <c r="M67" s="93">
        <v>5</v>
      </c>
      <c r="N67" s="93">
        <v>50</v>
      </c>
      <c r="O67" s="94">
        <f t="shared" si="1"/>
        <v>533</v>
      </c>
    </row>
    <row r="68" spans="1:15" ht="12.9" customHeight="1" x14ac:dyDescent="0.25">
      <c r="A68" s="88">
        <v>7</v>
      </c>
      <c r="B68" s="89"/>
      <c r="C68" s="89" t="s">
        <v>49</v>
      </c>
      <c r="D68" s="95">
        <v>39430</v>
      </c>
      <c r="E68" s="91"/>
      <c r="F68" s="92"/>
      <c r="G68" s="88">
        <f>50+50</f>
        <v>100</v>
      </c>
      <c r="H68" s="93">
        <v>60400</v>
      </c>
      <c r="I68" s="93"/>
      <c r="J68" s="93">
        <f t="shared" si="2"/>
        <v>604</v>
      </c>
      <c r="K68" s="93"/>
      <c r="L68" s="93"/>
      <c r="M68" s="93"/>
      <c r="N68" s="93"/>
      <c r="O68" s="94">
        <f t="shared" si="1"/>
        <v>604</v>
      </c>
    </row>
    <row r="69" spans="1:15" ht="12.9" customHeight="1" x14ac:dyDescent="0.25">
      <c r="A69" s="88"/>
      <c r="B69" s="89" t="s">
        <v>50</v>
      </c>
      <c r="C69" s="89" t="s">
        <v>49</v>
      </c>
      <c r="D69" s="95">
        <v>39793</v>
      </c>
      <c r="E69" s="91"/>
      <c r="F69" s="92"/>
      <c r="G69" s="88">
        <v>50</v>
      </c>
      <c r="H69" s="93">
        <v>32156.9</v>
      </c>
      <c r="I69" s="93"/>
      <c r="J69" s="93">
        <f t="shared" si="2"/>
        <v>643.13800000000003</v>
      </c>
      <c r="K69" s="93"/>
      <c r="L69" s="93"/>
      <c r="M69" s="93"/>
      <c r="N69" s="93"/>
      <c r="O69" s="94">
        <f t="shared" si="1"/>
        <v>643.13800000000003</v>
      </c>
    </row>
    <row r="70" spans="1:15" ht="12.9" customHeight="1" x14ac:dyDescent="0.25">
      <c r="A70" s="26"/>
      <c r="B70" s="27"/>
      <c r="C70" s="27"/>
      <c r="D70" s="27"/>
      <c r="E70" s="44"/>
      <c r="F70" s="45"/>
      <c r="G70" s="26"/>
      <c r="H70" s="46"/>
      <c r="I70" s="46"/>
      <c r="J70" s="46"/>
      <c r="K70" s="46"/>
      <c r="L70" s="46"/>
      <c r="M70" s="46"/>
      <c r="N70" s="46"/>
      <c r="O70" s="47"/>
    </row>
    <row r="71" spans="1:15" ht="12.9" customHeight="1" x14ac:dyDescent="0.25">
      <c r="A71" s="36" t="s">
        <v>51</v>
      </c>
      <c r="B71" s="37"/>
      <c r="C71" s="27"/>
      <c r="D71" s="27"/>
      <c r="E71" s="44"/>
      <c r="F71" s="45"/>
      <c r="G71" s="26"/>
      <c r="H71" s="46"/>
      <c r="I71" s="46"/>
      <c r="J71" s="46"/>
      <c r="K71" s="46"/>
      <c r="L71" s="46"/>
      <c r="M71" s="46"/>
      <c r="O71" s="47"/>
    </row>
    <row r="72" spans="1:15" ht="12.9" customHeight="1" x14ac:dyDescent="0.25">
      <c r="A72" s="26">
        <v>2</v>
      </c>
      <c r="B72" s="27"/>
      <c r="C72" s="27" t="s">
        <v>19</v>
      </c>
      <c r="D72" s="27"/>
      <c r="E72" s="44"/>
      <c r="F72" s="45"/>
      <c r="G72" s="26">
        <v>700</v>
      </c>
      <c r="H72" s="46">
        <f>+H13</f>
        <v>110000</v>
      </c>
      <c r="I72" s="46"/>
      <c r="J72" s="46">
        <f>+J14+J15</f>
        <v>317.99721243685275</v>
      </c>
      <c r="K72" s="46"/>
      <c r="L72" s="46">
        <f>+J72*0.07</f>
        <v>22.259804870579696</v>
      </c>
      <c r="M72" s="46">
        <f>+M13</f>
        <v>5</v>
      </c>
      <c r="N72" s="46">
        <f>+N13</f>
        <v>50</v>
      </c>
      <c r="O72" s="47">
        <f t="shared" ref="O72:O77" si="5">SUM(J72:N72)</f>
        <v>395.25701730743242</v>
      </c>
    </row>
    <row r="73" spans="1:15" ht="12.9" customHeight="1" x14ac:dyDescent="0.25">
      <c r="A73" s="26">
        <v>3</v>
      </c>
      <c r="B73" s="27"/>
      <c r="C73" s="43" t="s">
        <v>52</v>
      </c>
      <c r="D73" s="27"/>
      <c r="E73" s="44"/>
      <c r="F73" s="45"/>
      <c r="G73" s="26">
        <f>SUMIF(B16:B43,"=Base",G16:G43)</f>
        <v>950</v>
      </c>
      <c r="H73" s="46">
        <f>SUM(H16:H43)</f>
        <v>481248.60000000003</v>
      </c>
      <c r="I73" s="46">
        <f>SUM(I16:I43)</f>
        <v>27810</v>
      </c>
      <c r="J73" s="46">
        <f>SUMPRODUCT(G16:G51,J16:J51)/SUMIF(B16:B51,"=Base",G16:G51)</f>
        <v>527.44010507848577</v>
      </c>
      <c r="K73" s="46">
        <f>+I73/G73</f>
        <v>29.273684210526316</v>
      </c>
      <c r="L73" s="46">
        <f>+J73*0.07</f>
        <v>36.920807355494006</v>
      </c>
      <c r="M73" s="46">
        <f>+M16</f>
        <v>5</v>
      </c>
      <c r="N73" s="46">
        <f>+N16</f>
        <v>50</v>
      </c>
      <c r="O73" s="47">
        <f t="shared" si="5"/>
        <v>648.63459664450613</v>
      </c>
    </row>
    <row r="74" spans="1:15" ht="12.9" customHeight="1" x14ac:dyDescent="0.25">
      <c r="A74" s="26">
        <v>4</v>
      </c>
      <c r="B74" s="27"/>
      <c r="C74" s="43" t="s">
        <v>53</v>
      </c>
      <c r="D74" s="27"/>
      <c r="E74" s="44"/>
      <c r="F74" s="45"/>
      <c r="G74" s="26"/>
      <c r="H74" s="46"/>
      <c r="I74" s="46"/>
      <c r="J74" s="46"/>
      <c r="K74" s="46"/>
      <c r="L74" s="46"/>
      <c r="M74" s="46"/>
      <c r="N74" s="46"/>
      <c r="O74" s="47">
        <f t="shared" si="5"/>
        <v>0</v>
      </c>
    </row>
    <row r="75" spans="1:15" ht="12.9" customHeight="1" x14ac:dyDescent="0.25">
      <c r="A75" s="26">
        <v>5</v>
      </c>
      <c r="B75" s="27"/>
      <c r="C75" s="27" t="s">
        <v>42</v>
      </c>
      <c r="D75" s="27"/>
      <c r="E75" s="44"/>
      <c r="F75" s="45"/>
      <c r="G75" s="26">
        <f>SUM(G53:G59)</f>
        <v>950</v>
      </c>
      <c r="H75" s="46">
        <f>SUM(H53:H59)</f>
        <v>185225</v>
      </c>
      <c r="I75" s="46">
        <f>+I53</f>
        <v>50000</v>
      </c>
      <c r="J75" s="46">
        <f>SUMPRODUCT(G53:G59,J53:J59)/SUM(G53:G59)</f>
        <v>194.97368421052633</v>
      </c>
      <c r="K75" s="46">
        <f>+I75/G75</f>
        <v>52.631578947368418</v>
      </c>
      <c r="L75" s="46">
        <f>+J75*0.07</f>
        <v>13.648157894736844</v>
      </c>
      <c r="M75" s="46">
        <f>+M53</f>
        <v>5</v>
      </c>
      <c r="N75" s="46">
        <f>+N53</f>
        <v>50</v>
      </c>
      <c r="O75" s="47">
        <f t="shared" si="5"/>
        <v>316.25342105263161</v>
      </c>
    </row>
    <row r="76" spans="1:15" ht="12.9" customHeight="1" x14ac:dyDescent="0.25">
      <c r="A76" s="26">
        <v>6</v>
      </c>
      <c r="B76" s="27"/>
      <c r="C76" s="27" t="s">
        <v>45</v>
      </c>
      <c r="D76" s="27"/>
      <c r="E76" s="44"/>
      <c r="F76" s="45"/>
      <c r="G76" s="26">
        <f>SUM(G60:G65)</f>
        <v>900</v>
      </c>
      <c r="H76" s="46">
        <f>SUM(H60:H65)</f>
        <v>361163.11</v>
      </c>
      <c r="I76" s="46">
        <f>SUM(I60:I65)</f>
        <v>0</v>
      </c>
      <c r="J76" s="46">
        <f>SUMPRODUCT(G60:G66,J60:J66)/SUM(G60:G66)</f>
        <v>400.93958947368418</v>
      </c>
      <c r="K76" s="46">
        <f>+I76/G76</f>
        <v>0</v>
      </c>
      <c r="L76" s="46">
        <f>+J76*0.07</f>
        <v>28.065771263157895</v>
      </c>
      <c r="M76" s="46">
        <f>SUM(M60:M61)</f>
        <v>5</v>
      </c>
      <c r="N76" s="46">
        <f>SUM(N60:N61)</f>
        <v>0</v>
      </c>
      <c r="O76" s="47">
        <f t="shared" si="5"/>
        <v>434.00536073684208</v>
      </c>
    </row>
    <row r="77" spans="1:15" ht="12.9" customHeight="1" x14ac:dyDescent="0.25">
      <c r="A77" s="26">
        <v>7</v>
      </c>
      <c r="B77" s="27"/>
      <c r="C77" s="43" t="s">
        <v>49</v>
      </c>
      <c r="D77" s="27"/>
      <c r="E77" s="44"/>
      <c r="F77" s="45"/>
      <c r="G77" s="26">
        <f>SUM(G67:G69)</f>
        <v>750</v>
      </c>
      <c r="H77" s="46">
        <f>SUM(H67:H69)</f>
        <v>380556.9</v>
      </c>
      <c r="I77" s="46"/>
      <c r="J77" s="46">
        <f>SUMPRODUCT(G67:G69,J67:J69)/SUM(G67:G69)</f>
        <v>507.40920000000006</v>
      </c>
      <c r="K77" s="46"/>
      <c r="L77" s="46">
        <f>+J77*0.07</f>
        <v>35.518644000000009</v>
      </c>
      <c r="M77" s="46">
        <f>+M67</f>
        <v>5</v>
      </c>
      <c r="N77" s="46">
        <f>+N67</f>
        <v>50</v>
      </c>
      <c r="O77" s="47">
        <f t="shared" si="5"/>
        <v>597.92784400000005</v>
      </c>
    </row>
    <row r="78" spans="1:15" ht="12.9" customHeight="1" x14ac:dyDescent="0.25">
      <c r="A78" s="26"/>
      <c r="B78" s="27"/>
      <c r="C78" s="27"/>
      <c r="D78" s="27"/>
      <c r="E78" s="44"/>
      <c r="F78" s="45"/>
      <c r="G78" s="26"/>
      <c r="H78" s="96"/>
      <c r="I78" s="27"/>
      <c r="J78" s="97"/>
      <c r="K78" s="97"/>
      <c r="L78" s="97"/>
      <c r="M78" s="97"/>
      <c r="N78" s="97"/>
      <c r="O78" s="98"/>
    </row>
    <row r="79" spans="1:15" ht="12.9" customHeight="1" x14ac:dyDescent="0.25">
      <c r="A79" s="26"/>
      <c r="B79" s="27"/>
      <c r="C79" s="27"/>
      <c r="D79" s="27"/>
      <c r="E79" s="44"/>
      <c r="F79" s="45"/>
      <c r="G79" s="26"/>
      <c r="H79" s="96"/>
      <c r="I79" s="27"/>
      <c r="J79" s="97"/>
      <c r="K79" s="97"/>
      <c r="L79" s="97"/>
      <c r="M79" s="97"/>
      <c r="N79" s="97"/>
      <c r="O79" s="98"/>
    </row>
    <row r="80" spans="1:15" ht="12.9" customHeight="1" x14ac:dyDescent="0.25">
      <c r="A80" s="26"/>
      <c r="B80" s="27"/>
      <c r="C80" s="27"/>
      <c r="D80" s="27"/>
      <c r="E80" s="99"/>
      <c r="F80" s="45"/>
      <c r="G80" s="26"/>
      <c r="H80" s="96"/>
      <c r="I80" s="27"/>
      <c r="J80" s="97"/>
      <c r="K80" s="97"/>
      <c r="L80" s="97"/>
      <c r="M80" s="97"/>
      <c r="N80" s="97"/>
      <c r="O80" s="98"/>
    </row>
    <row r="81" spans="1:15" ht="12.9" customHeight="1" x14ac:dyDescent="0.25">
      <c r="A81" s="26"/>
      <c r="B81" s="27"/>
      <c r="C81" s="27"/>
      <c r="D81" s="27"/>
      <c r="E81" s="44"/>
      <c r="F81" s="45"/>
      <c r="G81" s="26"/>
      <c r="H81" s="96"/>
      <c r="I81" s="27"/>
      <c r="J81" s="97"/>
      <c r="K81" s="97"/>
      <c r="L81" s="97"/>
      <c r="M81" s="97"/>
      <c r="N81" s="97"/>
      <c r="O81" s="98"/>
    </row>
    <row r="82" spans="1:15" ht="12.9" customHeight="1" x14ac:dyDescent="0.25">
      <c r="A82" s="26"/>
      <c r="B82" s="27"/>
      <c r="C82" s="27"/>
      <c r="D82" s="27"/>
      <c r="E82" s="44"/>
      <c r="F82" s="45"/>
      <c r="G82" s="26"/>
      <c r="H82" s="27"/>
      <c r="I82" s="27"/>
      <c r="J82" s="27"/>
      <c r="K82" s="27"/>
      <c r="L82" s="27"/>
      <c r="M82" s="27"/>
      <c r="N82" s="27"/>
      <c r="O82" s="100"/>
    </row>
    <row r="83" spans="1:15" ht="12.9" customHeight="1" thickBot="1" x14ac:dyDescent="0.3">
      <c r="A83" s="26"/>
      <c r="B83" s="27"/>
      <c r="C83" s="43" t="s">
        <v>54</v>
      </c>
      <c r="D83" s="27"/>
      <c r="E83" s="44"/>
      <c r="F83" s="45"/>
      <c r="G83" s="26"/>
      <c r="H83" s="101">
        <f>SUM(H72:H77)</f>
        <v>1518193.6099999999</v>
      </c>
      <c r="I83" s="101">
        <f t="shared" ref="I83:O83" si="6">SUM(I72:I77)</f>
        <v>77810</v>
      </c>
      <c r="J83" s="102">
        <f>SUM(J72:J77)</f>
        <v>1948.759791199549</v>
      </c>
      <c r="K83" s="102">
        <f t="shared" si="6"/>
        <v>81.905263157894737</v>
      </c>
      <c r="L83" s="102">
        <f t="shared" si="6"/>
        <v>136.41318538396845</v>
      </c>
      <c r="M83" s="102">
        <f t="shared" si="6"/>
        <v>25</v>
      </c>
      <c r="N83" s="101">
        <f>SUM(N72:N77)</f>
        <v>200</v>
      </c>
      <c r="O83" s="103">
        <f t="shared" si="6"/>
        <v>2392.0782397414123</v>
      </c>
    </row>
    <row r="84" spans="1:15" ht="12.9" customHeight="1" thickTop="1" thickBot="1" x14ac:dyDescent="0.3">
      <c r="A84" s="104"/>
      <c r="B84" s="105"/>
      <c r="C84" s="105"/>
      <c r="D84" s="105"/>
      <c r="E84" s="106"/>
      <c r="F84" s="107"/>
      <c r="G84" s="104"/>
      <c r="H84" s="105"/>
      <c r="I84" s="105"/>
      <c r="J84" s="105"/>
      <c r="K84" s="105"/>
      <c r="L84" s="105"/>
      <c r="M84" s="108"/>
      <c r="N84" s="108"/>
      <c r="O84" s="109"/>
    </row>
    <row r="85" spans="1:15" x14ac:dyDescent="0.25">
      <c r="N85" s="110"/>
    </row>
    <row r="86" spans="1:15" x14ac:dyDescent="0.25">
      <c r="C86" s="1" t="s">
        <v>55</v>
      </c>
      <c r="E86" s="1">
        <v>12</v>
      </c>
    </row>
    <row r="87" spans="1:15" x14ac:dyDescent="0.25">
      <c r="C87" s="1" t="s">
        <v>56</v>
      </c>
      <c r="E87" s="1">
        <v>441</v>
      </c>
      <c r="I87" s="111"/>
      <c r="J87" s="69"/>
      <c r="K87" s="69"/>
    </row>
    <row r="88" spans="1:15" ht="13.8" thickBot="1" x14ac:dyDescent="0.3">
      <c r="C88" s="1" t="s">
        <v>57</v>
      </c>
      <c r="E88" s="112">
        <f>E86/E87</f>
        <v>2.7210884353741496E-2</v>
      </c>
      <c r="J88" s="69"/>
      <c r="K88" s="69"/>
    </row>
    <row r="89" spans="1:15" ht="13.8" thickBot="1" x14ac:dyDescent="0.3">
      <c r="I89" s="113" t="s">
        <v>72</v>
      </c>
      <c r="J89" s="114"/>
      <c r="K89" s="114"/>
      <c r="L89" s="115"/>
      <c r="M89" s="116"/>
      <c r="N89" s="117"/>
    </row>
    <row r="90" spans="1:15" x14ac:dyDescent="0.25">
      <c r="C90" s="112" t="s">
        <v>58</v>
      </c>
      <c r="E90" s="1">
        <v>3</v>
      </c>
      <c r="K90" s="69"/>
    </row>
    <row r="91" spans="1:15" x14ac:dyDescent="0.25">
      <c r="C91" s="112" t="s">
        <v>59</v>
      </c>
      <c r="E91" s="1">
        <v>35</v>
      </c>
      <c r="F91" s="122" t="s">
        <v>73</v>
      </c>
    </row>
    <row r="92" spans="1:15" x14ac:dyDescent="0.25">
      <c r="C92" s="1" t="s">
        <v>57</v>
      </c>
      <c r="E92" s="112">
        <f>E90/E91</f>
        <v>8.5714285714285715E-2</v>
      </c>
    </row>
    <row r="94" spans="1:15" x14ac:dyDescent="0.25">
      <c r="C94" s="118" t="s">
        <v>60</v>
      </c>
    </row>
    <row r="95" spans="1:15" x14ac:dyDescent="0.25">
      <c r="C95" s="111" t="s">
        <v>61</v>
      </c>
    </row>
    <row r="96" spans="1:15" x14ac:dyDescent="0.25">
      <c r="C96" s="111" t="s">
        <v>62</v>
      </c>
    </row>
    <row r="97" spans="3:15" x14ac:dyDescent="0.25">
      <c r="C97" s="111" t="s">
        <v>63</v>
      </c>
    </row>
    <row r="98" spans="3:15" x14ac:dyDescent="0.25">
      <c r="C98" s="111"/>
      <c r="O98" s="119"/>
    </row>
    <row r="99" spans="3:15" x14ac:dyDescent="0.25">
      <c r="C99" s="118" t="s">
        <v>64</v>
      </c>
    </row>
    <row r="100" spans="3:15" x14ac:dyDescent="0.25">
      <c r="C100" s="1" t="s">
        <v>65</v>
      </c>
    </row>
    <row r="101" spans="3:15" x14ac:dyDescent="0.25">
      <c r="C101" s="1" t="s">
        <v>66</v>
      </c>
    </row>
    <row r="102" spans="3:15" x14ac:dyDescent="0.25">
      <c r="C102" s="1" t="s">
        <v>67</v>
      </c>
    </row>
    <row r="103" spans="3:15" x14ac:dyDescent="0.25">
      <c r="C103" s="1" t="s">
        <v>68</v>
      </c>
    </row>
    <row r="104" spans="3:15" x14ac:dyDescent="0.25">
      <c r="C104" s="1" t="s">
        <v>69</v>
      </c>
    </row>
    <row r="105" spans="3:15" x14ac:dyDescent="0.25">
      <c r="C105" s="111" t="s">
        <v>70</v>
      </c>
    </row>
    <row r="106" spans="3:15" x14ac:dyDescent="0.25">
      <c r="C106" s="120" t="s">
        <v>71</v>
      </c>
      <c r="D106" s="121"/>
    </row>
  </sheetData>
  <mergeCells count="1">
    <mergeCell ref="J6:O6"/>
  </mergeCells>
  <pageMargins left="0.25" right="0.25" top="0.75" bottom="0.75" header="0.5" footer="0.5"/>
  <pageSetup scale="5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5A93A-DAE0-4BC6-94C2-93349150792E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c85253b9-0a55-49a1-98ad-b5b6252d70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8DC824-4B07-48B8-B061-6EF0F0463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951FC-481C-4AAB-BDC1-457AAE884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CILC-CDR Equip</vt:lpstr>
      <vt:lpstr>'Historical CILC-CDR Equip'!Print_Area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2015-04-28T13:39:56Z</dcterms:created>
  <dcterms:modified xsi:type="dcterms:W3CDTF">2016-04-16T19:14:52Z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