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20016" windowHeight="7032" tabRatio="757"/>
  </bookViews>
  <sheets>
    <sheet name="2017 WCEC3 Rate Calc" sheetId="1" r:id="rId1"/>
    <sheet name="2017 Clause Allocations" sheetId="5" r:id="rId2"/>
    <sheet name="2018 WCEC3 Rate Calc" sheetId="4" r:id="rId3"/>
    <sheet name="2018 Clause Allocations" sheetId="6" r:id="rId4"/>
    <sheet name="Sheet2" sheetId="2" r:id="rId5"/>
    <sheet name="Sheet3" sheetId="3" r:id="rId6"/>
  </sheets>
  <definedNames>
    <definedName name="co_name_line1" localSheetId="3">#REF!</definedName>
    <definedName name="co_name_line1">#REF!</definedName>
    <definedName name="co_name_line2" localSheetId="3">#REF!</definedName>
    <definedName name="co_name_line2">#REF!</definedName>
    <definedName name="docket_num" localSheetId="3">#REF!</definedName>
    <definedName name="docket_num">#REF!</definedName>
    <definedName name="HISTORICAL_YEAR_DATE" localSheetId="3">#REF!</definedName>
    <definedName name="HISTORICAL_YEAR_DATE">#REF!</definedName>
    <definedName name="HISTORICAL_YEAR_X" localSheetId="3">#REF!</definedName>
    <definedName name="HISTORICAL_YEAR_X">#REF!</definedName>
    <definedName name="PAGE_1_END" localSheetId="3">#REF!</definedName>
    <definedName name="PAGE_1_END">#REF!</definedName>
    <definedName name="PAGE_1_START" localSheetId="3">#REF!</definedName>
    <definedName name="PAGE_1_START">#REF!</definedName>
    <definedName name="_xlnm.Print_Area">#REF!</definedName>
    <definedName name="PRIOR_YEAR_DATE" localSheetId="3">#REF!</definedName>
    <definedName name="PRIOR_YEAR_DATE">#REF!</definedName>
    <definedName name="PRIOR_YEAR_X" localSheetId="3">#REF!</definedName>
    <definedName name="PRIOR_YEAR_X">#REF!</definedName>
    <definedName name="SUBSEQUENT_YEAR_DATE" localSheetId="3">#REF!</definedName>
    <definedName name="SUBSEQUENT_YEAR_DATE">#REF!</definedName>
    <definedName name="SUBSEQUENT_YEAR_X" localSheetId="3">#REF!</definedName>
    <definedName name="SUBSEQUENT_YEAR_X">#REF!</definedName>
    <definedName name="TEST_YEAR_DATE" localSheetId="3">#REF!</definedName>
    <definedName name="TEST_YEAR_DATE">#REF!</definedName>
    <definedName name="TEST_YEAR_X" localSheetId="3">#REF!</definedName>
    <definedName name="TEST_YEAR_X">#REF!</definedName>
  </definedNames>
  <calcPr calcId="145621"/>
</workbook>
</file>

<file path=xl/calcChain.xml><?xml version="1.0" encoding="utf-8"?>
<calcChain xmlns="http://schemas.openxmlformats.org/spreadsheetml/2006/main">
  <c r="C24" i="6" l="1"/>
  <c r="U20" i="4"/>
  <c r="I20" i="4"/>
  <c r="C17" i="6" l="1"/>
  <c r="U13" i="4"/>
  <c r="I13" i="4"/>
  <c r="C20" i="6"/>
  <c r="I16" i="4"/>
  <c r="U16" i="4"/>
  <c r="C18" i="6"/>
  <c r="U14" i="4"/>
  <c r="I14" i="4"/>
  <c r="C21" i="6"/>
  <c r="U17" i="4"/>
  <c r="I17" i="4"/>
  <c r="C19" i="6"/>
  <c r="H19" i="6" s="1"/>
  <c r="V15" i="4" s="1"/>
  <c r="U15" i="4"/>
  <c r="I15" i="4"/>
  <c r="C16" i="6"/>
  <c r="U12" i="4"/>
  <c r="I12" i="4"/>
  <c r="C15" i="6"/>
  <c r="U11" i="4"/>
  <c r="I11" i="4"/>
  <c r="C13" i="6"/>
  <c r="U9" i="4"/>
  <c r="I9" i="4"/>
  <c r="C25" i="6" l="1"/>
  <c r="U21" i="4"/>
  <c r="I21" i="4"/>
  <c r="C26" i="6"/>
  <c r="I22" i="4"/>
  <c r="U22" i="4"/>
  <c r="W15" i="4"/>
  <c r="C23" i="6" l="1"/>
  <c r="U19" i="4"/>
  <c r="I19" i="4"/>
  <c r="C14" i="6"/>
  <c r="U10" i="4"/>
  <c r="I10" i="4"/>
  <c r="H23" i="6" l="1"/>
  <c r="V19" i="4" s="1"/>
  <c r="W19" i="4" s="1"/>
  <c r="G28" i="6"/>
  <c r="C22" i="6" l="1"/>
  <c r="U18" i="4"/>
  <c r="U24" i="4" s="1"/>
  <c r="I18" i="4"/>
  <c r="E24" i="4"/>
  <c r="I24" i="4" l="1"/>
  <c r="H22" i="6"/>
  <c r="V18" i="4" s="1"/>
  <c r="W18" i="4" s="1"/>
  <c r="C28" i="6"/>
  <c r="K20" i="4" l="1"/>
  <c r="P20" i="4" s="1"/>
  <c r="R20" i="4" s="1"/>
  <c r="K15" i="4"/>
  <c r="P15" i="4" s="1"/>
  <c r="R15" i="4" s="1"/>
  <c r="K14" i="4"/>
  <c r="P14" i="4" s="1"/>
  <c r="R14" i="4" s="1"/>
  <c r="K16" i="4"/>
  <c r="P16" i="4" s="1"/>
  <c r="R16" i="4" s="1"/>
  <c r="K17" i="4"/>
  <c r="P17" i="4" s="1"/>
  <c r="R17" i="4" s="1"/>
  <c r="K11" i="4"/>
  <c r="P11" i="4" s="1"/>
  <c r="R11" i="4" s="1"/>
  <c r="K9" i="4"/>
  <c r="K13" i="4"/>
  <c r="P13" i="4" s="1"/>
  <c r="R13" i="4" s="1"/>
  <c r="K12" i="4"/>
  <c r="P12" i="4" s="1"/>
  <c r="R12" i="4" s="1"/>
  <c r="K21" i="4"/>
  <c r="P21" i="4" s="1"/>
  <c r="R21" i="4" s="1"/>
  <c r="K22" i="4"/>
  <c r="P22" i="4" s="1"/>
  <c r="R22" i="4" s="1"/>
  <c r="K19" i="4"/>
  <c r="P19" i="4" s="1"/>
  <c r="R19" i="4" s="1"/>
  <c r="K10" i="4"/>
  <c r="P10" i="4" s="1"/>
  <c r="R10" i="4" s="1"/>
  <c r="K18" i="4"/>
  <c r="P18" i="4" s="1"/>
  <c r="R18" i="4" s="1"/>
  <c r="K24" i="4" l="1"/>
  <c r="P9" i="4"/>
  <c r="R9" i="4" s="1"/>
  <c r="R24" i="4" l="1"/>
  <c r="C14" i="5" l="1"/>
  <c r="U10" i="1"/>
  <c r="I10" i="1"/>
  <c r="C17" i="5"/>
  <c r="U13" i="1"/>
  <c r="I13" i="1"/>
  <c r="C23" i="5"/>
  <c r="U19" i="1"/>
  <c r="I19" i="1"/>
  <c r="C19" i="5"/>
  <c r="U15" i="1"/>
  <c r="I15" i="1"/>
  <c r="C24" i="5"/>
  <c r="I20" i="1"/>
  <c r="U20" i="1"/>
  <c r="C16" i="5"/>
  <c r="U12" i="1"/>
  <c r="I12" i="1"/>
  <c r="C20" i="5"/>
  <c r="U16" i="1"/>
  <c r="I16" i="1"/>
  <c r="C15" i="5"/>
  <c r="I11" i="1"/>
  <c r="U11" i="1"/>
  <c r="C13" i="5"/>
  <c r="I9" i="1"/>
  <c r="U9" i="1"/>
  <c r="C21" i="5"/>
  <c r="I17" i="1"/>
  <c r="U17" i="1"/>
  <c r="C18" i="5"/>
  <c r="I14" i="1"/>
  <c r="U14" i="1"/>
  <c r="G28" i="5"/>
  <c r="C25" i="5" l="1"/>
  <c r="U21" i="1"/>
  <c r="I21" i="1"/>
  <c r="C26" i="5"/>
  <c r="U22" i="1"/>
  <c r="I22" i="1"/>
  <c r="C22" i="5"/>
  <c r="I18" i="1"/>
  <c r="U18" i="1"/>
  <c r="E24" i="1"/>
  <c r="H23" i="5"/>
  <c r="V19" i="1" s="1"/>
  <c r="W19" i="1" s="1"/>
  <c r="H19" i="5"/>
  <c r="V15" i="1" s="1"/>
  <c r="W15" i="1" s="1"/>
  <c r="U24" i="1" l="1"/>
  <c r="C28" i="5"/>
  <c r="I24" i="1"/>
  <c r="K16" i="1" s="1"/>
  <c r="P16" i="1" s="1"/>
  <c r="R16" i="1" s="1"/>
  <c r="H22" i="5"/>
  <c r="V18" i="1" s="1"/>
  <c r="W18" i="1" s="1"/>
  <c r="K9" i="1" l="1"/>
  <c r="P9" i="1" s="1"/>
  <c r="R9" i="1" s="1"/>
  <c r="K20" i="1"/>
  <c r="P20" i="1" s="1"/>
  <c r="R20" i="1" s="1"/>
  <c r="K21" i="1"/>
  <c r="P21" i="1" s="1"/>
  <c r="R21" i="1" s="1"/>
  <c r="K12" i="1"/>
  <c r="P12" i="1" s="1"/>
  <c r="R12" i="1" s="1"/>
  <c r="K19" i="1"/>
  <c r="P19" i="1" s="1"/>
  <c r="R19" i="1" s="1"/>
  <c r="K15" i="1"/>
  <c r="P15" i="1" s="1"/>
  <c r="R15" i="1" s="1"/>
  <c r="K22" i="1"/>
  <c r="P22" i="1" s="1"/>
  <c r="R22" i="1" s="1"/>
  <c r="K13" i="1"/>
  <c r="P13" i="1" s="1"/>
  <c r="R13" i="1" s="1"/>
  <c r="K14" i="1"/>
  <c r="P14" i="1" s="1"/>
  <c r="R14" i="1" s="1"/>
  <c r="K17" i="1"/>
  <c r="P17" i="1" s="1"/>
  <c r="R17" i="1" s="1"/>
  <c r="K18" i="1"/>
  <c r="P18" i="1" s="1"/>
  <c r="R18" i="1" s="1"/>
  <c r="K11" i="1"/>
  <c r="P11" i="1" s="1"/>
  <c r="R11" i="1" s="1"/>
  <c r="K10" i="1"/>
  <c r="P10" i="1" s="1"/>
  <c r="R10" i="1" s="1"/>
  <c r="K24" i="1" l="1"/>
  <c r="R24" i="1"/>
  <c r="D24" i="6" l="1"/>
  <c r="B24" i="6" s="1"/>
  <c r="J20" i="4"/>
  <c r="H17" i="6"/>
  <c r="V13" i="4" s="1"/>
  <c r="W13" i="4" s="1"/>
  <c r="H15" i="6"/>
  <c r="V11" i="4" s="1"/>
  <c r="W11" i="4" s="1"/>
  <c r="H20" i="6"/>
  <c r="V16" i="4" s="1"/>
  <c r="W16" i="4" s="1"/>
  <c r="H21" i="6"/>
  <c r="V17" i="4" s="1"/>
  <c r="W17" i="4" s="1"/>
  <c r="H18" i="6"/>
  <c r="V14" i="4" s="1"/>
  <c r="W14" i="4" s="1"/>
  <c r="H16" i="6"/>
  <c r="H14" i="6"/>
  <c r="D14" i="6" l="1"/>
  <c r="B14" i="6" s="1"/>
  <c r="J10" i="4"/>
  <c r="D17" i="6"/>
  <c r="B17" i="6" s="1"/>
  <c r="J13" i="4"/>
  <c r="D18" i="6"/>
  <c r="B18" i="6" s="1"/>
  <c r="J14" i="4"/>
  <c r="D13" i="6"/>
  <c r="J9" i="4"/>
  <c r="D20" i="6"/>
  <c r="B20" i="6" s="1"/>
  <c r="J16" i="4"/>
  <c r="D21" i="6"/>
  <c r="B21" i="6" s="1"/>
  <c r="J17" i="4"/>
  <c r="D16" i="6"/>
  <c r="B16" i="6" s="1"/>
  <c r="J12" i="4"/>
  <c r="D15" i="6"/>
  <c r="B15" i="6" s="1"/>
  <c r="J11" i="4"/>
  <c r="H13" i="6"/>
  <c r="E28" i="6"/>
  <c r="H24" i="6"/>
  <c r="V20" i="4" s="1"/>
  <c r="W20" i="4" s="1"/>
  <c r="W24" i="4" s="1"/>
  <c r="D23" i="6" l="1"/>
  <c r="B23" i="6" s="1"/>
  <c r="J19" i="4"/>
  <c r="D19" i="6"/>
  <c r="B19" i="6" s="1"/>
  <c r="J15" i="4"/>
  <c r="B13" i="6"/>
  <c r="H26" i="6"/>
  <c r="D26" i="6" l="1"/>
  <c r="B26" i="6" s="1"/>
  <c r="J22" i="4"/>
  <c r="D25" i="6"/>
  <c r="B25" i="6" s="1"/>
  <c r="J21" i="4"/>
  <c r="D22" i="6"/>
  <c r="J18" i="4"/>
  <c r="F24" i="4"/>
  <c r="H25" i="6"/>
  <c r="F28" i="6"/>
  <c r="J24" i="4" l="1"/>
  <c r="L22" i="4"/>
  <c r="Q22" i="4" s="1"/>
  <c r="S22" i="4" s="1"/>
  <c r="T22" i="4" s="1"/>
  <c r="Y22" i="4" s="1"/>
  <c r="B22" i="6"/>
  <c r="D28" i="6"/>
  <c r="L19" i="4" l="1"/>
  <c r="Q19" i="4" s="1"/>
  <c r="S19" i="4" s="1"/>
  <c r="T19" i="4" s="1"/>
  <c r="X19" i="4" s="1"/>
  <c r="AA17" i="4"/>
  <c r="Z17" i="4"/>
  <c r="Z16" i="4"/>
  <c r="AA16" i="4"/>
  <c r="L20" i="4"/>
  <c r="Q20" i="4" s="1"/>
  <c r="S20" i="4" s="1"/>
  <c r="T20" i="4" s="1"/>
  <c r="X20" i="4" s="1"/>
  <c r="L9" i="4"/>
  <c r="L14" i="4"/>
  <c r="Q14" i="4" s="1"/>
  <c r="S14" i="4" s="1"/>
  <c r="T14" i="4" s="1"/>
  <c r="X14" i="4" s="1"/>
  <c r="L17" i="4"/>
  <c r="Q17" i="4" s="1"/>
  <c r="S17" i="4" s="1"/>
  <c r="T17" i="4" s="1"/>
  <c r="L12" i="4"/>
  <c r="Q12" i="4" s="1"/>
  <c r="S12" i="4" s="1"/>
  <c r="T12" i="4" s="1"/>
  <c r="Y12" i="4" s="1"/>
  <c r="L10" i="4"/>
  <c r="Q10" i="4" s="1"/>
  <c r="S10" i="4" s="1"/>
  <c r="T10" i="4" s="1"/>
  <c r="Y10" i="4" s="1"/>
  <c r="L16" i="4"/>
  <c r="Q16" i="4" s="1"/>
  <c r="S16" i="4" s="1"/>
  <c r="T16" i="4" s="1"/>
  <c r="L13" i="4"/>
  <c r="Q13" i="4" s="1"/>
  <c r="S13" i="4" s="1"/>
  <c r="T13" i="4" s="1"/>
  <c r="X13" i="4" s="1"/>
  <c r="L11" i="4"/>
  <c r="Q11" i="4" s="1"/>
  <c r="S11" i="4" s="1"/>
  <c r="T11" i="4" s="1"/>
  <c r="X11" i="4" s="1"/>
  <c r="L15" i="4"/>
  <c r="Q15" i="4" s="1"/>
  <c r="S15" i="4" s="1"/>
  <c r="T15" i="4" s="1"/>
  <c r="X15" i="4" s="1"/>
  <c r="L18" i="4"/>
  <c r="Q18" i="4" s="1"/>
  <c r="S18" i="4" s="1"/>
  <c r="T18" i="4" s="1"/>
  <c r="X18" i="4" s="1"/>
  <c r="L21" i="4"/>
  <c r="Q21" i="4" s="1"/>
  <c r="S21" i="4" s="1"/>
  <c r="T21" i="4" s="1"/>
  <c r="Y21" i="4" s="1"/>
  <c r="L24" i="4" l="1"/>
  <c r="Q9" i="4"/>
  <c r="S9" i="4" s="1"/>
  <c r="S24" i="4" l="1"/>
  <c r="T9" i="4"/>
  <c r="Y9" i="4" s="1"/>
  <c r="H18" i="5" l="1"/>
  <c r="V14" i="1" s="1"/>
  <c r="W14" i="1" s="1"/>
  <c r="H14" i="5"/>
  <c r="H20" i="5"/>
  <c r="V16" i="1" s="1"/>
  <c r="W16" i="1" s="1"/>
  <c r="H16" i="5"/>
  <c r="H15" i="5"/>
  <c r="V11" i="1" s="1"/>
  <c r="W11" i="1" s="1"/>
  <c r="H17" i="5"/>
  <c r="V13" i="1" s="1"/>
  <c r="W13" i="1" s="1"/>
  <c r="D18" i="5" l="1"/>
  <c r="B18" i="5" s="1"/>
  <c r="J14" i="1"/>
  <c r="D13" i="5"/>
  <c r="J9" i="1"/>
  <c r="H21" i="5"/>
  <c r="V17" i="1" s="1"/>
  <c r="W17" i="1" s="1"/>
  <c r="H26" i="5"/>
  <c r="H13" i="5"/>
  <c r="H25" i="5"/>
  <c r="D16" i="5" l="1"/>
  <c r="B16" i="5" s="1"/>
  <c r="J12" i="1"/>
  <c r="D24" i="5"/>
  <c r="B24" i="5" s="1"/>
  <c r="J20" i="1"/>
  <c r="D19" i="5"/>
  <c r="B19" i="5" s="1"/>
  <c r="J15" i="1"/>
  <c r="D17" i="5"/>
  <c r="B17" i="5" s="1"/>
  <c r="J13" i="1"/>
  <c r="D14" i="5"/>
  <c r="B14" i="5" s="1"/>
  <c r="J10" i="1"/>
  <c r="D15" i="5"/>
  <c r="B15" i="5" s="1"/>
  <c r="J11" i="1"/>
  <c r="D20" i="5"/>
  <c r="B20" i="5" s="1"/>
  <c r="J16" i="1"/>
  <c r="D23" i="5"/>
  <c r="B23" i="5" s="1"/>
  <c r="J19" i="1"/>
  <c r="F28" i="5"/>
  <c r="E28" i="5"/>
  <c r="H24" i="5"/>
  <c r="V20" i="1" s="1"/>
  <c r="W20" i="1" s="1"/>
  <c r="W24" i="1" s="1"/>
  <c r="B13" i="5"/>
  <c r="D21" i="5" l="1"/>
  <c r="B21" i="5" s="1"/>
  <c r="J17" i="1"/>
  <c r="F24" i="1"/>
  <c r="D22" i="5"/>
  <c r="B22" i="5" s="1"/>
  <c r="J18" i="1"/>
  <c r="D26" i="5"/>
  <c r="B26" i="5" s="1"/>
  <c r="J22" i="1"/>
  <c r="D25" i="5"/>
  <c r="B25" i="5" s="1"/>
  <c r="J21" i="1"/>
  <c r="J24" i="1" l="1"/>
  <c r="L21" i="1" s="1"/>
  <c r="Q21" i="1" s="1"/>
  <c r="S21" i="1" s="1"/>
  <c r="T21" i="1" s="1"/>
  <c r="Y21" i="1" s="1"/>
  <c r="Z16" i="1"/>
  <c r="Z17" i="1"/>
  <c r="AA17" i="1"/>
  <c r="AA16" i="1"/>
  <c r="L9" i="1"/>
  <c r="L13" i="1"/>
  <c r="Q13" i="1" s="1"/>
  <c r="S13" i="1" s="1"/>
  <c r="T13" i="1" s="1"/>
  <c r="X13" i="1" s="1"/>
  <c r="L16" i="1"/>
  <c r="Q16" i="1" s="1"/>
  <c r="S16" i="1" s="1"/>
  <c r="T16" i="1" s="1"/>
  <c r="L12" i="1"/>
  <c r="Q12" i="1" s="1"/>
  <c r="S12" i="1" s="1"/>
  <c r="T12" i="1" s="1"/>
  <c r="Y12" i="1" s="1"/>
  <c r="L20" i="1"/>
  <c r="Q20" i="1" s="1"/>
  <c r="S20" i="1" s="1"/>
  <c r="T20" i="1" s="1"/>
  <c r="X20" i="1" s="1"/>
  <c r="L10" i="1"/>
  <c r="Q10" i="1" s="1"/>
  <c r="S10" i="1" s="1"/>
  <c r="T10" i="1" s="1"/>
  <c r="Y10" i="1" s="1"/>
  <c r="D28" i="5"/>
  <c r="L17" i="1"/>
  <c r="Q17" i="1" s="1"/>
  <c r="S17" i="1" s="1"/>
  <c r="T17" i="1" s="1"/>
  <c r="L18" i="1"/>
  <c r="Q18" i="1" s="1"/>
  <c r="S18" i="1" s="1"/>
  <c r="T18" i="1" s="1"/>
  <c r="X18" i="1" s="1"/>
  <c r="L11" i="1" l="1"/>
  <c r="Q11" i="1" s="1"/>
  <c r="S11" i="1" s="1"/>
  <c r="T11" i="1" s="1"/>
  <c r="X11" i="1" s="1"/>
  <c r="L22" i="1"/>
  <c r="Q22" i="1" s="1"/>
  <c r="S22" i="1" s="1"/>
  <c r="T22" i="1" s="1"/>
  <c r="Y22" i="1" s="1"/>
  <c r="L15" i="1"/>
  <c r="Q15" i="1" s="1"/>
  <c r="S15" i="1" s="1"/>
  <c r="T15" i="1" s="1"/>
  <c r="X15" i="1" s="1"/>
  <c r="L19" i="1"/>
  <c r="Q19" i="1" s="1"/>
  <c r="S19" i="1" s="1"/>
  <c r="T19" i="1" s="1"/>
  <c r="X19" i="1" s="1"/>
  <c r="L14" i="1"/>
  <c r="Q14" i="1" s="1"/>
  <c r="S14" i="1" s="1"/>
  <c r="T14" i="1" s="1"/>
  <c r="X14" i="1" s="1"/>
  <c r="Q9" i="1"/>
  <c r="S9" i="1" s="1"/>
  <c r="L24" i="1" l="1"/>
  <c r="S24" i="1"/>
  <c r="T9" i="1"/>
  <c r="Y9" i="1" s="1"/>
</calcChain>
</file>

<file path=xl/sharedStrings.xml><?xml version="1.0" encoding="utf-8"?>
<sst xmlns="http://schemas.openxmlformats.org/spreadsheetml/2006/main" count="462" uniqueCount="113">
  <si>
    <t>SL-1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</si>
  <si>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</si>
  <si>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</si>
  <si>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</si>
  <si>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</si>
  <si>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</si>
  <si>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</si>
  <si>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</si>
  <si>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</si>
  <si>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</si>
  <si>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</si>
  <si>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AVG 12CP</t>
  </si>
  <si>
    <t>Projected</t>
  </si>
  <si>
    <t>Demand</t>
  </si>
  <si>
    <t>Energy</t>
  </si>
  <si>
    <t>Percentage</t>
  </si>
  <si>
    <t>Total</t>
  </si>
  <si>
    <t>Billing KW</t>
  </si>
  <si>
    <t xml:space="preserve">Projected </t>
  </si>
  <si>
    <t>Capacity</t>
  </si>
  <si>
    <t>Rate Schedule</t>
  </si>
  <si>
    <t>Load Factor</t>
  </si>
  <si>
    <t>Sales at</t>
  </si>
  <si>
    <t>AVG 12 CP</t>
  </si>
  <si>
    <t>Loss</t>
  </si>
  <si>
    <t>of Sales at</t>
  </si>
  <si>
    <t>of Demand at</t>
  </si>
  <si>
    <t>Related Cost</t>
  </si>
  <si>
    <t>Billed KW</t>
  </si>
  <si>
    <t>Recovery</t>
  </si>
  <si>
    <t>at Meter</t>
  </si>
  <si>
    <t>Meter</t>
  </si>
  <si>
    <t>Expansion</t>
  </si>
  <si>
    <t>Generation</t>
  </si>
  <si>
    <t>at Generation</t>
  </si>
  <si>
    <t>Costs</t>
  </si>
  <si>
    <t>Factor</t>
  </si>
  <si>
    <t>(%)</t>
  </si>
  <si>
    <t>(kwh)</t>
  </si>
  <si>
    <t>(kW)</t>
  </si>
  <si>
    <t>($)</t>
  </si>
  <si>
    <t>(kw)</t>
  </si>
  <si>
    <t>($/kw)</t>
  </si>
  <si>
    <t>($/kwh)</t>
  </si>
  <si>
    <t>RS(T)-1</t>
  </si>
  <si>
    <t>RS1/RST1</t>
  </si>
  <si>
    <t>-</t>
  </si>
  <si>
    <t>GS(T)-1</t>
  </si>
  <si>
    <t>GS1/GST1</t>
  </si>
  <si>
    <t>GS1/GST1/WIES1</t>
  </si>
  <si>
    <t>GSD(T)-1</t>
  </si>
  <si>
    <t>GSD1/GSDT1/HLFT1 (21-499 kW)</t>
  </si>
  <si>
    <t>OS-2</t>
  </si>
  <si>
    <t>OS2</t>
  </si>
  <si>
    <t>GSLD(T)-1</t>
  </si>
  <si>
    <t>GSLD1/GSLDT1/CS1/CST1/HLFT2 (500-1,999 kW)</t>
  </si>
  <si>
    <t>GSLD(T)-2</t>
  </si>
  <si>
    <t>GSLD2/GSLDT2/CS2/CST2/HLFT3(2,000+ kW)</t>
  </si>
  <si>
    <t>GSLD2/GSLDT2/CS2/CST2/HLFT3 (2,000+ kW)</t>
  </si>
  <si>
    <t>GSLD(T)-3</t>
  </si>
  <si>
    <t>GSLD3/GSLDT3/CS3/CST3</t>
  </si>
  <si>
    <t>SST-TST</t>
  </si>
  <si>
    <t>SST-DST</t>
  </si>
  <si>
    <t>CILC-1D</t>
  </si>
  <si>
    <t>CILC D/CILC G</t>
  </si>
  <si>
    <t>CILC-1T</t>
  </si>
  <si>
    <t>CILC T</t>
  </si>
  <si>
    <t>MET</t>
  </si>
  <si>
    <t>OL1/SL1/PL1</t>
  </si>
  <si>
    <t>SL2, GSCU1</t>
  </si>
  <si>
    <t>SL2/GSCU1</t>
  </si>
  <si>
    <t>TOTAL</t>
  </si>
  <si>
    <t>SL-2</t>
  </si>
  <si>
    <t>SST1T/ISST1T</t>
  </si>
  <si>
    <t>SST1D1/SST1D2/SST1D3/ISST1D</t>
  </si>
  <si>
    <t>GSD(T)-1 / HLFT-1 / SDTR-1A &amp; 1B</t>
  </si>
  <si>
    <t>GSLD(T)-1 / CS(T)-1 / HLFT-2 / SDTR-2A &amp; 2B</t>
  </si>
  <si>
    <t>GSLD(T)-2 / CS(T)-2 / HLFT-3 / SDTR-3A &amp; 3B</t>
  </si>
  <si>
    <t>GSLD(T)-3 / CS(T)-3</t>
  </si>
  <si>
    <t>SST-1T</t>
  </si>
  <si>
    <t>SST-1D</t>
  </si>
  <si>
    <t>CILC-1D/CILC-1G</t>
  </si>
  <si>
    <t>OL-1 / SL-1</t>
  </si>
  <si>
    <t>SL-2 / GSCU-1</t>
  </si>
  <si>
    <t>RATE LOAD RESEARCH INPUT</t>
  </si>
  <si>
    <t>(Utilized for calculation of recovery factors for the capacity, environmental, and conservation clauses)</t>
  </si>
  <si>
    <t>RATE</t>
  </si>
  <si>
    <t>ANNUAL</t>
  </si>
  <si>
    <t>LOAD FACTOR</t>
  </si>
  <si>
    <t>CLASS</t>
  </si>
  <si>
    <t>SALES</t>
  </si>
  <si>
    <t>(KW) (3)</t>
  </si>
  <si>
    <t>AVG 12 GCP (4)</t>
  </si>
  <si>
    <t xml:space="preserve">AVG 12 NCP (5) </t>
  </si>
  <si>
    <t xml:space="preserve">AVG 12 NCP on Peak (6) </t>
  </si>
  <si>
    <t>LF % (7)</t>
  </si>
  <si>
    <t>% (1)</t>
  </si>
  <si>
    <t>(KWH) (2)</t>
  </si>
  <si>
    <t>(kW) (2)</t>
  </si>
  <si>
    <t>RDC</t>
  </si>
  <si>
    <t>SDD</t>
  </si>
  <si>
    <t>January 2018 through December 2018</t>
  </si>
  <si>
    <t>Must come from E-10</t>
  </si>
  <si>
    <t>CILC-1D &amp; CILC-1G</t>
  </si>
  <si>
    <t>OL-1 &amp; SL-1</t>
  </si>
  <si>
    <t>GSCU-1&amp; SL-2</t>
  </si>
  <si>
    <t>Load FC by Rate Class - Individual Rate Class Tabs</t>
  </si>
  <si>
    <t>January 2017 through December 2017</t>
  </si>
  <si>
    <t>OPC 015378</t>
  </si>
  <si>
    <t>FPL RC-16</t>
  </si>
  <si>
    <t>OPC 015375</t>
  </si>
  <si>
    <t>OPC 015376</t>
  </si>
  <si>
    <t>OPC 015377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</si>
</sst>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5" formatCode="&quot;$&quot;#,##0_);\(&quot;$&quot;#,##0\)"/>
    <numFmt numFmtId="43" formatCode="_(* #,##0.00_);_(* \(#,##0.00\);_(* &quot;-&quot;??_);_(@_)"/>
    <numFmt numFmtId="164" formatCode="General_)"/>
    <numFmt numFmtId="165" formatCode="0.000%"/>
    <numFmt numFmtId="166" formatCode="0.00000%"/>
    <numFmt numFmtId="167" formatCode="0.00000_)"/>
    <numFmt numFmtId="168" formatCode="0.00_)"/>
    <numFmt numFmtId="169" formatCode="_(* #,##0_);_(* \(#,##0\);_(* &quot;-&quot;??_);_(@_)"/>
    <numFmt numFmtId="170" formatCode="_(* #,##0.00000_);_(* \(#,##0.00000\);_(* &quot;-&quot;??_);_(@_)"/>
    <numFmt numFmtId="171" formatCode="0.0000%"/>
    <numFmt numFmtId="172" formatCode="_(* #,##0.0000000_);_(* \(#,##0.0000000\);_(* &quot;-&quot;??_);_(@_)"/>
    <numFmt numFmtId="173" formatCode="0.000000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Helv"/>
    </font>
    <font>
      <sz val="10"/>
      <name val="MS Sans Serif"/>
      <family val="2"/>
    </font>
    <font>
      <sz val="8"/>
      <color rgb="FFFF0000"/>
      <name val="Helv"/>
    </font>
    <font>
      <sz val="8"/>
      <name val="MS Sans Serif"/>
      <family val="2"/>
    </font>
    <font>
      <b/>
      <sz val="8"/>
      <name val="Helv"/>
    </font>
    <font>
      <b/>
      <sz val="8"/>
      <color rgb="FFFF0000"/>
      <name val="Helv"/>
    </font>
    <font>
      <sz val="8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b/>
      <sz val="10"/>
      <color theme="3" tint="-0.499984740745262"/>
      <name val="Arial"/>
      <family val="2"/>
    </font>
    <font>
      <sz val="8"/>
      <color theme="3" tint="-0.499984740745262"/>
      <name val="Helv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164" fontId="2" fillId="0" borderId="0"/>
    <xf numFmtId="0" fontId="3" fillId="0" borderId="0"/>
    <xf numFmtId="9" fontId="1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13" fillId="0" borderId="0"/>
    <xf numFmtId="0" fontId="9" fillId="0" borderId="0"/>
    <xf numFmtId="0" fontId="9" fillId="0" borderId="0"/>
    <xf numFmtId="0" fontId="1" fillId="0" borderId="0"/>
    <xf numFmtId="0" fontId="14" fillId="4" borderId="1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164" fontId="2" fillId="0" borderId="0" xfId="2" applyFont="1" applyFill="1"/>
    <xf numFmtId="164" fontId="2" fillId="0" borderId="0" xfId="2" applyNumberFormat="1" applyFont="1" applyFill="1" applyAlignment="1" applyProtection="1">
      <alignment horizontal="center"/>
    </xf>
    <xf numFmtId="164" fontId="2" fillId="0" borderId="0" xfId="2" applyNumberFormat="1" applyFont="1" applyFill="1" applyAlignment="1" applyProtection="1">
      <alignment horizontal="left"/>
    </xf>
    <xf numFmtId="164" fontId="2" fillId="0" borderId="0" xfId="2" applyNumberFormat="1" applyFont="1" applyFill="1" applyProtection="1"/>
    <xf numFmtId="165" fontId="4" fillId="0" borderId="0" xfId="3" applyNumberFormat="1" applyFont="1" applyFill="1" applyProtection="1"/>
    <xf numFmtId="43" fontId="4" fillId="0" borderId="0" xfId="1" applyFont="1" applyFill="1" applyProtection="1"/>
    <xf numFmtId="37" fontId="2" fillId="2" borderId="0" xfId="2" applyNumberFormat="1" applyFont="1" applyFill="1" applyProtection="1"/>
    <xf numFmtId="166" fontId="2" fillId="2" borderId="0" xfId="2" applyNumberFormat="1" applyFont="1" applyFill="1" applyProtection="1"/>
    <xf numFmtId="166" fontId="2" fillId="0" borderId="0" xfId="2" applyNumberFormat="1" applyFont="1" applyFill="1" applyProtection="1"/>
    <xf numFmtId="5" fontId="2" fillId="2" borderId="0" xfId="2" applyNumberFormat="1" applyFont="1" applyFill="1" applyProtection="1"/>
    <xf numFmtId="164" fontId="4" fillId="0" borderId="0" xfId="2" applyNumberFormat="1" applyFont="1" applyFill="1" applyAlignment="1" applyProtection="1">
      <alignment horizontal="center"/>
    </xf>
    <xf numFmtId="167" fontId="2" fillId="2" borderId="0" xfId="2" applyNumberFormat="1" applyFont="1" applyFill="1" applyProtection="1"/>
    <xf numFmtId="168" fontId="2" fillId="0" borderId="0" xfId="2" applyNumberFormat="1" applyFont="1" applyFill="1" applyAlignment="1" applyProtection="1">
      <alignment horizontal="center"/>
    </xf>
    <xf numFmtId="38" fontId="2" fillId="2" borderId="0" xfId="2" applyNumberFormat="1" applyFont="1" applyFill="1" applyProtection="1"/>
    <xf numFmtId="168" fontId="2" fillId="2" borderId="0" xfId="2" applyNumberFormat="1" applyFont="1" applyFill="1" applyProtection="1"/>
    <xf numFmtId="164" fontId="2" fillId="2" borderId="0" xfId="2" applyNumberFormat="1" applyFont="1" applyFill="1" applyAlignment="1" applyProtection="1">
      <alignment horizontal="center"/>
    </xf>
    <xf numFmtId="168" fontId="2" fillId="2" borderId="0" xfId="2" applyNumberFormat="1" applyFont="1" applyFill="1" applyAlignment="1" applyProtection="1">
      <alignment horizontal="center"/>
    </xf>
    <xf numFmtId="5" fontId="5" fillId="0" borderId="0" xfId="0" applyNumberFormat="1" applyFont="1" applyFill="1"/>
    <xf numFmtId="168" fontId="2" fillId="0" borderId="0" xfId="2" applyNumberFormat="1" applyFont="1" applyFill="1" applyProtection="1"/>
    <xf numFmtId="10" fontId="2" fillId="2" borderId="0" xfId="2" applyNumberFormat="1" applyFont="1" applyFill="1" applyProtection="1"/>
    <xf numFmtId="167" fontId="2" fillId="0" borderId="0" xfId="2" applyNumberFormat="1" applyFont="1" applyFill="1" applyProtection="1"/>
    <xf numFmtId="171" fontId="2" fillId="2" borderId="0" xfId="2" applyNumberFormat="1" applyFont="1" applyFill="1" applyProtection="1"/>
    <xf numFmtId="0" fontId="0" fillId="0" borderId="0" xfId="0" applyFill="1"/>
    <xf numFmtId="164" fontId="6" fillId="0" borderId="0" xfId="2" applyNumberFormat="1" applyFont="1" applyFill="1" applyAlignment="1" applyProtection="1">
      <alignment horizontal="left"/>
    </xf>
    <xf numFmtId="9" fontId="7" fillId="0" borderId="0" xfId="2" applyNumberFormat="1" applyFont="1" applyFill="1" applyAlignment="1" applyProtection="1">
      <alignment horizontal="center"/>
    </xf>
    <xf numFmtId="165" fontId="0" fillId="0" borderId="0" xfId="4" applyNumberFormat="1" applyFont="1"/>
    <xf numFmtId="5" fontId="2" fillId="3" borderId="0" xfId="2" applyNumberFormat="1" applyFont="1" applyFill="1" applyProtection="1"/>
    <xf numFmtId="0" fontId="9" fillId="0" borderId="0" xfId="5" applyFont="1"/>
    <xf numFmtId="0" fontId="9" fillId="0" borderId="0" xfId="5" quotePrefix="1" applyFont="1" applyAlignment="1">
      <alignment horizontal="left"/>
    </xf>
    <xf numFmtId="0" fontId="9" fillId="0" borderId="0" xfId="5"/>
    <xf numFmtId="0" fontId="10" fillId="0" borderId="0" xfId="5" applyFont="1"/>
    <xf numFmtId="165" fontId="9" fillId="0" borderId="0" xfId="6" applyNumberFormat="1" applyFont="1"/>
    <xf numFmtId="169" fontId="9" fillId="0" borderId="0" xfId="7" applyNumberFormat="1"/>
    <xf numFmtId="169" fontId="9" fillId="0" borderId="0" xfId="7" applyNumberFormat="1" applyFont="1"/>
    <xf numFmtId="0" fontId="12" fillId="0" borderId="0" xfId="5" applyFont="1" applyAlignment="1">
      <alignment horizontal="center"/>
    </xf>
    <xf numFmtId="165" fontId="12" fillId="0" borderId="0" xfId="6" applyNumberFormat="1" applyFont="1" applyAlignment="1">
      <alignment horizontal="center"/>
    </xf>
    <xf numFmtId="169" fontId="12" fillId="0" borderId="0" xfId="7" applyNumberFormat="1" applyFont="1" applyAlignment="1">
      <alignment horizontal="center"/>
    </xf>
    <xf numFmtId="169" fontId="12" fillId="0" borderId="0" xfId="7" applyNumberFormat="1" applyFont="1"/>
    <xf numFmtId="169" fontId="12" fillId="0" borderId="0" xfId="7" applyNumberFormat="1" applyFont="1" applyBorder="1" applyAlignment="1">
      <alignment horizontal="center"/>
    </xf>
    <xf numFmtId="169" fontId="12" fillId="0" borderId="0" xfId="7" applyNumberFormat="1" applyFont="1" applyAlignment="1">
      <alignment horizontal="center" wrapText="1"/>
    </xf>
    <xf numFmtId="169" fontId="12" fillId="0" borderId="0" xfId="7" quotePrefix="1" applyNumberFormat="1" applyFont="1" applyAlignment="1">
      <alignment horizontal="center"/>
    </xf>
    <xf numFmtId="0" fontId="12" fillId="0" borderId="2" xfId="5" applyFont="1" applyBorder="1" applyAlignment="1">
      <alignment horizontal="center"/>
    </xf>
    <xf numFmtId="165" fontId="12" fillId="0" borderId="2" xfId="6" applyNumberFormat="1" applyFont="1" applyBorder="1" applyAlignment="1">
      <alignment horizontal="center"/>
    </xf>
    <xf numFmtId="169" fontId="12" fillId="0" borderId="2" xfId="7" quotePrefix="1" applyNumberFormat="1" applyFont="1" applyBorder="1" applyAlignment="1">
      <alignment horizontal="center"/>
    </xf>
    <xf numFmtId="169" fontId="12" fillId="0" borderId="2" xfId="7" applyNumberFormat="1" applyFont="1" applyBorder="1" applyAlignment="1">
      <alignment horizontal="center"/>
    </xf>
    <xf numFmtId="165" fontId="9" fillId="0" borderId="0" xfId="6" applyNumberFormat="1" applyFont="1" applyBorder="1"/>
    <xf numFmtId="166" fontId="9" fillId="0" borderId="0" xfId="6" applyNumberFormat="1" applyFont="1" applyBorder="1"/>
    <xf numFmtId="169" fontId="9" fillId="0" borderId="3" xfId="7" applyNumberFormat="1" applyBorder="1"/>
    <xf numFmtId="171" fontId="9" fillId="0" borderId="0" xfId="4" applyNumberFormat="1" applyFont="1"/>
    <xf numFmtId="164" fontId="8" fillId="0" borderId="0" xfId="2" applyNumberFormat="1" applyFont="1" applyFill="1" applyAlignment="1" applyProtection="1">
      <alignment horizontal="center"/>
    </xf>
    <xf numFmtId="167" fontId="8" fillId="0" borderId="0" xfId="2" applyNumberFormat="1" applyFont="1" applyFill="1" applyAlignment="1" applyProtection="1">
      <alignment horizontal="center"/>
    </xf>
    <xf numFmtId="168" fontId="8" fillId="0" borderId="0" xfId="2" applyNumberFormat="1" applyFont="1" applyFill="1" applyAlignment="1" applyProtection="1">
      <alignment horizontal="center"/>
    </xf>
    <xf numFmtId="169" fontId="15" fillId="0" borderId="0" xfId="7" applyNumberFormat="1" applyFont="1"/>
    <xf numFmtId="165" fontId="2" fillId="0" borderId="0" xfId="3" applyNumberFormat="1" applyFont="1" applyFill="1" applyProtection="1"/>
    <xf numFmtId="169" fontId="2" fillId="0" borderId="0" xfId="1" applyNumberFormat="1" applyFont="1" applyFill="1" applyProtection="1"/>
    <xf numFmtId="169" fontId="16" fillId="0" borderId="0" xfId="1" applyNumberFormat="1" applyFont="1" applyFill="1" applyProtection="1"/>
    <xf numFmtId="172" fontId="2" fillId="0" borderId="0" xfId="1" applyNumberFormat="1" applyFont="1" applyFill="1" applyProtection="1"/>
    <xf numFmtId="170" fontId="2" fillId="0" borderId="0" xfId="1" applyNumberFormat="1" applyFont="1" applyFill="1" applyProtection="1"/>
    <xf numFmtId="9" fontId="0" fillId="0" borderId="0" xfId="4" applyFont="1"/>
    <xf numFmtId="171" fontId="0" fillId="0" borderId="0" xfId="4" applyNumberFormat="1" applyFont="1"/>
    <xf numFmtId="0" fontId="17" fillId="0" borderId="0" xfId="5" quotePrefix="1" applyFont="1" applyAlignment="1">
      <alignment horizontal="left"/>
    </xf>
    <xf numFmtId="165" fontId="17" fillId="0" borderId="0" xfId="6" applyNumberFormat="1" applyFont="1" applyBorder="1"/>
    <xf numFmtId="169" fontId="17" fillId="0" borderId="0" xfId="7" applyNumberFormat="1" applyFont="1"/>
    <xf numFmtId="169" fontId="18" fillId="0" borderId="0" xfId="7" applyNumberFormat="1" applyFont="1"/>
    <xf numFmtId="166" fontId="17" fillId="0" borderId="0" xfId="6" applyNumberFormat="1" applyFont="1" applyBorder="1"/>
    <xf numFmtId="0" fontId="17" fillId="0" borderId="0" xfId="5" applyFont="1"/>
    <xf numFmtId="0" fontId="0" fillId="3" borderId="0" xfId="0" applyFill="1"/>
    <xf numFmtId="164" fontId="2" fillId="3" borderId="0" xfId="2" applyFont="1" applyFill="1"/>
    <xf numFmtId="0" fontId="0" fillId="5" borderId="0" xfId="0" applyFill="1"/>
    <xf numFmtId="164" fontId="2" fillId="5" borderId="0" xfId="2" applyFont="1" applyFill="1"/>
    <xf numFmtId="5" fontId="2" fillId="6" borderId="0" xfId="2" applyNumberFormat="1" applyFont="1" applyFill="1" applyProtection="1"/>
    <xf numFmtId="169" fontId="9" fillId="3" borderId="0" xfId="7" applyNumberFormat="1" applyFill="1"/>
    <xf numFmtId="169" fontId="9" fillId="3" borderId="0" xfId="7" applyNumberFormat="1" applyFont="1" applyFill="1"/>
    <xf numFmtId="170" fontId="4" fillId="0" borderId="0" xfId="1" applyNumberFormat="1" applyFont="1" applyFill="1" applyProtection="1"/>
    <xf numFmtId="164" fontId="4" fillId="0" borderId="0" xfId="2" applyFont="1" applyFill="1" applyAlignment="1">
      <alignment horizontal="center"/>
    </xf>
    <xf numFmtId="173" fontId="2" fillId="2" borderId="0" xfId="2" applyNumberFormat="1" applyFont="1" applyFill="1" applyProtection="1"/>
    <xf numFmtId="167" fontId="7" fillId="2" borderId="0" xfId="2" applyNumberFormat="1" applyFont="1" applyFill="1" applyProtection="1"/>
    <xf numFmtId="0" fontId="10" fillId="0" borderId="0" xfId="5" applyFont="1" applyAlignment="1">
      <alignment horizontal="center"/>
    </xf>
    <xf numFmtId="0" fontId="11" fillId="0" borderId="0" xfId="5" applyFont="1" applyAlignment="1">
      <alignment horizontal="center"/>
    </xf>
    <xf numFmtId="169" fontId="12" fillId="0" borderId="0" xfId="7" applyNumberFormat="1" applyFont="1" applyAlignment="1">
      <alignment horizontal="center"/>
    </xf>
    <xf numFmtId="0" fontId="19" fillId="0" borderId="0" xfId="0" applyFont="1"/>
  </cellXfs>
  <cellStyles count="19">
    <cellStyle name="Comma" xfId="1" builtinId="3"/>
    <cellStyle name="Comma 2" xfId="8"/>
    <cellStyle name="Comma 3" xfId="9"/>
    <cellStyle name="Comma 4" xfId="7"/>
    <cellStyle name="Normal" xfId="0" builtinId="0"/>
    <cellStyle name="Normal 2" xfId="10"/>
    <cellStyle name="Normal 3" xfId="11"/>
    <cellStyle name="Normal 4" xfId="12"/>
    <cellStyle name="Normal 4 2" xfId="13"/>
    <cellStyle name="Normal 5" xfId="14"/>
    <cellStyle name="Normal 6" xfId="5"/>
    <cellStyle name="Normal_Capacity factor 2009 projected 06 03 2008" xfId="3"/>
    <cellStyle name="Normal_D2CPO495" xfId="2"/>
    <cellStyle name="Note 2" xfId="15"/>
    <cellStyle name="Percent" xfId="4" builtinId="5"/>
    <cellStyle name="Percent 2" xfId="16"/>
    <cellStyle name="Percent 3" xfId="17"/>
    <cellStyle name="Percent 4" xfId="18"/>
    <cellStyle name="Percent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4"/>
  <sheetViews>
    <sheetView tabSelected="1" zoomScale="120" zoomScaleNormal="120" workbookViewId="0">
      <selection activeCell="C23" sqref="C23"/>
    </sheetView>
  </sheetViews>
  <sheetFormatPr defaultRowHeight="14.4" x14ac:dyDescent="0.3"/>
  <cols>
    <col min="1" max="1" width="11.109375" customWidth="1"/>
    <col min="3" max="3" width="38.33203125" bestFit="1" customWidth="1"/>
    <col min="5" max="5" width="13.109375" bestFit="1" customWidth="1"/>
    <col min="6" max="6" width="11.6640625" bestFit="1" customWidth="1"/>
    <col min="8" max="8" width="9.5546875" bestFit="1" customWidth="1"/>
    <col min="9" max="9" width="13.109375" bestFit="1" customWidth="1"/>
    <col min="10" max="10" width="12.109375" customWidth="1"/>
    <col min="12" max="12" width="10.109375" bestFit="1" customWidth="1"/>
    <col min="13" max="13" width="4.6640625" customWidth="1"/>
    <col min="14" max="15" width="32.33203125" customWidth="1"/>
    <col min="18" max="18" width="10" bestFit="1" customWidth="1"/>
    <col min="19" max="20" width="10.88671875" bestFit="1" customWidth="1"/>
    <col min="21" max="21" width="13.109375" bestFit="1" customWidth="1"/>
    <col min="22" max="22" width="10.5546875" bestFit="1" customWidth="1"/>
    <col min="23" max="23" width="12.109375" bestFit="1" customWidth="1"/>
    <col min="25" max="25" width="21" customWidth="1"/>
    <col min="26" max="27" width="6.33203125" bestFit="1" customWidth="1"/>
  </cols>
  <sheetData>
    <row r="1" spans="1:30" s="81" customFormat="1" x14ac:dyDescent="0.3">
      <c r="A1" s="81" t="s">
        <v>110</v>
      </c>
    </row>
    <row r="2" spans="1:30" s="81" customFormat="1" x14ac:dyDescent="0.3">
      <c r="A2" s="81" t="s">
        <v>109</v>
      </c>
    </row>
    <row r="3" spans="1:30" x14ac:dyDescent="0.3">
      <c r="B3" s="1"/>
      <c r="C3" s="1"/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1"/>
      <c r="N3" s="1"/>
      <c r="O3" s="1"/>
      <c r="P3" s="2" t="s">
        <v>1</v>
      </c>
      <c r="Q3" s="2" t="s">
        <v>2</v>
      </c>
      <c r="R3" s="2" t="s">
        <v>3</v>
      </c>
      <c r="S3" s="2" t="s">
        <v>4</v>
      </c>
      <c r="T3" s="2" t="s">
        <v>5</v>
      </c>
      <c r="U3" s="2" t="s">
        <v>6</v>
      </c>
      <c r="V3" s="2" t="s">
        <v>7</v>
      </c>
      <c r="W3" s="2" t="s">
        <v>8</v>
      </c>
      <c r="X3" s="2" t="s">
        <v>9</v>
      </c>
      <c r="Y3" s="2" t="s">
        <v>10</v>
      </c>
    </row>
    <row r="4" spans="1:30" x14ac:dyDescent="0.3">
      <c r="B4" s="1"/>
      <c r="C4" s="1"/>
      <c r="D4" s="2" t="s">
        <v>11</v>
      </c>
      <c r="E4" s="2" t="s">
        <v>12</v>
      </c>
      <c r="F4" s="2" t="s">
        <v>12</v>
      </c>
      <c r="G4" s="2" t="s">
        <v>13</v>
      </c>
      <c r="H4" s="2" t="s">
        <v>14</v>
      </c>
      <c r="I4" s="2" t="s">
        <v>12</v>
      </c>
      <c r="J4" s="2" t="s">
        <v>12</v>
      </c>
      <c r="K4" s="2" t="s">
        <v>15</v>
      </c>
      <c r="L4" s="2" t="s">
        <v>15</v>
      </c>
      <c r="M4" s="1"/>
      <c r="N4" s="1"/>
      <c r="O4" s="1"/>
      <c r="P4" s="2" t="s">
        <v>15</v>
      </c>
      <c r="Q4" s="2" t="s">
        <v>15</v>
      </c>
      <c r="R4" s="2" t="s">
        <v>14</v>
      </c>
      <c r="S4" s="2" t="s">
        <v>13</v>
      </c>
      <c r="T4" s="2" t="s">
        <v>16</v>
      </c>
      <c r="U4" s="2" t="s">
        <v>12</v>
      </c>
      <c r="V4" s="2" t="s">
        <v>17</v>
      </c>
      <c r="W4" s="2" t="s">
        <v>18</v>
      </c>
      <c r="X4" s="2" t="s">
        <v>19</v>
      </c>
      <c r="Y4" s="2" t="s">
        <v>19</v>
      </c>
    </row>
    <row r="5" spans="1:30" x14ac:dyDescent="0.3">
      <c r="B5" s="1"/>
      <c r="C5" s="3" t="s">
        <v>20</v>
      </c>
      <c r="D5" s="2" t="s">
        <v>21</v>
      </c>
      <c r="E5" s="2" t="s">
        <v>22</v>
      </c>
      <c r="F5" s="2" t="s">
        <v>23</v>
      </c>
      <c r="G5" s="2" t="s">
        <v>24</v>
      </c>
      <c r="H5" s="2" t="s">
        <v>24</v>
      </c>
      <c r="I5" s="2" t="s">
        <v>22</v>
      </c>
      <c r="J5" s="2" t="s">
        <v>23</v>
      </c>
      <c r="K5" s="2" t="s">
        <v>25</v>
      </c>
      <c r="L5" s="2" t="s">
        <v>26</v>
      </c>
      <c r="M5" s="1"/>
      <c r="N5" s="3" t="s">
        <v>20</v>
      </c>
      <c r="O5" s="3"/>
      <c r="P5" s="2" t="s">
        <v>25</v>
      </c>
      <c r="Q5" s="2" t="s">
        <v>26</v>
      </c>
      <c r="R5" s="2" t="s">
        <v>27</v>
      </c>
      <c r="S5" s="2" t="s">
        <v>27</v>
      </c>
      <c r="T5" s="2" t="s">
        <v>19</v>
      </c>
      <c r="U5" s="2" t="s">
        <v>22</v>
      </c>
      <c r="V5" s="2" t="s">
        <v>21</v>
      </c>
      <c r="W5" s="2" t="s">
        <v>28</v>
      </c>
      <c r="X5" s="2" t="s">
        <v>29</v>
      </c>
      <c r="Y5" s="2" t="s">
        <v>29</v>
      </c>
    </row>
    <row r="6" spans="1:30" x14ac:dyDescent="0.3">
      <c r="B6" s="1"/>
      <c r="C6" s="1"/>
      <c r="D6" s="2" t="s">
        <v>30</v>
      </c>
      <c r="E6" s="2" t="s">
        <v>31</v>
      </c>
      <c r="F6" s="2" t="s">
        <v>30</v>
      </c>
      <c r="G6" s="2" t="s">
        <v>32</v>
      </c>
      <c r="H6" s="2" t="s">
        <v>32</v>
      </c>
      <c r="I6" s="2" t="s">
        <v>33</v>
      </c>
      <c r="J6" s="2" t="s">
        <v>34</v>
      </c>
      <c r="K6" s="2" t="s">
        <v>33</v>
      </c>
      <c r="L6" s="2" t="s">
        <v>33</v>
      </c>
      <c r="M6" s="1"/>
      <c r="N6" s="1"/>
      <c r="O6" s="1"/>
      <c r="P6" s="2" t="s">
        <v>33</v>
      </c>
      <c r="Q6" s="2" t="s">
        <v>33</v>
      </c>
      <c r="R6" s="1"/>
      <c r="S6" s="1"/>
      <c r="T6" s="2" t="s">
        <v>35</v>
      </c>
      <c r="U6" s="2" t="s">
        <v>31</v>
      </c>
      <c r="V6" s="4"/>
      <c r="W6" s="2" t="s">
        <v>30</v>
      </c>
      <c r="X6" s="2" t="s">
        <v>36</v>
      </c>
      <c r="Y6" s="2" t="s">
        <v>36</v>
      </c>
      <c r="Z6" s="2" t="s">
        <v>99</v>
      </c>
      <c r="AA6" s="2" t="s">
        <v>100</v>
      </c>
    </row>
    <row r="7" spans="1:30" x14ac:dyDescent="0.3">
      <c r="B7" s="1"/>
      <c r="C7" s="1"/>
      <c r="D7" s="2" t="s">
        <v>37</v>
      </c>
      <c r="E7" s="2" t="s">
        <v>38</v>
      </c>
      <c r="F7" s="2" t="s">
        <v>39</v>
      </c>
      <c r="G7" s="2" t="s">
        <v>36</v>
      </c>
      <c r="H7" s="2" t="s">
        <v>36</v>
      </c>
      <c r="I7" s="2" t="s">
        <v>38</v>
      </c>
      <c r="J7" s="2" t="s">
        <v>39</v>
      </c>
      <c r="K7" s="2" t="s">
        <v>37</v>
      </c>
      <c r="L7" s="2" t="s">
        <v>37</v>
      </c>
      <c r="M7" s="1"/>
      <c r="N7" s="1"/>
      <c r="O7" s="1"/>
      <c r="P7" s="2" t="s">
        <v>37</v>
      </c>
      <c r="Q7" s="2" t="s">
        <v>37</v>
      </c>
      <c r="R7" s="2" t="s">
        <v>40</v>
      </c>
      <c r="S7" s="2" t="s">
        <v>40</v>
      </c>
      <c r="T7" s="2" t="s">
        <v>40</v>
      </c>
      <c r="U7" s="2" t="s">
        <v>38</v>
      </c>
      <c r="V7" s="2" t="s">
        <v>37</v>
      </c>
      <c r="W7" s="2" t="s">
        <v>41</v>
      </c>
      <c r="X7" s="2" t="s">
        <v>42</v>
      </c>
      <c r="Y7" s="2" t="s">
        <v>43</v>
      </c>
      <c r="Z7" s="2" t="s">
        <v>43</v>
      </c>
      <c r="AA7" s="2" t="s">
        <v>43</v>
      </c>
    </row>
    <row r="8" spans="1:30" x14ac:dyDescent="0.3">
      <c r="B8" s="1"/>
      <c r="C8" s="1"/>
      <c r="D8" s="68"/>
      <c r="E8" s="68"/>
      <c r="F8" s="68"/>
      <c r="G8" s="1"/>
      <c r="H8" s="70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30" x14ac:dyDescent="0.3">
      <c r="A9" t="s">
        <v>44</v>
      </c>
      <c r="B9" s="1" t="s">
        <v>44</v>
      </c>
      <c r="C9" s="3" t="s">
        <v>45</v>
      </c>
      <c r="D9" s="54">
        <v>0.62450244019697876</v>
      </c>
      <c r="E9" s="55">
        <v>56993678507</v>
      </c>
      <c r="F9" s="56">
        <v>10418098.096454745</v>
      </c>
      <c r="G9" s="57">
        <v>1.07429</v>
      </c>
      <c r="H9" s="74">
        <v>1.0570946834402213</v>
      </c>
      <c r="I9" s="7">
        <f>E9*H9</f>
        <v>60247714539.450905</v>
      </c>
      <c r="J9" s="7">
        <f>F9*G9</f>
        <v>11192058.604040368</v>
      </c>
      <c r="K9" s="22">
        <f>I9/$I$24</f>
        <v>0.53207112050482952</v>
      </c>
      <c r="L9" s="8">
        <f>J9/$J$24</f>
        <v>0.58855018290469174</v>
      </c>
      <c r="M9" s="1"/>
      <c r="N9" s="3" t="s">
        <v>45</v>
      </c>
      <c r="O9" s="28" t="s">
        <v>44</v>
      </c>
      <c r="P9" s="9">
        <f>K9</f>
        <v>0.53207112050482952</v>
      </c>
      <c r="Q9" s="9">
        <f>L9</f>
        <v>0.58855018290469174</v>
      </c>
      <c r="R9" s="10">
        <f>ROUND(+P9*($T$24/13),0)</f>
        <v>5762555</v>
      </c>
      <c r="S9" s="10">
        <f>ROUND(+Q9*($T$24*12/13),0)</f>
        <v>76490960</v>
      </c>
      <c r="T9" s="10">
        <f>R9+S9</f>
        <v>82253515</v>
      </c>
      <c r="U9" s="7">
        <f>E9</f>
        <v>56993678507</v>
      </c>
      <c r="V9" s="11"/>
      <c r="W9" s="2" t="s">
        <v>46</v>
      </c>
      <c r="X9" s="2" t="s">
        <v>46</v>
      </c>
      <c r="Y9" s="76">
        <f>ROUND(T9/U9,5)</f>
        <v>1.4400000000000001E-3</v>
      </c>
      <c r="AC9" s="50"/>
      <c r="AD9" s="51"/>
    </row>
    <row r="10" spans="1:30" x14ac:dyDescent="0.3">
      <c r="A10" t="s">
        <v>47</v>
      </c>
      <c r="B10" s="1" t="s">
        <v>47</v>
      </c>
      <c r="C10" s="3" t="s">
        <v>48</v>
      </c>
      <c r="D10" s="54">
        <v>0.69070447751989028</v>
      </c>
      <c r="E10" s="55">
        <v>5968792122</v>
      </c>
      <c r="F10" s="56">
        <v>986484.06934499519</v>
      </c>
      <c r="G10" s="57">
        <v>1.07429</v>
      </c>
      <c r="H10" s="74">
        <v>1.0570946834402213</v>
      </c>
      <c r="I10" s="7">
        <f t="shared" ref="I10:I22" si="0">E10*H10</f>
        <v>6309578418.7260771</v>
      </c>
      <c r="J10" s="7">
        <f t="shared" ref="J10:J22" si="1">F10*G10</f>
        <v>1059769.9708566349</v>
      </c>
      <c r="K10" s="22">
        <f t="shared" ref="K10:K22" si="2">I10/$I$24</f>
        <v>5.5722353699680621E-2</v>
      </c>
      <c r="L10" s="8">
        <f t="shared" ref="L10:L22" si="3">J10/$J$24</f>
        <v>5.5729498231844914E-2</v>
      </c>
      <c r="M10" s="1"/>
      <c r="N10" s="3" t="s">
        <v>49</v>
      </c>
      <c r="O10" s="28" t="s">
        <v>47</v>
      </c>
      <c r="P10" s="9">
        <f t="shared" ref="P10:P22" si="4">K10</f>
        <v>5.5722353699680621E-2</v>
      </c>
      <c r="Q10" s="9">
        <f t="shared" ref="Q10:Q22" si="5">L10</f>
        <v>5.5729498231844914E-2</v>
      </c>
      <c r="R10" s="10">
        <f t="shared" ref="R10:R22" si="6">ROUND(+P10*($T$24/13),0)</f>
        <v>603497</v>
      </c>
      <c r="S10" s="10">
        <f t="shared" ref="S10:S22" si="7">ROUND(+Q10*($T$24*12/13),0)</f>
        <v>7242888</v>
      </c>
      <c r="T10" s="10">
        <f t="shared" ref="T10:T22" si="8">R10+S10</f>
        <v>7846385</v>
      </c>
      <c r="U10" s="7">
        <f t="shared" ref="U10:U22" si="9">E10</f>
        <v>5968792122</v>
      </c>
      <c r="V10" s="11"/>
      <c r="W10" s="2" t="s">
        <v>46</v>
      </c>
      <c r="X10" s="13" t="s">
        <v>46</v>
      </c>
      <c r="Y10" s="12">
        <f>ROUND(T10/U10,5)</f>
        <v>1.31E-3</v>
      </c>
      <c r="AC10" s="52"/>
      <c r="AD10" s="51"/>
    </row>
    <row r="11" spans="1:30" x14ac:dyDescent="0.3">
      <c r="A11" t="s">
        <v>50</v>
      </c>
      <c r="B11" s="1" t="s">
        <v>50</v>
      </c>
      <c r="C11" s="3" t="s">
        <v>51</v>
      </c>
      <c r="D11" s="54">
        <v>0.76662831376542606</v>
      </c>
      <c r="E11" s="55">
        <v>25825428784</v>
      </c>
      <c r="F11" s="56">
        <v>3845551.0391935059</v>
      </c>
      <c r="G11" s="57">
        <v>1.0741834688</v>
      </c>
      <c r="H11" s="74">
        <v>1.0570138197919745</v>
      </c>
      <c r="I11" s="7">
        <f t="shared" si="0"/>
        <v>27297835126.741447</v>
      </c>
      <c r="J11" s="7">
        <f t="shared" si="1"/>
        <v>4130827.3547283253</v>
      </c>
      <c r="K11" s="22">
        <f t="shared" si="2"/>
        <v>0.24107785389486727</v>
      </c>
      <c r="L11" s="8">
        <f t="shared" si="3"/>
        <v>0.21722538106576653</v>
      </c>
      <c r="M11" s="1"/>
      <c r="N11" s="24" t="s">
        <v>51</v>
      </c>
      <c r="O11" s="29" t="s">
        <v>75</v>
      </c>
      <c r="P11" s="9">
        <f t="shared" si="4"/>
        <v>0.24107785389486727</v>
      </c>
      <c r="Q11" s="9">
        <f t="shared" si="5"/>
        <v>0.21722538106576653</v>
      </c>
      <c r="R11" s="10">
        <f t="shared" si="6"/>
        <v>2610975</v>
      </c>
      <c r="S11" s="10">
        <f t="shared" si="7"/>
        <v>28231710</v>
      </c>
      <c r="T11" s="10">
        <f t="shared" si="8"/>
        <v>30842685</v>
      </c>
      <c r="U11" s="7">
        <f t="shared" si="9"/>
        <v>25825428784</v>
      </c>
      <c r="V11" s="9">
        <f>+VLOOKUP($O11,'2017 Clause Allocations'!A13:H26,8,FALSE)</f>
        <v>0.50234315967840149</v>
      </c>
      <c r="W11" s="14">
        <f>ROUND(U11/(V11*730),0)</f>
        <v>70424567</v>
      </c>
      <c r="X11" s="15">
        <f>ROUND(T11/W11,2)</f>
        <v>0.44</v>
      </c>
      <c r="Y11" s="16" t="s">
        <v>46</v>
      </c>
      <c r="Z11" s="26"/>
      <c r="AA11" s="49"/>
      <c r="AC11" s="52"/>
      <c r="AD11" s="50"/>
    </row>
    <row r="12" spans="1:30" x14ac:dyDescent="0.3">
      <c r="A12" t="s">
        <v>52</v>
      </c>
      <c r="B12" s="1" t="s">
        <v>52</v>
      </c>
      <c r="C12" s="3" t="s">
        <v>53</v>
      </c>
      <c r="D12" s="54">
        <v>1.5101013416409526</v>
      </c>
      <c r="E12" s="55">
        <v>10793313</v>
      </c>
      <c r="F12" s="56">
        <v>815.91435103653828</v>
      </c>
      <c r="G12" s="57">
        <v>1.0373000000000001</v>
      </c>
      <c r="H12" s="74">
        <v>1.0292106668034724</v>
      </c>
      <c r="I12" s="7">
        <f t="shared" si="0"/>
        <v>11108592.869748587</v>
      </c>
      <c r="J12" s="7">
        <f t="shared" si="1"/>
        <v>846.34795633020121</v>
      </c>
      <c r="K12" s="22">
        <f t="shared" si="2"/>
        <v>9.8104326456546089E-5</v>
      </c>
      <c r="L12" s="8">
        <f t="shared" si="3"/>
        <v>4.4506400665140351E-5</v>
      </c>
      <c r="M12" s="1"/>
      <c r="N12" s="3" t="s">
        <v>53</v>
      </c>
      <c r="O12" s="28" t="s">
        <v>52</v>
      </c>
      <c r="P12" s="9">
        <f t="shared" si="4"/>
        <v>9.8104326456546089E-5</v>
      </c>
      <c r="Q12" s="9">
        <f t="shared" si="5"/>
        <v>4.4506400665140351E-5</v>
      </c>
      <c r="R12" s="10">
        <f t="shared" si="6"/>
        <v>1063</v>
      </c>
      <c r="S12" s="10">
        <f t="shared" si="7"/>
        <v>5784</v>
      </c>
      <c r="T12" s="10">
        <f t="shared" si="8"/>
        <v>6847</v>
      </c>
      <c r="U12" s="7">
        <f t="shared" si="9"/>
        <v>10793313</v>
      </c>
      <c r="V12" s="9"/>
      <c r="W12" s="14"/>
      <c r="X12" s="17" t="s">
        <v>46</v>
      </c>
      <c r="Y12" s="12">
        <f>ROUND(T12/U12,5)</f>
        <v>6.3000000000000003E-4</v>
      </c>
      <c r="Z12" s="26"/>
      <c r="AA12" s="25"/>
      <c r="AC12" s="52"/>
      <c r="AD12" s="51"/>
    </row>
    <row r="13" spans="1:30" x14ac:dyDescent="0.3">
      <c r="A13" t="s">
        <v>54</v>
      </c>
      <c r="B13" s="1" t="s">
        <v>54</v>
      </c>
      <c r="C13" s="3" t="s">
        <v>55</v>
      </c>
      <c r="D13" s="54">
        <v>0.77204622579970805</v>
      </c>
      <c r="E13" s="55">
        <v>10507497706</v>
      </c>
      <c r="F13" s="56">
        <v>1553645.3639874402</v>
      </c>
      <c r="G13" s="57">
        <v>1.0728344434999999</v>
      </c>
      <c r="H13" s="74">
        <v>1.0560233795210372</v>
      </c>
      <c r="I13" s="7">
        <f t="shared" si="0"/>
        <v>11096163237.799665</v>
      </c>
      <c r="J13" s="7">
        <f t="shared" si="1"/>
        <v>1666804.2594698202</v>
      </c>
      <c r="K13" s="22">
        <f t="shared" si="2"/>
        <v>9.7994555517530724E-2</v>
      </c>
      <c r="L13" s="8">
        <f t="shared" si="3"/>
        <v>8.7651252239077687E-2</v>
      </c>
      <c r="M13" s="1"/>
      <c r="N13" s="24" t="s">
        <v>55</v>
      </c>
      <c r="O13" s="29" t="s">
        <v>76</v>
      </c>
      <c r="P13" s="9">
        <f t="shared" si="4"/>
        <v>9.7994555517530724E-2</v>
      </c>
      <c r="Q13" s="9">
        <f t="shared" si="5"/>
        <v>8.7651252239077687E-2</v>
      </c>
      <c r="R13" s="10">
        <f t="shared" si="6"/>
        <v>1061322</v>
      </c>
      <c r="S13" s="10">
        <f t="shared" si="7"/>
        <v>11391600</v>
      </c>
      <c r="T13" s="10">
        <f t="shared" si="8"/>
        <v>12452922</v>
      </c>
      <c r="U13" s="7">
        <f t="shared" si="9"/>
        <v>10507497706</v>
      </c>
      <c r="V13" s="9">
        <f>+VLOOKUP($O13,'2017 Clause Allocations'!A15:H28,8,FALSE)</f>
        <v>0.56837479678779257</v>
      </c>
      <c r="W13" s="14">
        <f t="shared" ref="W13:W20" si="10">ROUND(U13/(V13*730),0)</f>
        <v>25324544</v>
      </c>
      <c r="X13" s="15">
        <f t="shared" ref="X13:X15" si="11">ROUND(T13/W13,2)</f>
        <v>0.49</v>
      </c>
      <c r="Y13" s="16" t="s">
        <v>46</v>
      </c>
      <c r="Z13" s="26"/>
      <c r="AA13" s="49"/>
      <c r="AC13" s="52"/>
      <c r="AD13" s="50"/>
    </row>
    <row r="14" spans="1:30" x14ac:dyDescent="0.3">
      <c r="A14" t="s">
        <v>56</v>
      </c>
      <c r="B14" s="1" t="s">
        <v>56</v>
      </c>
      <c r="C14" s="3" t="s">
        <v>57</v>
      </c>
      <c r="D14" s="54">
        <v>0.92104674486513582</v>
      </c>
      <c r="E14" s="55">
        <v>2515470925</v>
      </c>
      <c r="F14" s="56">
        <v>311769.42623546749</v>
      </c>
      <c r="G14" s="57">
        <v>1.0622604821000001</v>
      </c>
      <c r="H14" s="74">
        <v>1.0475653207546123</v>
      </c>
      <c r="I14" s="7">
        <f t="shared" si="0"/>
        <v>2635120106.3965263</v>
      </c>
      <c r="J14" s="7">
        <f t="shared" si="1"/>
        <v>331180.34101692814</v>
      </c>
      <c r="K14" s="22">
        <f t="shared" si="2"/>
        <v>2.327177584067712E-2</v>
      </c>
      <c r="L14" s="8">
        <f t="shared" si="3"/>
        <v>1.7415585208746663E-2</v>
      </c>
      <c r="M14" s="1"/>
      <c r="N14" s="24" t="s">
        <v>58</v>
      </c>
      <c r="O14" s="29" t="s">
        <v>77</v>
      </c>
      <c r="P14" s="9">
        <f t="shared" si="4"/>
        <v>2.327177584067712E-2</v>
      </c>
      <c r="Q14" s="9">
        <f t="shared" si="5"/>
        <v>1.7415585208746663E-2</v>
      </c>
      <c r="R14" s="10">
        <f t="shared" si="6"/>
        <v>252043</v>
      </c>
      <c r="S14" s="10">
        <f t="shared" si="7"/>
        <v>2263418</v>
      </c>
      <c r="T14" s="10">
        <f t="shared" si="8"/>
        <v>2515461</v>
      </c>
      <c r="U14" s="7">
        <f t="shared" si="9"/>
        <v>2515470925</v>
      </c>
      <c r="V14" s="9">
        <f>+VLOOKUP($O14,'2017 Clause Allocations'!A16:H29,8,FALSE)</f>
        <v>0.65814265962225305</v>
      </c>
      <c r="W14" s="14">
        <f t="shared" si="10"/>
        <v>5235720</v>
      </c>
      <c r="X14" s="15">
        <f t="shared" si="11"/>
        <v>0.48</v>
      </c>
      <c r="Y14" s="16" t="s">
        <v>46</v>
      </c>
      <c r="Z14" s="26"/>
      <c r="AA14" s="49"/>
      <c r="AC14" s="52"/>
      <c r="AD14" s="50"/>
    </row>
    <row r="15" spans="1:30" x14ac:dyDescent="0.3">
      <c r="A15" t="s">
        <v>59</v>
      </c>
      <c r="B15" s="1" t="s">
        <v>59</v>
      </c>
      <c r="C15" s="3" t="s">
        <v>60</v>
      </c>
      <c r="D15" s="54">
        <v>0.91570399920434797</v>
      </c>
      <c r="E15" s="55">
        <v>172992260</v>
      </c>
      <c r="F15" s="56">
        <v>21565.893457933671</v>
      </c>
      <c r="G15" s="57">
        <v>1.0241800000000001</v>
      </c>
      <c r="H15" s="74">
        <v>1.0192606088906659</v>
      </c>
      <c r="I15" s="7">
        <f t="shared" si="0"/>
        <v>176324196.26097238</v>
      </c>
      <c r="J15" s="7">
        <f t="shared" si="1"/>
        <v>22087.356761746509</v>
      </c>
      <c r="K15" s="22">
        <f t="shared" si="2"/>
        <v>1.5571879098460501E-3</v>
      </c>
      <c r="L15" s="8">
        <f t="shared" si="3"/>
        <v>1.1614947992958349E-3</v>
      </c>
      <c r="M15" s="1"/>
      <c r="N15" s="24" t="s">
        <v>60</v>
      </c>
      <c r="O15" s="28" t="s">
        <v>78</v>
      </c>
      <c r="P15" s="9">
        <f t="shared" si="4"/>
        <v>1.5571879098460501E-3</v>
      </c>
      <c r="Q15" s="9">
        <f t="shared" si="5"/>
        <v>1.1614947992958349E-3</v>
      </c>
      <c r="R15" s="10">
        <f t="shared" si="6"/>
        <v>16865</v>
      </c>
      <c r="S15" s="10">
        <f t="shared" si="7"/>
        <v>150954</v>
      </c>
      <c r="T15" s="10">
        <f t="shared" si="8"/>
        <v>167819</v>
      </c>
      <c r="U15" s="7">
        <f t="shared" si="9"/>
        <v>172992260</v>
      </c>
      <c r="V15" s="9">
        <f>+VLOOKUP($O15,'2017 Clause Allocations'!A17:H30,8,FALSE)</f>
        <v>0.72599229864407255</v>
      </c>
      <c r="W15" s="14">
        <f t="shared" si="10"/>
        <v>326416</v>
      </c>
      <c r="X15" s="15">
        <f t="shared" si="11"/>
        <v>0.51</v>
      </c>
      <c r="Y15" s="16" t="s">
        <v>46</v>
      </c>
      <c r="Z15" s="26"/>
      <c r="AA15" s="49"/>
      <c r="AC15" s="52"/>
      <c r="AD15" s="50"/>
    </row>
    <row r="16" spans="1:30" x14ac:dyDescent="0.3">
      <c r="A16" t="s">
        <v>62</v>
      </c>
      <c r="B16" s="1" t="s">
        <v>80</v>
      </c>
      <c r="C16" s="3" t="s">
        <v>74</v>
      </c>
      <c r="D16" s="54">
        <v>0.81305192392116021</v>
      </c>
      <c r="E16" s="55">
        <v>11856926</v>
      </c>
      <c r="F16" s="56">
        <v>1664.7526750432392</v>
      </c>
      <c r="G16" s="57">
        <v>1.0373000000000001</v>
      </c>
      <c r="H16" s="74">
        <v>1.0292106668034724</v>
      </c>
      <c r="I16" s="7">
        <f t="shared" si="0"/>
        <v>12203274.714699429</v>
      </c>
      <c r="J16" s="7">
        <f t="shared" si="1"/>
        <v>1726.8479498223521</v>
      </c>
      <c r="K16" s="22">
        <f t="shared" si="2"/>
        <v>1.0777188978723301E-4</v>
      </c>
      <c r="L16" s="8">
        <f t="shared" si="3"/>
        <v>9.0808734360061044E-5</v>
      </c>
      <c r="M16" s="1"/>
      <c r="N16" s="24" t="s">
        <v>74</v>
      </c>
      <c r="O16" s="28" t="s">
        <v>80</v>
      </c>
      <c r="P16" s="9">
        <f t="shared" si="4"/>
        <v>1.0777188978723301E-4</v>
      </c>
      <c r="Q16" s="9">
        <f t="shared" si="5"/>
        <v>9.0808734360061044E-5</v>
      </c>
      <c r="R16" s="10">
        <f t="shared" si="6"/>
        <v>1167</v>
      </c>
      <c r="S16" s="10">
        <f t="shared" si="7"/>
        <v>11802</v>
      </c>
      <c r="T16" s="10">
        <f t="shared" si="8"/>
        <v>12969</v>
      </c>
      <c r="U16" s="7">
        <f t="shared" si="9"/>
        <v>11856926</v>
      </c>
      <c r="V16" s="9">
        <f>+VLOOKUP($O16,'2017 Clause Allocations'!A18:H31,8,FALSE)</f>
        <v>0.29746236376563995</v>
      </c>
      <c r="W16" s="14">
        <f t="shared" si="10"/>
        <v>54603</v>
      </c>
      <c r="X16" s="16" t="s">
        <v>46</v>
      </c>
      <c r="Y16" s="16" t="s">
        <v>46</v>
      </c>
      <c r="Z16" s="15">
        <f>ROUND(($T$24/$J$24*0.1*$G16)/12,2)</f>
        <v>0.06</v>
      </c>
      <c r="AA16" s="15">
        <f>ROUND(($T$24/$J$24/21*$G16)/12,2)</f>
        <v>0.03</v>
      </c>
      <c r="AC16" s="52"/>
      <c r="AD16" s="50"/>
    </row>
    <row r="17" spans="1:30" x14ac:dyDescent="0.3">
      <c r="A17" t="s">
        <v>61</v>
      </c>
      <c r="B17" s="1" t="s">
        <v>79</v>
      </c>
      <c r="C17" s="3" t="s">
        <v>73</v>
      </c>
      <c r="D17" s="54">
        <v>1.6973779931299782</v>
      </c>
      <c r="E17" s="55">
        <v>89667754</v>
      </c>
      <c r="F17" s="56">
        <v>6030.5041178798392</v>
      </c>
      <c r="G17" s="57">
        <v>1.0241800000000001</v>
      </c>
      <c r="H17" s="74">
        <v>1.0192606088906659</v>
      </c>
      <c r="I17" s="7">
        <f t="shared" si="0"/>
        <v>91394809.53989844</v>
      </c>
      <c r="J17" s="7">
        <f t="shared" si="1"/>
        <v>6176.3217074501745</v>
      </c>
      <c r="K17" s="22">
        <f t="shared" si="2"/>
        <v>8.071432931846188E-4</v>
      </c>
      <c r="L17" s="8">
        <f t="shared" si="3"/>
        <v>3.247905858253588E-4</v>
      </c>
      <c r="M17" s="1"/>
      <c r="N17" s="24" t="s">
        <v>73</v>
      </c>
      <c r="O17" s="28" t="s">
        <v>79</v>
      </c>
      <c r="P17" s="9">
        <f t="shared" si="4"/>
        <v>8.071432931846188E-4</v>
      </c>
      <c r="Q17" s="9">
        <f t="shared" si="5"/>
        <v>3.247905858253588E-4</v>
      </c>
      <c r="R17" s="10">
        <f t="shared" si="6"/>
        <v>8742</v>
      </c>
      <c r="S17" s="10">
        <f t="shared" si="7"/>
        <v>42211</v>
      </c>
      <c r="T17" s="10">
        <f t="shared" si="8"/>
        <v>50953</v>
      </c>
      <c r="U17" s="7">
        <f t="shared" si="9"/>
        <v>89667754</v>
      </c>
      <c r="V17" s="9">
        <f>+VLOOKUP($O17,'2017 Clause Allocations'!A19:H32,8,FALSE)</f>
        <v>0.11360450040809923</v>
      </c>
      <c r="W17" s="14">
        <f t="shared" si="10"/>
        <v>1081230</v>
      </c>
      <c r="X17" s="16" t="s">
        <v>46</v>
      </c>
      <c r="Y17" s="16" t="s">
        <v>46</v>
      </c>
      <c r="Z17" s="15">
        <f>ROUND(($T$24/$J$24*0.1*$G17)/12,2)</f>
        <v>0.06</v>
      </c>
      <c r="AA17" s="15">
        <f>ROUND(($T$24/$J$24/21*$G17)/12,2)</f>
        <v>0.03</v>
      </c>
      <c r="AC17" s="52"/>
      <c r="AD17" s="50"/>
    </row>
    <row r="18" spans="1:30" x14ac:dyDescent="0.3">
      <c r="A18" t="s">
        <v>63</v>
      </c>
      <c r="B18" s="1" t="s">
        <v>103</v>
      </c>
      <c r="C18" s="3" t="s">
        <v>64</v>
      </c>
      <c r="D18" s="54">
        <v>0.91646376947027908</v>
      </c>
      <c r="E18" s="55">
        <v>2789043893</v>
      </c>
      <c r="F18" s="56">
        <v>347404.9020336679</v>
      </c>
      <c r="G18" s="57">
        <v>1.0597854812</v>
      </c>
      <c r="H18" s="74">
        <v>1.0464315566381621</v>
      </c>
      <c r="I18" s="7">
        <f t="shared" si="0"/>
        <v>2918543542.4841495</v>
      </c>
      <c r="J18" s="7">
        <f t="shared" si="1"/>
        <v>368174.6712729896</v>
      </c>
      <c r="K18" s="22">
        <f t="shared" si="2"/>
        <v>2.5774799007103194E-2</v>
      </c>
      <c r="L18" s="8">
        <f t="shared" si="3"/>
        <v>1.9360984228617897E-2</v>
      </c>
      <c r="M18" s="1"/>
      <c r="N18" s="24" t="s">
        <v>64</v>
      </c>
      <c r="O18" s="28" t="s">
        <v>81</v>
      </c>
      <c r="P18" s="9">
        <f t="shared" si="4"/>
        <v>2.5774799007103194E-2</v>
      </c>
      <c r="Q18" s="9">
        <f t="shared" si="5"/>
        <v>1.9360984228617897E-2</v>
      </c>
      <c r="R18" s="10">
        <f t="shared" si="6"/>
        <v>279152</v>
      </c>
      <c r="S18" s="10">
        <f t="shared" si="7"/>
        <v>2516251</v>
      </c>
      <c r="T18" s="10">
        <f t="shared" si="8"/>
        <v>2795403</v>
      </c>
      <c r="U18" s="7">
        <f t="shared" si="9"/>
        <v>2789043893</v>
      </c>
      <c r="V18" s="9">
        <f>+VLOOKUP($O18,'2017 Clause Allocations'!A20:H33,8,FALSE)</f>
        <v>0.78094036696158942</v>
      </c>
      <c r="W18" s="14">
        <f t="shared" si="10"/>
        <v>4892317</v>
      </c>
      <c r="X18" s="15">
        <f t="shared" ref="X18:X20" si="12">ROUND(T18/W18,2)</f>
        <v>0.56999999999999995</v>
      </c>
      <c r="Y18" s="16" t="s">
        <v>46</v>
      </c>
      <c r="Z18" s="26"/>
      <c r="AA18" s="49"/>
      <c r="AC18" s="52"/>
      <c r="AD18" s="50"/>
    </row>
    <row r="19" spans="1:30" x14ac:dyDescent="0.3">
      <c r="A19" t="s">
        <v>65</v>
      </c>
      <c r="B19" s="1" t="s">
        <v>65</v>
      </c>
      <c r="C19" s="3" t="s">
        <v>66</v>
      </c>
      <c r="D19" s="54">
        <v>0.96103925896986386</v>
      </c>
      <c r="E19" s="55">
        <v>1508335314</v>
      </c>
      <c r="F19" s="56">
        <v>179164.78954242368</v>
      </c>
      <c r="G19" s="57">
        <v>1.0241800000000001</v>
      </c>
      <c r="H19" s="74">
        <v>1.0192606088906659</v>
      </c>
      <c r="I19" s="7">
        <f t="shared" si="0"/>
        <v>1537386770.5589337</v>
      </c>
      <c r="J19" s="7">
        <f t="shared" si="1"/>
        <v>183496.9941535595</v>
      </c>
      <c r="K19" s="22">
        <f t="shared" si="2"/>
        <v>1.3577263601011086E-2</v>
      </c>
      <c r="L19" s="8">
        <f t="shared" si="3"/>
        <v>9.6494481750257523E-3</v>
      </c>
      <c r="M19" s="1"/>
      <c r="N19" s="24" t="s">
        <v>66</v>
      </c>
      <c r="O19" s="28" t="s">
        <v>65</v>
      </c>
      <c r="P19" s="9">
        <f t="shared" si="4"/>
        <v>1.3577263601011086E-2</v>
      </c>
      <c r="Q19" s="9">
        <f t="shared" si="5"/>
        <v>9.6494481750257523E-3</v>
      </c>
      <c r="R19" s="10">
        <f t="shared" si="6"/>
        <v>147047</v>
      </c>
      <c r="S19" s="10">
        <f t="shared" si="7"/>
        <v>1254091</v>
      </c>
      <c r="T19" s="10">
        <f t="shared" si="8"/>
        <v>1401138</v>
      </c>
      <c r="U19" s="7">
        <f t="shared" si="9"/>
        <v>1508335314</v>
      </c>
      <c r="V19" s="9">
        <f>+VLOOKUP($O19,'2017 Clause Allocations'!A20:H34,8,FALSE)</f>
        <v>0.77146404890770437</v>
      </c>
      <c r="W19" s="14">
        <f t="shared" si="10"/>
        <v>2678301</v>
      </c>
      <c r="X19" s="15">
        <f t="shared" si="12"/>
        <v>0.52</v>
      </c>
      <c r="Y19" s="16" t="s">
        <v>46</v>
      </c>
      <c r="Z19" s="26"/>
      <c r="AA19" s="49"/>
      <c r="AC19" s="52"/>
      <c r="AD19" s="50"/>
    </row>
    <row r="20" spans="1:30" x14ac:dyDescent="0.3">
      <c r="A20" t="s">
        <v>67</v>
      </c>
      <c r="B20" s="1" t="s">
        <v>67</v>
      </c>
      <c r="C20" s="3" t="s">
        <v>67</v>
      </c>
      <c r="D20" s="54">
        <v>0.75967454791716083</v>
      </c>
      <c r="E20" s="55">
        <v>91208296</v>
      </c>
      <c r="F20" s="56">
        <v>13705.745394024221</v>
      </c>
      <c r="G20" s="57">
        <v>1.0373000000000001</v>
      </c>
      <c r="H20" s="74">
        <v>1.0292106668034724</v>
      </c>
      <c r="I20" s="7">
        <f t="shared" si="0"/>
        <v>93872551.144168481</v>
      </c>
      <c r="J20" s="7">
        <f t="shared" si="1"/>
        <v>14216.969697221326</v>
      </c>
      <c r="K20" s="22">
        <f t="shared" si="2"/>
        <v>8.2902519794703327E-4</v>
      </c>
      <c r="L20" s="8">
        <f t="shared" si="3"/>
        <v>7.4761939797468667E-4</v>
      </c>
      <c r="M20" s="1"/>
      <c r="N20" s="3" t="s">
        <v>67</v>
      </c>
      <c r="O20" s="28" t="s">
        <v>67</v>
      </c>
      <c r="P20" s="9">
        <f t="shared" si="4"/>
        <v>8.2902519794703327E-4</v>
      </c>
      <c r="Q20" s="9">
        <f t="shared" si="5"/>
        <v>7.4761939797468667E-4</v>
      </c>
      <c r="R20" s="10">
        <f t="shared" si="6"/>
        <v>8979</v>
      </c>
      <c r="S20" s="10">
        <f t="shared" si="7"/>
        <v>97164</v>
      </c>
      <c r="T20" s="10">
        <f t="shared" si="8"/>
        <v>106143</v>
      </c>
      <c r="U20" s="7">
        <f t="shared" si="9"/>
        <v>91208296</v>
      </c>
      <c r="V20" s="9">
        <f>+VLOOKUP($O20,'2017 Clause Allocations'!A22:H35,8,FALSE)</f>
        <v>0.64840583943892816</v>
      </c>
      <c r="W20" s="14">
        <f t="shared" si="10"/>
        <v>192692</v>
      </c>
      <c r="X20" s="15">
        <f t="shared" si="12"/>
        <v>0.55000000000000004</v>
      </c>
      <c r="Y20" s="16" t="s">
        <v>46</v>
      </c>
      <c r="Z20" s="26"/>
      <c r="AA20" s="49"/>
      <c r="AC20" s="52"/>
      <c r="AD20" s="50"/>
    </row>
    <row r="21" spans="1:30" x14ac:dyDescent="0.3">
      <c r="A21" t="s">
        <v>0</v>
      </c>
      <c r="B21" s="1" t="s">
        <v>104</v>
      </c>
      <c r="C21" s="3" t="s">
        <v>68</v>
      </c>
      <c r="D21" s="54">
        <v>3.0718274103444831</v>
      </c>
      <c r="E21" s="55">
        <v>658706942</v>
      </c>
      <c r="F21" s="56">
        <v>24478.867575526161</v>
      </c>
      <c r="G21" s="57">
        <v>1.07429</v>
      </c>
      <c r="H21" s="74">
        <v>1.0570946834402213</v>
      </c>
      <c r="I21" s="7">
        <f t="shared" si="0"/>
        <v>696315606.33336616</v>
      </c>
      <c r="J21" s="7">
        <f t="shared" si="1"/>
        <v>26297.402647711999</v>
      </c>
      <c r="K21" s="22">
        <f t="shared" si="2"/>
        <v>6.1494353390649046E-3</v>
      </c>
      <c r="L21" s="8">
        <f t="shared" si="3"/>
        <v>1.3828859985277287E-3</v>
      </c>
      <c r="M21" s="1"/>
      <c r="N21" s="3" t="s">
        <v>68</v>
      </c>
      <c r="O21" s="28" t="s">
        <v>82</v>
      </c>
      <c r="P21" s="9">
        <f t="shared" si="4"/>
        <v>6.1494353390649046E-3</v>
      </c>
      <c r="Q21" s="9">
        <f t="shared" si="5"/>
        <v>1.3828859985277287E-3</v>
      </c>
      <c r="R21" s="10">
        <f t="shared" si="6"/>
        <v>66601</v>
      </c>
      <c r="S21" s="10">
        <f t="shared" si="7"/>
        <v>179727</v>
      </c>
      <c r="T21" s="10">
        <f t="shared" si="8"/>
        <v>246328</v>
      </c>
      <c r="U21" s="7">
        <f t="shared" si="9"/>
        <v>658706942</v>
      </c>
      <c r="V21" s="11"/>
      <c r="W21" s="2" t="s">
        <v>46</v>
      </c>
      <c r="X21" s="13" t="s">
        <v>46</v>
      </c>
      <c r="Y21" s="12">
        <f t="shared" ref="Y21:Y22" si="13">ROUND(T21/U21,5)</f>
        <v>3.6999999999999999E-4</v>
      </c>
      <c r="Z21" s="26"/>
      <c r="AC21" s="52"/>
      <c r="AD21" s="51"/>
    </row>
    <row r="22" spans="1:30" x14ac:dyDescent="0.3">
      <c r="A22" t="s">
        <v>72</v>
      </c>
      <c r="B22" s="1" t="s">
        <v>105</v>
      </c>
      <c r="C22" s="3" t="s">
        <v>69</v>
      </c>
      <c r="D22" s="54">
        <v>0.99806396384430429</v>
      </c>
      <c r="E22" s="55">
        <v>103004444</v>
      </c>
      <c r="F22" s="56">
        <v>11781.307210236357</v>
      </c>
      <c r="G22" s="57">
        <v>1.07429</v>
      </c>
      <c r="H22" s="74">
        <v>1.0570946834402213</v>
      </c>
      <c r="I22" s="7">
        <f t="shared" si="0"/>
        <v>108885450.123116</v>
      </c>
      <c r="J22" s="7">
        <f t="shared" si="1"/>
        <v>12656.540522884816</v>
      </c>
      <c r="K22" s="22">
        <f t="shared" si="2"/>
        <v>9.6160997801406512E-4</v>
      </c>
      <c r="L22" s="8">
        <f t="shared" si="3"/>
        <v>6.6556202958009767E-4</v>
      </c>
      <c r="M22" s="1"/>
      <c r="N22" s="3" t="s">
        <v>70</v>
      </c>
      <c r="O22" s="28" t="s">
        <v>83</v>
      </c>
      <c r="P22" s="9">
        <f t="shared" si="4"/>
        <v>9.6160997801406512E-4</v>
      </c>
      <c r="Q22" s="9">
        <f t="shared" si="5"/>
        <v>6.6556202958009767E-4</v>
      </c>
      <c r="R22" s="10">
        <f t="shared" si="6"/>
        <v>10415</v>
      </c>
      <c r="S22" s="10">
        <f t="shared" si="7"/>
        <v>86500</v>
      </c>
      <c r="T22" s="10">
        <f t="shared" si="8"/>
        <v>96915</v>
      </c>
      <c r="U22" s="7">
        <f t="shared" si="9"/>
        <v>103004444</v>
      </c>
      <c r="V22" s="11"/>
      <c r="W22" s="2" t="s">
        <v>46</v>
      </c>
      <c r="X22" s="13" t="s">
        <v>46</v>
      </c>
      <c r="Y22" s="12">
        <f t="shared" si="13"/>
        <v>9.3999999999999997E-4</v>
      </c>
      <c r="Z22" s="26"/>
      <c r="AC22" s="52"/>
      <c r="AD22" s="51"/>
    </row>
    <row r="23" spans="1:30" x14ac:dyDescent="0.3">
      <c r="B23" s="1"/>
      <c r="C23" s="1"/>
      <c r="D23" s="5"/>
      <c r="E23" s="6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8"/>
      <c r="T23" s="1"/>
      <c r="U23" s="1"/>
      <c r="V23" s="1"/>
      <c r="W23" s="1"/>
      <c r="X23" s="19"/>
      <c r="Y23" s="4"/>
    </row>
    <row r="24" spans="1:30" x14ac:dyDescent="0.3">
      <c r="B24" s="1"/>
      <c r="C24" s="3" t="s">
        <v>71</v>
      </c>
      <c r="D24" s="1"/>
      <c r="E24" s="7">
        <f>SUM(E9:E22)</f>
        <v>107246477186</v>
      </c>
      <c r="F24" s="7">
        <f>SUM(F9:F22)</f>
        <v>17722160.671573929</v>
      </c>
      <c r="G24" s="1"/>
      <c r="H24" s="75"/>
      <c r="I24" s="7">
        <f>SUM(I9:I22)</f>
        <v>113232446223.14368</v>
      </c>
      <c r="J24" s="7">
        <f>SUM(J9:J22)</f>
        <v>19016319.98278179</v>
      </c>
      <c r="K24" s="20">
        <f>SUM(K9:K22)</f>
        <v>1</v>
      </c>
      <c r="L24" s="20">
        <f>SUM(L9:L22)</f>
        <v>1</v>
      </c>
      <c r="M24" s="1"/>
      <c r="N24" s="3" t="s">
        <v>71</v>
      </c>
      <c r="O24" s="3"/>
      <c r="P24" s="1"/>
      <c r="Q24" s="1"/>
      <c r="R24" s="10">
        <f>SUM(R9:R22)</f>
        <v>10830423</v>
      </c>
      <c r="S24" s="10">
        <f>SUM(S9:S22)</f>
        <v>129965060</v>
      </c>
      <c r="T24" s="71">
        <v>140795481.15148523</v>
      </c>
      <c r="U24" s="7">
        <f>SUM(U9:U22)</f>
        <v>107246477186</v>
      </c>
      <c r="V24" s="1"/>
      <c r="W24" s="7">
        <f>SUM(W9:W22)</f>
        <v>110210390</v>
      </c>
      <c r="X24" s="19"/>
      <c r="Y24" s="21"/>
    </row>
    <row r="26" spans="1:30" x14ac:dyDescent="0.3">
      <c r="G26" s="23"/>
      <c r="H26" s="23"/>
    </row>
    <row r="42" spans="2:6" x14ac:dyDescent="0.3">
      <c r="F42" s="60"/>
    </row>
    <row r="43" spans="2:6" ht="15" x14ac:dyDescent="0.25">
      <c r="B43" s="67"/>
      <c r="C43" t="s">
        <v>106</v>
      </c>
      <c r="F43" s="59"/>
    </row>
    <row r="44" spans="2:6" x14ac:dyDescent="0.3">
      <c r="B44" s="69"/>
      <c r="C44" t="s">
        <v>102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showGridLines="0" zoomScale="90" zoomScaleNormal="90" workbookViewId="0">
      <selection activeCell="A2" sqref="A1:A2"/>
    </sheetView>
  </sheetViews>
  <sheetFormatPr defaultColWidth="9.109375" defaultRowHeight="13.2" x14ac:dyDescent="0.25"/>
  <cols>
    <col min="1" max="1" width="40.6640625" style="30" customWidth="1"/>
    <col min="2" max="2" width="16.6640625" style="32" bestFit="1" customWidth="1"/>
    <col min="3" max="3" width="17.33203125" style="33" bestFit="1" customWidth="1"/>
    <col min="4" max="4" width="14.109375" style="33" customWidth="1"/>
    <col min="5" max="5" width="23.44140625" style="33" customWidth="1"/>
    <col min="6" max="6" width="19.33203125" style="34" customWidth="1"/>
    <col min="7" max="7" width="20.88671875" style="34" customWidth="1"/>
    <col min="8" max="8" width="14" style="32" customWidth="1"/>
    <col min="9" max="16384" width="9.109375" style="30"/>
  </cols>
  <sheetData>
    <row r="1" spans="1:8" ht="14.4" x14ac:dyDescent="0.3">
      <c r="A1" s="81" t="s">
        <v>111</v>
      </c>
    </row>
    <row r="2" spans="1:8" ht="14.4" x14ac:dyDescent="0.3">
      <c r="A2" s="81" t="s">
        <v>109</v>
      </c>
    </row>
    <row r="3" spans="1:8" ht="21" x14ac:dyDescent="0.4">
      <c r="A3" s="78" t="s">
        <v>84</v>
      </c>
      <c r="B3" s="78"/>
      <c r="C3" s="78"/>
      <c r="D3" s="78"/>
      <c r="E3" s="78"/>
      <c r="F3" s="78"/>
      <c r="G3" s="78"/>
      <c r="H3" s="78"/>
    </row>
    <row r="4" spans="1:8" ht="21" x14ac:dyDescent="0.4">
      <c r="A4" s="78" t="s">
        <v>107</v>
      </c>
      <c r="B4" s="78"/>
      <c r="C4" s="78"/>
      <c r="D4" s="78"/>
      <c r="E4" s="78"/>
      <c r="F4" s="78"/>
      <c r="G4" s="78"/>
      <c r="H4" s="78"/>
    </row>
    <row r="5" spans="1:8" ht="13.8" x14ac:dyDescent="0.25">
      <c r="A5" s="79" t="s">
        <v>85</v>
      </c>
      <c r="B5" s="79"/>
      <c r="C5" s="79"/>
      <c r="D5" s="79"/>
      <c r="E5" s="79"/>
      <c r="F5" s="79"/>
      <c r="G5" s="79"/>
      <c r="H5" s="79"/>
    </row>
    <row r="6" spans="1:8" ht="21" x14ac:dyDescent="0.4">
      <c r="A6" s="31"/>
    </row>
    <row r="8" spans="1:8" x14ac:dyDescent="0.25">
      <c r="A8" s="35" t="s">
        <v>86</v>
      </c>
      <c r="B8" s="36" t="s">
        <v>23</v>
      </c>
      <c r="C8" s="37" t="s">
        <v>87</v>
      </c>
      <c r="D8" s="38" t="s">
        <v>23</v>
      </c>
      <c r="E8" s="38"/>
      <c r="F8" s="80" t="s">
        <v>88</v>
      </c>
      <c r="G8" s="80"/>
      <c r="H8" s="80"/>
    </row>
    <row r="9" spans="1:8" s="28" customFormat="1" ht="30" customHeight="1" x14ac:dyDescent="0.25">
      <c r="A9" s="35" t="s">
        <v>89</v>
      </c>
      <c r="B9" s="36" t="s">
        <v>88</v>
      </c>
      <c r="C9" s="37" t="s">
        <v>90</v>
      </c>
      <c r="D9" s="37" t="s">
        <v>91</v>
      </c>
      <c r="E9" s="39" t="s">
        <v>92</v>
      </c>
      <c r="F9" s="37" t="s">
        <v>93</v>
      </c>
      <c r="G9" s="40" t="s">
        <v>94</v>
      </c>
      <c r="H9" s="36" t="s">
        <v>95</v>
      </c>
    </row>
    <row r="10" spans="1:8" s="28" customFormat="1" x14ac:dyDescent="0.25">
      <c r="A10" s="35"/>
      <c r="B10" s="36" t="s">
        <v>96</v>
      </c>
      <c r="C10" s="37" t="s">
        <v>97</v>
      </c>
      <c r="D10" s="41"/>
      <c r="E10" s="39" t="s">
        <v>98</v>
      </c>
      <c r="F10" s="39" t="s">
        <v>98</v>
      </c>
      <c r="G10" s="39" t="s">
        <v>98</v>
      </c>
      <c r="H10" s="36"/>
    </row>
    <row r="11" spans="1:8" s="28" customFormat="1" ht="13.8" thickBot="1" x14ac:dyDescent="0.3">
      <c r="A11" s="42"/>
      <c r="B11" s="43"/>
      <c r="C11" s="44"/>
      <c r="D11" s="45"/>
      <c r="E11" s="45"/>
      <c r="F11" s="45"/>
      <c r="G11" s="45"/>
      <c r="H11" s="43"/>
    </row>
    <row r="12" spans="1:8" x14ac:dyDescent="0.25">
      <c r="C12" s="72"/>
      <c r="D12" s="72"/>
      <c r="E12" s="72"/>
      <c r="F12" s="73"/>
      <c r="G12" s="73"/>
    </row>
    <row r="13" spans="1:8" ht="14.1" customHeight="1" x14ac:dyDescent="0.25">
      <c r="A13" s="28" t="s">
        <v>44</v>
      </c>
      <c r="B13" s="46">
        <f>+C13/8760/D13</f>
        <v>0.62450244019697887</v>
      </c>
      <c r="C13" s="34">
        <f>'2017 WCEC3 Rate Calc'!E9</f>
        <v>56993678507</v>
      </c>
      <c r="D13" s="34">
        <f>'2017 WCEC3 Rate Calc'!F9</f>
        <v>10418098.096454745</v>
      </c>
      <c r="E13" s="53">
        <v>0</v>
      </c>
      <c r="F13" s="53">
        <v>27441903.981951479</v>
      </c>
      <c r="G13" s="53">
        <v>0</v>
      </c>
      <c r="H13" s="47">
        <f>+C13/8760/F13</f>
        <v>0.2370873277498006</v>
      </c>
    </row>
    <row r="14" spans="1:8" ht="14.1" customHeight="1" x14ac:dyDescent="0.25">
      <c r="A14" s="28" t="s">
        <v>47</v>
      </c>
      <c r="B14" s="46">
        <f t="shared" ref="B14:B26" si="0">+C14/8760/D14</f>
        <v>0.69070447751989028</v>
      </c>
      <c r="C14" s="34">
        <f>'2017 WCEC3 Rate Calc'!E10</f>
        <v>5968792122</v>
      </c>
      <c r="D14" s="34">
        <f>'2017 WCEC3 Rate Calc'!F10</f>
        <v>986484.06934499519</v>
      </c>
      <c r="E14" s="53">
        <v>0</v>
      </c>
      <c r="F14" s="53">
        <v>2009160.328825759</v>
      </c>
      <c r="G14" s="53">
        <v>0</v>
      </c>
      <c r="H14" s="47">
        <f>+C14/8760/F14</f>
        <v>0.33913120517208889</v>
      </c>
    </row>
    <row r="15" spans="1:8" s="66" customFormat="1" ht="14.1" customHeight="1" x14ac:dyDescent="0.25">
      <c r="A15" s="61" t="s">
        <v>75</v>
      </c>
      <c r="B15" s="62">
        <f t="shared" si="0"/>
        <v>0.76662831376542595</v>
      </c>
      <c r="C15" s="63">
        <f>'2017 WCEC3 Rate Calc'!E11</f>
        <v>25825428784</v>
      </c>
      <c r="D15" s="63">
        <f>'2017 WCEC3 Rate Calc'!F11</f>
        <v>3845551.0391935059</v>
      </c>
      <c r="E15" s="64">
        <v>0</v>
      </c>
      <c r="F15" s="64">
        <v>5868713.9495701874</v>
      </c>
      <c r="G15" s="64">
        <v>0</v>
      </c>
      <c r="H15" s="65">
        <f>+C15/8760/F15</f>
        <v>0.50234315967840149</v>
      </c>
    </row>
    <row r="16" spans="1:8" ht="14.1" customHeight="1" x14ac:dyDescent="0.25">
      <c r="A16" s="28" t="s">
        <v>52</v>
      </c>
      <c r="B16" s="46">
        <f t="shared" si="0"/>
        <v>1.5101013416409526</v>
      </c>
      <c r="C16" s="34">
        <f>'2017 WCEC3 Rate Calc'!E12</f>
        <v>10793313</v>
      </c>
      <c r="D16" s="34">
        <f>'2017 WCEC3 Rate Calc'!F12</f>
        <v>815.91435103653828</v>
      </c>
      <c r="E16" s="53">
        <v>0</v>
      </c>
      <c r="F16" s="53">
        <v>12933.1126208973</v>
      </c>
      <c r="G16" s="53">
        <v>0</v>
      </c>
      <c r="H16" s="47">
        <f>+C16/8760/F16</f>
        <v>9.5268122398743896E-2</v>
      </c>
    </row>
    <row r="17" spans="1:8" s="66" customFormat="1" ht="14.1" customHeight="1" x14ac:dyDescent="0.25">
      <c r="A17" s="61" t="s">
        <v>76</v>
      </c>
      <c r="B17" s="62">
        <f t="shared" si="0"/>
        <v>0.77204622579970805</v>
      </c>
      <c r="C17" s="63">
        <f>'2017 WCEC3 Rate Calc'!E13</f>
        <v>10507497706</v>
      </c>
      <c r="D17" s="63">
        <f>'2017 WCEC3 Rate Calc'!F13</f>
        <v>1553645.3639874402</v>
      </c>
      <c r="E17" s="64">
        <v>0</v>
      </c>
      <c r="F17" s="64">
        <v>2110378.6555573731</v>
      </c>
      <c r="G17" s="64">
        <v>0</v>
      </c>
      <c r="H17" s="65">
        <f>+C17/8760/F17</f>
        <v>0.56837479678779257</v>
      </c>
    </row>
    <row r="18" spans="1:8" s="66" customFormat="1" ht="14.1" customHeight="1" x14ac:dyDescent="0.25">
      <c r="A18" s="61" t="s">
        <v>77</v>
      </c>
      <c r="B18" s="62">
        <f t="shared" si="0"/>
        <v>0.92104674486513582</v>
      </c>
      <c r="C18" s="63">
        <f>'2017 WCEC3 Rate Calc'!E14</f>
        <v>2515470925</v>
      </c>
      <c r="D18" s="63">
        <f>'2017 WCEC3 Rate Calc'!F14</f>
        <v>311769.42623546749</v>
      </c>
      <c r="E18" s="64">
        <v>0</v>
      </c>
      <c r="F18" s="64">
        <v>436309.98687649751</v>
      </c>
      <c r="G18" s="64">
        <v>0</v>
      </c>
      <c r="H18" s="65">
        <f t="shared" ref="H18:H20" si="1">+C18/8760/F18</f>
        <v>0.65814265962225305</v>
      </c>
    </row>
    <row r="19" spans="1:8" s="66" customFormat="1" ht="14.1" customHeight="1" x14ac:dyDescent="0.25">
      <c r="A19" s="66" t="s">
        <v>78</v>
      </c>
      <c r="B19" s="62">
        <f t="shared" si="0"/>
        <v>0.91570399920434808</v>
      </c>
      <c r="C19" s="63">
        <f>'2017 WCEC3 Rate Calc'!E15</f>
        <v>172992260</v>
      </c>
      <c r="D19" s="63">
        <f>'2017 WCEC3 Rate Calc'!F15</f>
        <v>21565.893457933671</v>
      </c>
      <c r="E19" s="64">
        <v>0</v>
      </c>
      <c r="F19" s="64">
        <v>0</v>
      </c>
      <c r="G19" s="64">
        <v>27201.355885906523</v>
      </c>
      <c r="H19" s="65">
        <f>+C19/8760/G19</f>
        <v>0.72599229864407255</v>
      </c>
    </row>
    <row r="20" spans="1:8" ht="14.1" customHeight="1" x14ac:dyDescent="0.25">
      <c r="A20" s="28" t="s">
        <v>80</v>
      </c>
      <c r="B20" s="46">
        <f t="shared" si="0"/>
        <v>0.81305192392116021</v>
      </c>
      <c r="C20" s="34">
        <f>'2017 WCEC3 Rate Calc'!E16</f>
        <v>11856926</v>
      </c>
      <c r="D20" s="34">
        <f>'2017 WCEC3 Rate Calc'!F16</f>
        <v>1664.7526750432392</v>
      </c>
      <c r="E20" s="53">
        <v>0</v>
      </c>
      <c r="F20" s="53">
        <v>4550.257545735104</v>
      </c>
      <c r="G20" s="53">
        <v>0</v>
      </c>
      <c r="H20" s="47">
        <f t="shared" si="1"/>
        <v>0.29746236376563995</v>
      </c>
    </row>
    <row r="21" spans="1:8" ht="14.1" customHeight="1" x14ac:dyDescent="0.25">
      <c r="A21" s="28" t="s">
        <v>79</v>
      </c>
      <c r="B21" s="46">
        <f>+C21/8760/D21</f>
        <v>1.6973779931299779</v>
      </c>
      <c r="C21" s="34">
        <f>'2017 WCEC3 Rate Calc'!E17</f>
        <v>89667754</v>
      </c>
      <c r="D21" s="34">
        <f>'2017 WCEC3 Rate Calc'!F17</f>
        <v>6030.5041178798392</v>
      </c>
      <c r="E21" s="53">
        <v>0</v>
      </c>
      <c r="F21" s="53">
        <v>90102.460205345778</v>
      </c>
      <c r="G21" s="53">
        <v>0</v>
      </c>
      <c r="H21" s="47">
        <f>+C21/8760/F21</f>
        <v>0.11360450040809923</v>
      </c>
    </row>
    <row r="22" spans="1:8" s="66" customFormat="1" ht="14.1" customHeight="1" x14ac:dyDescent="0.25">
      <c r="A22" s="66" t="s">
        <v>81</v>
      </c>
      <c r="B22" s="62">
        <f t="shared" si="0"/>
        <v>0.91646376947027908</v>
      </c>
      <c r="C22" s="63">
        <f>'2017 WCEC3 Rate Calc'!E18</f>
        <v>2789043893</v>
      </c>
      <c r="D22" s="63">
        <f>'2017 WCEC3 Rate Calc'!F18</f>
        <v>347404.9020336679</v>
      </c>
      <c r="E22" s="64">
        <v>0</v>
      </c>
      <c r="F22" s="64">
        <v>0</v>
      </c>
      <c r="G22" s="64">
        <v>407693.10887202231</v>
      </c>
      <c r="H22" s="65">
        <f>+C22/8760/G22</f>
        <v>0.78094036696158942</v>
      </c>
    </row>
    <row r="23" spans="1:8" s="66" customFormat="1" ht="14.1" customHeight="1" x14ac:dyDescent="0.25">
      <c r="A23" s="66" t="s">
        <v>65</v>
      </c>
      <c r="B23" s="62">
        <f t="shared" si="0"/>
        <v>0.96103925896986386</v>
      </c>
      <c r="C23" s="63">
        <f>'2017 WCEC3 Rate Calc'!E19</f>
        <v>1508335314</v>
      </c>
      <c r="D23" s="63">
        <f>'2017 WCEC3 Rate Calc'!F19</f>
        <v>179164.78954242368</v>
      </c>
      <c r="E23" s="64">
        <v>0</v>
      </c>
      <c r="F23" s="64">
        <v>0</v>
      </c>
      <c r="G23" s="64">
        <v>223191.73112361334</v>
      </c>
      <c r="H23" s="65">
        <f>+C23/8760/G23</f>
        <v>0.77146404890770437</v>
      </c>
    </row>
    <row r="24" spans="1:8" ht="14.1" customHeight="1" x14ac:dyDescent="0.25">
      <c r="A24" s="28" t="s">
        <v>67</v>
      </c>
      <c r="B24" s="46">
        <f t="shared" si="0"/>
        <v>0.75967454791716083</v>
      </c>
      <c r="C24" s="34">
        <f>'2017 WCEC3 Rate Calc'!E20</f>
        <v>91208296</v>
      </c>
      <c r="D24" s="34">
        <f>'2017 WCEC3 Rate Calc'!F20</f>
        <v>13705.745394024221</v>
      </c>
      <c r="E24" s="53">
        <v>16057.699210547798</v>
      </c>
      <c r="F24" s="53">
        <v>0</v>
      </c>
      <c r="G24" s="53">
        <v>0</v>
      </c>
      <c r="H24" s="47">
        <f>+$C24/8760/E24</f>
        <v>0.64840583943892816</v>
      </c>
    </row>
    <row r="25" spans="1:8" ht="14.1" customHeight="1" x14ac:dyDescent="0.25">
      <c r="A25" s="28" t="s">
        <v>82</v>
      </c>
      <c r="B25" s="46">
        <f t="shared" si="0"/>
        <v>3.0718274103444836</v>
      </c>
      <c r="C25" s="34">
        <f>'2017 WCEC3 Rate Calc'!E21</f>
        <v>658706942</v>
      </c>
      <c r="D25" s="34">
        <f>'2017 WCEC3 Rate Calc'!F21</f>
        <v>24478.867575526161</v>
      </c>
      <c r="E25" s="53">
        <v>0</v>
      </c>
      <c r="F25" s="53">
        <v>153629.50253295744</v>
      </c>
      <c r="G25" s="53">
        <v>0</v>
      </c>
      <c r="H25" s="47">
        <f>+C25/8760/F25</f>
        <v>0.48945583467317977</v>
      </c>
    </row>
    <row r="26" spans="1:8" ht="14.1" customHeight="1" x14ac:dyDescent="0.25">
      <c r="A26" s="28" t="s">
        <v>83</v>
      </c>
      <c r="B26" s="46">
        <f t="shared" si="0"/>
        <v>0.9980639638443044</v>
      </c>
      <c r="C26" s="34">
        <f>'2017 WCEC3 Rate Calc'!E22</f>
        <v>103004444</v>
      </c>
      <c r="D26" s="34">
        <f>'2017 WCEC3 Rate Calc'!F22</f>
        <v>11781.307210236357</v>
      </c>
      <c r="E26" s="53">
        <v>0</v>
      </c>
      <c r="F26" s="53">
        <v>12363.282645920508</v>
      </c>
      <c r="G26" s="53">
        <v>0</v>
      </c>
      <c r="H26" s="47">
        <f>+C26/8760/F26</f>
        <v>0.95108220933506793</v>
      </c>
    </row>
    <row r="27" spans="1:8" x14ac:dyDescent="0.25">
      <c r="E27" s="53"/>
      <c r="F27" s="53"/>
      <c r="G27" s="53"/>
      <c r="H27" s="47"/>
    </row>
    <row r="28" spans="1:8" ht="13.8" thickBot="1" x14ac:dyDescent="0.3">
      <c r="A28" s="30" t="s">
        <v>71</v>
      </c>
      <c r="C28" s="48">
        <f>SUM(C13:C27)</f>
        <v>107246477186</v>
      </c>
      <c r="D28" s="48">
        <f t="shared" ref="D28:G28" si="2">SUM(D13:D27)</f>
        <v>17722160.671573929</v>
      </c>
      <c r="E28" s="48">
        <f t="shared" si="2"/>
        <v>16057.699210547798</v>
      </c>
      <c r="F28" s="48">
        <f t="shared" si="2"/>
        <v>38140045.518332146</v>
      </c>
      <c r="G28" s="48">
        <f t="shared" si="2"/>
        <v>658086.19588154217</v>
      </c>
    </row>
    <row r="29" spans="1:8" ht="13.8" thickTop="1" x14ac:dyDescent="0.25"/>
    <row r="33" spans="1:7" x14ac:dyDescent="0.25">
      <c r="A33" s="29"/>
    </row>
    <row r="34" spans="1:7" x14ac:dyDescent="0.25">
      <c r="A34" s="29"/>
    </row>
    <row r="35" spans="1:7" x14ac:dyDescent="0.25">
      <c r="A35" s="28"/>
    </row>
    <row r="36" spans="1:7" s="32" customFormat="1" x14ac:dyDescent="0.25">
      <c r="A36" s="28"/>
      <c r="C36" s="33"/>
      <c r="D36" s="33"/>
      <c r="E36" s="33"/>
      <c r="F36" s="34"/>
      <c r="G36" s="34"/>
    </row>
    <row r="37" spans="1:7" s="32" customFormat="1" x14ac:dyDescent="0.25">
      <c r="A37" s="28"/>
      <c r="C37" s="33"/>
      <c r="D37" s="33"/>
      <c r="E37" s="33"/>
      <c r="F37" s="34"/>
      <c r="G37" s="34"/>
    </row>
    <row r="38" spans="1:7" s="32" customFormat="1" x14ac:dyDescent="0.25">
      <c r="A38" s="28"/>
      <c r="C38" s="33"/>
      <c r="D38" s="33"/>
      <c r="E38" s="33"/>
      <c r="F38" s="34"/>
      <c r="G38" s="34"/>
    </row>
    <row r="39" spans="1:7" s="32" customFormat="1" x14ac:dyDescent="0.25">
      <c r="A39" s="28"/>
      <c r="C39" s="33"/>
      <c r="D39" s="33"/>
      <c r="E39" s="33"/>
      <c r="F39" s="34"/>
      <c r="G39" s="34"/>
    </row>
  </sheetData>
  <mergeCells count="4">
    <mergeCell ref="A3:H3"/>
    <mergeCell ref="A4:H4"/>
    <mergeCell ref="A5:H5"/>
    <mergeCell ref="F8:H8"/>
  </mergeCells>
  <printOptions horizontalCentered="1"/>
  <pageMargins left="0" right="0" top="0.75" bottom="0.5" header="0.5" footer="0.5"/>
  <pageSetup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zoomScale="120" zoomScaleNormal="120" workbookViewId="0">
      <selection activeCell="A2" sqref="A1:A2"/>
    </sheetView>
  </sheetViews>
  <sheetFormatPr defaultRowHeight="14.4" x14ac:dyDescent="0.3"/>
  <cols>
    <col min="1" max="1" width="11.44140625" customWidth="1"/>
    <col min="3" max="3" width="38.33203125" bestFit="1" customWidth="1"/>
    <col min="5" max="5" width="13.109375" bestFit="1" customWidth="1"/>
    <col min="6" max="6" width="11.6640625" bestFit="1" customWidth="1"/>
    <col min="8" max="8" width="9.5546875" bestFit="1" customWidth="1"/>
    <col min="9" max="9" width="16.109375" customWidth="1"/>
    <col min="10" max="10" width="10.33203125" bestFit="1" customWidth="1"/>
    <col min="11" max="11" width="11.44140625" customWidth="1"/>
    <col min="12" max="12" width="10.109375" bestFit="1" customWidth="1"/>
    <col min="13" max="13" width="4.6640625" customWidth="1"/>
    <col min="14" max="15" width="32.33203125" customWidth="1"/>
    <col min="18" max="18" width="10" bestFit="1" customWidth="1"/>
    <col min="19" max="20" width="10.88671875" bestFit="1" customWidth="1"/>
    <col min="21" max="21" width="13.109375" bestFit="1" customWidth="1"/>
    <col min="22" max="22" width="10" bestFit="1" customWidth="1"/>
    <col min="23" max="23" width="12.109375" bestFit="1" customWidth="1"/>
    <col min="25" max="25" width="17.6640625" bestFit="1" customWidth="1"/>
  </cols>
  <sheetData>
    <row r="1" spans="1:27" x14ac:dyDescent="0.3">
      <c r="A1" s="81" t="s">
        <v>112</v>
      </c>
    </row>
    <row r="2" spans="1:27" x14ac:dyDescent="0.3">
      <c r="A2" s="81" t="s">
        <v>109</v>
      </c>
    </row>
    <row r="3" spans="1:27" x14ac:dyDescent="0.3">
      <c r="B3" s="1"/>
      <c r="C3" s="1"/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1"/>
      <c r="N3" s="1"/>
      <c r="O3" s="1"/>
      <c r="P3" s="2" t="s">
        <v>1</v>
      </c>
      <c r="Q3" s="2" t="s">
        <v>2</v>
      </c>
      <c r="R3" s="2" t="s">
        <v>3</v>
      </c>
      <c r="S3" s="2" t="s">
        <v>4</v>
      </c>
      <c r="T3" s="2" t="s">
        <v>5</v>
      </c>
      <c r="U3" s="2" t="s">
        <v>6</v>
      </c>
      <c r="V3" s="2" t="s">
        <v>7</v>
      </c>
      <c r="W3" s="2" t="s">
        <v>8</v>
      </c>
      <c r="X3" s="2" t="s">
        <v>9</v>
      </c>
      <c r="Y3" s="2" t="s">
        <v>10</v>
      </c>
    </row>
    <row r="4" spans="1:27" x14ac:dyDescent="0.3">
      <c r="B4" s="1"/>
      <c r="C4" s="1"/>
      <c r="D4" s="2" t="s">
        <v>11</v>
      </c>
      <c r="E4" s="2" t="s">
        <v>12</v>
      </c>
      <c r="F4" s="2" t="s">
        <v>12</v>
      </c>
      <c r="G4" s="2" t="s">
        <v>13</v>
      </c>
      <c r="H4" s="2" t="s">
        <v>14</v>
      </c>
      <c r="I4" s="2" t="s">
        <v>12</v>
      </c>
      <c r="J4" s="2" t="s">
        <v>12</v>
      </c>
      <c r="K4" s="2" t="s">
        <v>15</v>
      </c>
      <c r="L4" s="2" t="s">
        <v>15</v>
      </c>
      <c r="M4" s="1"/>
      <c r="N4" s="1"/>
      <c r="O4" s="1"/>
      <c r="P4" s="2" t="s">
        <v>15</v>
      </c>
      <c r="Q4" s="2" t="s">
        <v>15</v>
      </c>
      <c r="R4" s="2" t="s">
        <v>14</v>
      </c>
      <c r="S4" s="2" t="s">
        <v>13</v>
      </c>
      <c r="T4" s="2" t="s">
        <v>16</v>
      </c>
      <c r="U4" s="2" t="s">
        <v>12</v>
      </c>
      <c r="V4" s="2" t="s">
        <v>17</v>
      </c>
      <c r="W4" s="2" t="s">
        <v>18</v>
      </c>
      <c r="X4" s="2" t="s">
        <v>19</v>
      </c>
      <c r="Y4" s="2" t="s">
        <v>19</v>
      </c>
    </row>
    <row r="5" spans="1:27" x14ac:dyDescent="0.3">
      <c r="B5" s="1"/>
      <c r="C5" s="3" t="s">
        <v>20</v>
      </c>
      <c r="D5" s="2" t="s">
        <v>21</v>
      </c>
      <c r="E5" s="2" t="s">
        <v>22</v>
      </c>
      <c r="F5" s="2" t="s">
        <v>23</v>
      </c>
      <c r="G5" s="2" t="s">
        <v>24</v>
      </c>
      <c r="H5" s="2" t="s">
        <v>24</v>
      </c>
      <c r="I5" s="2" t="s">
        <v>22</v>
      </c>
      <c r="J5" s="2" t="s">
        <v>23</v>
      </c>
      <c r="K5" s="2" t="s">
        <v>25</v>
      </c>
      <c r="L5" s="2" t="s">
        <v>26</v>
      </c>
      <c r="M5" s="1"/>
      <c r="N5" s="3" t="s">
        <v>20</v>
      </c>
      <c r="O5" s="3"/>
      <c r="P5" s="2" t="s">
        <v>25</v>
      </c>
      <c r="Q5" s="2" t="s">
        <v>26</v>
      </c>
      <c r="R5" s="2" t="s">
        <v>27</v>
      </c>
      <c r="S5" s="2" t="s">
        <v>27</v>
      </c>
      <c r="T5" s="2" t="s">
        <v>19</v>
      </c>
      <c r="U5" s="2" t="s">
        <v>22</v>
      </c>
      <c r="V5" s="2" t="s">
        <v>21</v>
      </c>
      <c r="W5" s="2" t="s">
        <v>28</v>
      </c>
      <c r="X5" s="2" t="s">
        <v>29</v>
      </c>
      <c r="Y5" s="2" t="s">
        <v>29</v>
      </c>
    </row>
    <row r="6" spans="1:27" x14ac:dyDescent="0.3">
      <c r="B6" s="1"/>
      <c r="C6" s="1"/>
      <c r="D6" s="2" t="s">
        <v>30</v>
      </c>
      <c r="E6" s="2" t="s">
        <v>31</v>
      </c>
      <c r="F6" s="2" t="s">
        <v>30</v>
      </c>
      <c r="G6" s="2" t="s">
        <v>32</v>
      </c>
      <c r="H6" s="2" t="s">
        <v>32</v>
      </c>
      <c r="I6" s="2" t="s">
        <v>33</v>
      </c>
      <c r="J6" s="2" t="s">
        <v>34</v>
      </c>
      <c r="K6" s="2" t="s">
        <v>33</v>
      </c>
      <c r="L6" s="2" t="s">
        <v>33</v>
      </c>
      <c r="M6" s="1"/>
      <c r="N6" s="1"/>
      <c r="O6" s="1"/>
      <c r="P6" s="2" t="s">
        <v>33</v>
      </c>
      <c r="Q6" s="2" t="s">
        <v>33</v>
      </c>
      <c r="R6" s="1"/>
      <c r="S6" s="1"/>
      <c r="T6" s="2" t="s">
        <v>35</v>
      </c>
      <c r="U6" s="2" t="s">
        <v>31</v>
      </c>
      <c r="V6" s="4"/>
      <c r="W6" s="2" t="s">
        <v>30</v>
      </c>
      <c r="X6" s="2" t="s">
        <v>36</v>
      </c>
      <c r="Y6" s="2" t="s">
        <v>36</v>
      </c>
      <c r="Z6" s="2" t="s">
        <v>99</v>
      </c>
      <c r="AA6" s="2" t="s">
        <v>100</v>
      </c>
    </row>
    <row r="7" spans="1:27" x14ac:dyDescent="0.3">
      <c r="B7" s="1"/>
      <c r="C7" s="1"/>
      <c r="D7" s="2" t="s">
        <v>37</v>
      </c>
      <c r="E7" s="2" t="s">
        <v>38</v>
      </c>
      <c r="F7" s="2" t="s">
        <v>39</v>
      </c>
      <c r="G7" s="2" t="s">
        <v>36</v>
      </c>
      <c r="H7" s="2" t="s">
        <v>36</v>
      </c>
      <c r="I7" s="2" t="s">
        <v>38</v>
      </c>
      <c r="J7" s="2" t="s">
        <v>39</v>
      </c>
      <c r="K7" s="2" t="s">
        <v>37</v>
      </c>
      <c r="L7" s="2" t="s">
        <v>37</v>
      </c>
      <c r="M7" s="1"/>
      <c r="N7" s="1"/>
      <c r="O7" s="1"/>
      <c r="P7" s="2" t="s">
        <v>37</v>
      </c>
      <c r="Q7" s="2" t="s">
        <v>37</v>
      </c>
      <c r="R7" s="2" t="s">
        <v>40</v>
      </c>
      <c r="S7" s="2" t="s">
        <v>40</v>
      </c>
      <c r="T7" s="2" t="s">
        <v>40</v>
      </c>
      <c r="U7" s="2" t="s">
        <v>38</v>
      </c>
      <c r="V7" s="2" t="s">
        <v>37</v>
      </c>
      <c r="W7" s="2" t="s">
        <v>41</v>
      </c>
      <c r="X7" s="2" t="s">
        <v>42</v>
      </c>
      <c r="Y7" s="2" t="s">
        <v>43</v>
      </c>
      <c r="Z7" s="2" t="s">
        <v>43</v>
      </c>
      <c r="AA7" s="2" t="s">
        <v>43</v>
      </c>
    </row>
    <row r="8" spans="1:27" x14ac:dyDescent="0.3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7" x14ac:dyDescent="0.3">
      <c r="A9" t="s">
        <v>44</v>
      </c>
      <c r="B9" s="1" t="s">
        <v>44</v>
      </c>
      <c r="C9" s="3" t="s">
        <v>45</v>
      </c>
      <c r="D9" s="54">
        <v>0.62450593805749144</v>
      </c>
      <c r="E9" s="55">
        <v>57361215879</v>
      </c>
      <c r="F9" s="56">
        <v>10485222.96652565</v>
      </c>
      <c r="G9" s="58">
        <v>1.07429</v>
      </c>
      <c r="H9" s="58">
        <v>1.0569853616547027</v>
      </c>
      <c r="I9" s="7">
        <f>E9*H9</f>
        <v>60629965510.818291</v>
      </c>
      <c r="J9" s="7">
        <f>F9*G9</f>
        <v>11264170.18070884</v>
      </c>
      <c r="K9" s="22">
        <f>I9/$I$24</f>
        <v>0.53246240356750618</v>
      </c>
      <c r="L9" s="8">
        <f>J9/$J$24</f>
        <v>0.58893228897855776</v>
      </c>
      <c r="M9" s="1"/>
      <c r="N9" s="3" t="s">
        <v>45</v>
      </c>
      <c r="O9" s="28" t="s">
        <v>44</v>
      </c>
      <c r="P9" s="9">
        <f t="shared" ref="P9:P22" si="0">K9</f>
        <v>0.53246240356750618</v>
      </c>
      <c r="Q9" s="9">
        <f t="shared" ref="Q9:Q22" si="1">L9</f>
        <v>0.58893228897855776</v>
      </c>
      <c r="R9" s="10">
        <f>ROUND(+P9*($T$24/13),0)</f>
        <v>5579680</v>
      </c>
      <c r="S9" s="10">
        <f>ROUND(+Q9*($T$24*12/13),0)</f>
        <v>74057148</v>
      </c>
      <c r="T9" s="10">
        <f>R9+S9</f>
        <v>79636828</v>
      </c>
      <c r="U9" s="7">
        <f>E9</f>
        <v>57361215879</v>
      </c>
      <c r="V9" s="11"/>
      <c r="W9" s="2" t="s">
        <v>46</v>
      </c>
      <c r="X9" s="2" t="s">
        <v>46</v>
      </c>
      <c r="Y9" s="77">
        <f>ROUND(T9/U9,5)</f>
        <v>1.39E-3</v>
      </c>
    </row>
    <row r="10" spans="1:27" x14ac:dyDescent="0.3">
      <c r="A10" t="s">
        <v>47</v>
      </c>
      <c r="B10" s="1" t="s">
        <v>47</v>
      </c>
      <c r="C10" s="3" t="s">
        <v>48</v>
      </c>
      <c r="D10" s="54">
        <v>0.69063980213692699</v>
      </c>
      <c r="E10" s="55">
        <v>6001791085</v>
      </c>
      <c r="F10" s="56">
        <v>992030.81908602489</v>
      </c>
      <c r="G10" s="58">
        <v>1.07429</v>
      </c>
      <c r="H10" s="58">
        <v>1.0569853616547027</v>
      </c>
      <c r="I10" s="7">
        <f t="shared" ref="I10:I22" si="2">E10*H10</f>
        <v>6343805320.5546951</v>
      </c>
      <c r="J10" s="7">
        <f t="shared" ref="J10:J22" si="3">F10*G10</f>
        <v>1065728.7886359256</v>
      </c>
      <c r="K10" s="22">
        <f t="shared" ref="K10:K22" si="4">I10/$I$24</f>
        <v>5.5712349500581099E-2</v>
      </c>
      <c r="L10" s="8">
        <f t="shared" ref="L10:L22" si="5">J10/$J$24</f>
        <v>5.5720224823716615E-2</v>
      </c>
      <c r="M10" s="1"/>
      <c r="N10" s="3" t="s">
        <v>49</v>
      </c>
      <c r="O10" s="28" t="s">
        <v>47</v>
      </c>
      <c r="P10" s="9">
        <f t="shared" si="0"/>
        <v>5.5712349500581099E-2</v>
      </c>
      <c r="Q10" s="9">
        <f t="shared" si="1"/>
        <v>5.5720224823716615E-2</v>
      </c>
      <c r="R10" s="10">
        <f t="shared" ref="R10:R22" si="6">ROUND(+P10*($T$24/13),0)</f>
        <v>583810</v>
      </c>
      <c r="S10" s="10">
        <f t="shared" ref="S10:S22" si="7">ROUND(+Q10*($T$24*12/13),0)</f>
        <v>7006715</v>
      </c>
      <c r="T10" s="10">
        <f t="shared" ref="T10:T22" si="8">R10+S10</f>
        <v>7590525</v>
      </c>
      <c r="U10" s="7">
        <f t="shared" ref="U10:U22" si="9">E10</f>
        <v>6001791085</v>
      </c>
      <c r="V10" s="11"/>
      <c r="W10" s="2" t="s">
        <v>46</v>
      </c>
      <c r="X10" s="13" t="s">
        <v>46</v>
      </c>
      <c r="Y10" s="12">
        <f>ROUND(T10/U10,5)</f>
        <v>1.2600000000000001E-3</v>
      </c>
    </row>
    <row r="11" spans="1:27" x14ac:dyDescent="0.3">
      <c r="A11" t="s">
        <v>50</v>
      </c>
      <c r="B11" s="1" t="s">
        <v>50</v>
      </c>
      <c r="C11" s="3" t="s">
        <v>51</v>
      </c>
      <c r="D11" s="54">
        <v>0.76658580007244648</v>
      </c>
      <c r="E11" s="55">
        <v>25949742256</v>
      </c>
      <c r="F11" s="56">
        <v>3864276.3067255928</v>
      </c>
      <c r="G11" s="58">
        <v>1.0741834688</v>
      </c>
      <c r="H11" s="58">
        <v>1.0569044416306874</v>
      </c>
      <c r="I11" s="7">
        <f t="shared" si="2"/>
        <v>27426397849.537933</v>
      </c>
      <c r="J11" s="7">
        <f t="shared" si="3"/>
        <v>4150941.7275601504</v>
      </c>
      <c r="K11" s="22">
        <f t="shared" si="4"/>
        <v>0.24086317049871853</v>
      </c>
      <c r="L11" s="8">
        <f t="shared" si="5"/>
        <v>0.21702651627328051</v>
      </c>
      <c r="M11" s="1"/>
      <c r="N11" s="24" t="s">
        <v>51</v>
      </c>
      <c r="O11" s="29" t="s">
        <v>75</v>
      </c>
      <c r="P11" s="9">
        <f t="shared" si="0"/>
        <v>0.24086317049871853</v>
      </c>
      <c r="Q11" s="9">
        <f t="shared" si="1"/>
        <v>0.21702651627328051</v>
      </c>
      <c r="R11" s="10">
        <f t="shared" si="6"/>
        <v>2524008</v>
      </c>
      <c r="S11" s="10">
        <f t="shared" si="7"/>
        <v>27290684</v>
      </c>
      <c r="T11" s="10">
        <f t="shared" si="8"/>
        <v>29814692</v>
      </c>
      <c r="U11" s="7">
        <f t="shared" si="9"/>
        <v>25949742256</v>
      </c>
      <c r="V11" s="9">
        <f>+VLOOKUP($O11,'2018 Clause Allocations'!A13:H26,8,FALSE)</f>
        <v>0.50235773431157504</v>
      </c>
      <c r="W11" s="14">
        <f>ROUND(U11/(V11*730),0)</f>
        <v>70761511</v>
      </c>
      <c r="X11" s="15">
        <f>ROUND(T11/W11,2)</f>
        <v>0.42</v>
      </c>
      <c r="Y11" s="16" t="s">
        <v>46</v>
      </c>
      <c r="Z11" s="26"/>
      <c r="AA11" s="49"/>
    </row>
    <row r="12" spans="1:27" x14ac:dyDescent="0.3">
      <c r="A12" t="s">
        <v>52</v>
      </c>
      <c r="B12" s="1" t="s">
        <v>52</v>
      </c>
      <c r="C12" s="3" t="s">
        <v>53</v>
      </c>
      <c r="D12" s="54">
        <v>1.510106465611132</v>
      </c>
      <c r="E12" s="55">
        <v>10819466</v>
      </c>
      <c r="F12" s="56">
        <v>817.88859697892269</v>
      </c>
      <c r="G12" s="58">
        <v>1.0373000000000001</v>
      </c>
      <c r="H12" s="58">
        <v>1.0290819050976752</v>
      </c>
      <c r="I12" s="7">
        <f t="shared" si="2"/>
        <v>11134116.683419524</v>
      </c>
      <c r="J12" s="7">
        <f t="shared" si="3"/>
        <v>848.39584164623659</v>
      </c>
      <c r="K12" s="22">
        <f t="shared" si="4"/>
        <v>9.7781657649084419E-5</v>
      </c>
      <c r="L12" s="8">
        <f t="shared" si="5"/>
        <v>4.4357258188118558E-5</v>
      </c>
      <c r="M12" s="1"/>
      <c r="N12" s="3" t="s">
        <v>53</v>
      </c>
      <c r="O12" s="28" t="s">
        <v>52</v>
      </c>
      <c r="P12" s="9">
        <f t="shared" si="0"/>
        <v>9.7781657649084419E-5</v>
      </c>
      <c r="Q12" s="9">
        <f t="shared" si="1"/>
        <v>4.4357258188118558E-5</v>
      </c>
      <c r="R12" s="10">
        <f t="shared" si="6"/>
        <v>1025</v>
      </c>
      <c r="S12" s="10">
        <f t="shared" si="7"/>
        <v>5578</v>
      </c>
      <c r="T12" s="10">
        <f t="shared" si="8"/>
        <v>6603</v>
      </c>
      <c r="U12" s="7">
        <f t="shared" si="9"/>
        <v>10819466</v>
      </c>
      <c r="V12" s="9"/>
      <c r="W12" s="14"/>
      <c r="X12" s="17" t="s">
        <v>46</v>
      </c>
      <c r="Y12" s="12">
        <f>ROUND(T12/U12,5)</f>
        <v>6.0999999999999997E-4</v>
      </c>
      <c r="Z12" s="26"/>
      <c r="AA12" s="25"/>
    </row>
    <row r="13" spans="1:27" x14ac:dyDescent="0.3">
      <c r="A13" t="s">
        <v>54</v>
      </c>
      <c r="B13" s="1" t="s">
        <v>54</v>
      </c>
      <c r="C13" s="3" t="s">
        <v>55</v>
      </c>
      <c r="D13" s="54">
        <v>0.7720259603432762</v>
      </c>
      <c r="E13" s="55">
        <v>10561627481</v>
      </c>
      <c r="F13" s="56">
        <v>1561690.020139979</v>
      </c>
      <c r="G13" s="58">
        <v>1.0728344434999999</v>
      </c>
      <c r="H13" s="58">
        <v>1.0559133108537815</v>
      </c>
      <c r="I13" s="7">
        <f t="shared" si="2"/>
        <v>11152163041.466993</v>
      </c>
      <c r="J13" s="7">
        <f t="shared" si="3"/>
        <v>1675434.843676378</v>
      </c>
      <c r="K13" s="22">
        <f t="shared" si="4"/>
        <v>9.7940143755758532E-2</v>
      </c>
      <c r="L13" s="8">
        <f t="shared" si="5"/>
        <v>8.7597902170425873E-2</v>
      </c>
      <c r="M13" s="1"/>
      <c r="N13" s="24" t="s">
        <v>55</v>
      </c>
      <c r="O13" s="29" t="s">
        <v>76</v>
      </c>
      <c r="P13" s="9">
        <f t="shared" si="0"/>
        <v>9.7940143755758532E-2</v>
      </c>
      <c r="Q13" s="9">
        <f t="shared" si="1"/>
        <v>8.7597902170425873E-2</v>
      </c>
      <c r="R13" s="10">
        <f t="shared" si="6"/>
        <v>1026316</v>
      </c>
      <c r="S13" s="10">
        <f t="shared" si="7"/>
        <v>11015274</v>
      </c>
      <c r="T13" s="10">
        <f t="shared" si="8"/>
        <v>12041590</v>
      </c>
      <c r="U13" s="7">
        <f t="shared" si="9"/>
        <v>10561627481</v>
      </c>
      <c r="V13" s="9">
        <f>+VLOOKUP($O13,'2018 Clause Allocations'!A15:H28,8,FALSE)</f>
        <v>0.56838138612102973</v>
      </c>
      <c r="W13" s="14">
        <f t="shared" ref="W13:W20" si="10">ROUND(U13/(V13*730),0)</f>
        <v>25454709</v>
      </c>
      <c r="X13" s="15">
        <f t="shared" ref="X13:X15" si="11">ROUND(T13/W13,2)</f>
        <v>0.47</v>
      </c>
      <c r="Y13" s="16" t="s">
        <v>46</v>
      </c>
      <c r="Z13" s="26"/>
      <c r="AA13" s="49"/>
    </row>
    <row r="14" spans="1:27" x14ac:dyDescent="0.3">
      <c r="A14" t="s">
        <v>56</v>
      </c>
      <c r="B14" s="1" t="s">
        <v>56</v>
      </c>
      <c r="C14" s="3" t="s">
        <v>57</v>
      </c>
      <c r="D14" s="54">
        <v>0.92096252282029389</v>
      </c>
      <c r="E14" s="55">
        <v>2511431587</v>
      </c>
      <c r="F14" s="56">
        <v>311297.25307481899</v>
      </c>
      <c r="G14" s="58">
        <v>1.0622604821000001</v>
      </c>
      <c r="H14" s="58">
        <v>1.0474493553763387</v>
      </c>
      <c r="I14" s="7">
        <f t="shared" si="2"/>
        <v>2630597396.8749251</v>
      </c>
      <c r="J14" s="7">
        <f t="shared" si="3"/>
        <v>330678.77012766298</v>
      </c>
      <c r="K14" s="22">
        <f t="shared" si="4"/>
        <v>2.3102342232217164E-2</v>
      </c>
      <c r="L14" s="8">
        <f t="shared" si="5"/>
        <v>1.7289103580965578E-2</v>
      </c>
      <c r="M14" s="1"/>
      <c r="N14" s="24" t="s">
        <v>58</v>
      </c>
      <c r="O14" s="29" t="s">
        <v>77</v>
      </c>
      <c r="P14" s="9">
        <f t="shared" si="0"/>
        <v>2.3102342232217164E-2</v>
      </c>
      <c r="Q14" s="9">
        <f t="shared" si="1"/>
        <v>1.7289103580965578E-2</v>
      </c>
      <c r="R14" s="10">
        <f t="shared" si="6"/>
        <v>242090</v>
      </c>
      <c r="S14" s="10">
        <f t="shared" si="7"/>
        <v>2174073</v>
      </c>
      <c r="T14" s="10">
        <f t="shared" si="8"/>
        <v>2416163</v>
      </c>
      <c r="U14" s="7">
        <f t="shared" si="9"/>
        <v>2511431587</v>
      </c>
      <c r="V14" s="9">
        <f>+VLOOKUP($O14,'2018 Clause Allocations'!A16:H29,8,FALSE)</f>
        <v>0.65810302899902218</v>
      </c>
      <c r="W14" s="14">
        <f t="shared" si="10"/>
        <v>5227627</v>
      </c>
      <c r="X14" s="15">
        <f t="shared" si="11"/>
        <v>0.46</v>
      </c>
      <c r="Y14" s="16" t="s">
        <v>46</v>
      </c>
      <c r="Z14" s="26"/>
      <c r="AA14" s="49"/>
    </row>
    <row r="15" spans="1:27" x14ac:dyDescent="0.3">
      <c r="A15" t="s">
        <v>59</v>
      </c>
      <c r="B15" s="1" t="s">
        <v>59</v>
      </c>
      <c r="C15" s="3" t="s">
        <v>60</v>
      </c>
      <c r="D15" s="54">
        <v>0.91574208952327707</v>
      </c>
      <c r="E15" s="55">
        <v>175782528</v>
      </c>
      <c r="F15" s="56">
        <v>21912.827705214833</v>
      </c>
      <c r="G15" s="58">
        <v>1.0241800000000001</v>
      </c>
      <c r="H15" s="58">
        <v>1.0192635511103794</v>
      </c>
      <c r="I15" s="7">
        <f t="shared" si="2"/>
        <v>179168723.71243969</v>
      </c>
      <c r="J15" s="7">
        <f t="shared" si="3"/>
        <v>22442.679879126928</v>
      </c>
      <c r="K15" s="22">
        <f t="shared" si="4"/>
        <v>1.573489420095837E-3</v>
      </c>
      <c r="L15" s="8">
        <f t="shared" si="5"/>
        <v>1.1733859325619227E-3</v>
      </c>
      <c r="M15" s="1"/>
      <c r="N15" s="24" t="s">
        <v>60</v>
      </c>
      <c r="O15" s="28" t="s">
        <v>78</v>
      </c>
      <c r="P15" s="9">
        <f t="shared" si="0"/>
        <v>1.573489420095837E-3</v>
      </c>
      <c r="Q15" s="9">
        <f t="shared" si="1"/>
        <v>1.1733859325619227E-3</v>
      </c>
      <c r="R15" s="10">
        <f t="shared" si="6"/>
        <v>16489</v>
      </c>
      <c r="S15" s="10">
        <f t="shared" si="7"/>
        <v>147551</v>
      </c>
      <c r="T15" s="10">
        <f t="shared" si="8"/>
        <v>164040</v>
      </c>
      <c r="U15" s="7">
        <f t="shared" si="9"/>
        <v>175782528</v>
      </c>
      <c r="V15" s="9">
        <f>+VLOOKUP($O15,'2018 Clause Allocations'!A17:H30,8,FALSE)</f>
        <v>0.72595953906135646</v>
      </c>
      <c r="W15" s="14">
        <f t="shared" si="10"/>
        <v>331696</v>
      </c>
      <c r="X15" s="15">
        <f t="shared" si="11"/>
        <v>0.49</v>
      </c>
      <c r="Y15" s="16" t="s">
        <v>46</v>
      </c>
      <c r="Z15" s="26"/>
      <c r="AA15" s="49"/>
    </row>
    <row r="16" spans="1:27" x14ac:dyDescent="0.3">
      <c r="A16" t="s">
        <v>62</v>
      </c>
      <c r="B16" s="1" t="s">
        <v>80</v>
      </c>
      <c r="C16" s="3" t="s">
        <v>74</v>
      </c>
      <c r="D16" s="54">
        <v>0.81305192392116021</v>
      </c>
      <c r="E16" s="55">
        <v>11856926</v>
      </c>
      <c r="F16" s="56">
        <v>1664.7526750432392</v>
      </c>
      <c r="G16" s="58">
        <v>1.0373000000000001</v>
      </c>
      <c r="H16" s="58">
        <v>1.0290819050976752</v>
      </c>
      <c r="I16" s="7">
        <f t="shared" si="2"/>
        <v>12201747.996682158</v>
      </c>
      <c r="J16" s="7">
        <f t="shared" si="3"/>
        <v>1726.8479498223521</v>
      </c>
      <c r="K16" s="22">
        <f t="shared" si="4"/>
        <v>1.0715777274983144E-4</v>
      </c>
      <c r="L16" s="8">
        <f t="shared" si="5"/>
        <v>9.0285968650272034E-5</v>
      </c>
      <c r="M16" s="1"/>
      <c r="N16" s="24" t="s">
        <v>74</v>
      </c>
      <c r="O16" s="28" t="s">
        <v>80</v>
      </c>
      <c r="P16" s="9">
        <f t="shared" si="0"/>
        <v>1.0715777274983144E-4</v>
      </c>
      <c r="Q16" s="9">
        <f t="shared" si="1"/>
        <v>9.0285968650272034E-5</v>
      </c>
      <c r="R16" s="10">
        <f t="shared" si="6"/>
        <v>1123</v>
      </c>
      <c r="S16" s="10">
        <f t="shared" si="7"/>
        <v>11353</v>
      </c>
      <c r="T16" s="10">
        <f t="shared" si="8"/>
        <v>12476</v>
      </c>
      <c r="U16" s="7">
        <f t="shared" si="9"/>
        <v>11856926</v>
      </c>
      <c r="V16" s="9">
        <f>+VLOOKUP($O16,'2018 Clause Allocations'!A18:H31,8,FALSE)</f>
        <v>0.29746236376563995</v>
      </c>
      <c r="W16" s="14">
        <f t="shared" si="10"/>
        <v>54603</v>
      </c>
      <c r="X16" s="16" t="s">
        <v>46</v>
      </c>
      <c r="Y16" s="16" t="s">
        <v>46</v>
      </c>
      <c r="Z16" s="15">
        <f>ROUND(($T$24/$J$24*0.1*$G16)/12,2)</f>
        <v>0.06</v>
      </c>
      <c r="AA16" s="15">
        <f>ROUND(($T$24/$J$24/21*$G16)/12,2)</f>
        <v>0.03</v>
      </c>
    </row>
    <row r="17" spans="1:27" x14ac:dyDescent="0.3">
      <c r="A17" t="s">
        <v>61</v>
      </c>
      <c r="B17" s="1" t="s">
        <v>79</v>
      </c>
      <c r="C17" s="3" t="s">
        <v>73</v>
      </c>
      <c r="D17" s="54">
        <v>1.6973779931299782</v>
      </c>
      <c r="E17" s="55">
        <v>89667754</v>
      </c>
      <c r="F17" s="56">
        <v>6030.5041178798392</v>
      </c>
      <c r="G17" s="58">
        <v>1.0241800000000001</v>
      </c>
      <c r="H17" s="58">
        <v>1.0192635511103794</v>
      </c>
      <c r="I17" s="7">
        <f t="shared" si="2"/>
        <v>91395073.362131923</v>
      </c>
      <c r="J17" s="7">
        <f t="shared" si="3"/>
        <v>6176.3217074501745</v>
      </c>
      <c r="K17" s="22">
        <f t="shared" si="4"/>
        <v>8.0264667852971241E-4</v>
      </c>
      <c r="L17" s="8">
        <f t="shared" si="5"/>
        <v>3.2292083857771457E-4</v>
      </c>
      <c r="M17" s="1"/>
      <c r="N17" s="24" t="s">
        <v>73</v>
      </c>
      <c r="O17" s="28" t="s">
        <v>79</v>
      </c>
      <c r="P17" s="9">
        <f t="shared" si="0"/>
        <v>8.0264667852971241E-4</v>
      </c>
      <c r="Q17" s="9">
        <f t="shared" si="1"/>
        <v>3.2292083857771457E-4</v>
      </c>
      <c r="R17" s="10">
        <f t="shared" si="6"/>
        <v>8411</v>
      </c>
      <c r="S17" s="10">
        <f t="shared" si="7"/>
        <v>40607</v>
      </c>
      <c r="T17" s="10">
        <f t="shared" si="8"/>
        <v>49018</v>
      </c>
      <c r="U17" s="7">
        <f t="shared" si="9"/>
        <v>89667754</v>
      </c>
      <c r="V17" s="9">
        <f>+VLOOKUP($O17,'2018 Clause Allocations'!A19:H32,8,FALSE)</f>
        <v>0.11360450040809923</v>
      </c>
      <c r="W17" s="14">
        <f t="shared" si="10"/>
        <v>1081230</v>
      </c>
      <c r="X17" s="16" t="s">
        <v>46</v>
      </c>
      <c r="Y17" s="16" t="s">
        <v>46</v>
      </c>
      <c r="Z17" s="15">
        <f>ROUND(($T$24/$J$24*0.1*$G17)/12,2)</f>
        <v>0.06</v>
      </c>
      <c r="AA17" s="15">
        <f>ROUND(($T$24/$J$24/21*$G17)/12,2)</f>
        <v>0.03</v>
      </c>
    </row>
    <row r="18" spans="1:27" x14ac:dyDescent="0.3">
      <c r="A18" t="s">
        <v>63</v>
      </c>
      <c r="B18" s="1" t="s">
        <v>103</v>
      </c>
      <c r="C18" s="3" t="s">
        <v>64</v>
      </c>
      <c r="D18" s="54">
        <v>0.91645165050718347</v>
      </c>
      <c r="E18" s="55">
        <v>2788466160</v>
      </c>
      <c r="F18" s="56">
        <v>347337.53233829269</v>
      </c>
      <c r="G18" s="58">
        <v>1.0597854812</v>
      </c>
      <c r="H18" s="58">
        <v>1.0463148008327297</v>
      </c>
      <c r="I18" s="7">
        <f t="shared" si="2"/>
        <v>2917613414.8292065</v>
      </c>
      <c r="J18" s="7">
        <f t="shared" si="3"/>
        <v>368103.27384795807</v>
      </c>
      <c r="K18" s="22">
        <f t="shared" si="4"/>
        <v>2.562296446075929E-2</v>
      </c>
      <c r="L18" s="8">
        <f t="shared" si="5"/>
        <v>1.9245794423370176E-2</v>
      </c>
      <c r="M18" s="1"/>
      <c r="N18" s="24" t="s">
        <v>64</v>
      </c>
      <c r="O18" s="28" t="s">
        <v>81</v>
      </c>
      <c r="P18" s="9">
        <f t="shared" si="0"/>
        <v>2.562296446075929E-2</v>
      </c>
      <c r="Q18" s="9">
        <f t="shared" si="1"/>
        <v>1.9245794423370176E-2</v>
      </c>
      <c r="R18" s="10">
        <f t="shared" si="6"/>
        <v>268503</v>
      </c>
      <c r="S18" s="10">
        <f t="shared" si="7"/>
        <v>2420123</v>
      </c>
      <c r="T18" s="10">
        <f t="shared" si="8"/>
        <v>2688626</v>
      </c>
      <c r="U18" s="7">
        <f t="shared" si="9"/>
        <v>2788466160</v>
      </c>
      <c r="V18" s="9">
        <f>+VLOOKUP($O18,'2018 Clause Allocations'!A20:H33,8,FALSE)</f>
        <v>0.78093950233342058</v>
      </c>
      <c r="W18" s="14">
        <f t="shared" si="10"/>
        <v>4891309</v>
      </c>
      <c r="X18" s="15">
        <f t="shared" ref="X18:X20" si="12">ROUND(T18/W18,2)</f>
        <v>0.55000000000000004</v>
      </c>
      <c r="Y18" s="16" t="s">
        <v>46</v>
      </c>
      <c r="Z18" s="26"/>
      <c r="AA18" s="49"/>
    </row>
    <row r="19" spans="1:27" x14ac:dyDescent="0.3">
      <c r="A19" t="s">
        <v>65</v>
      </c>
      <c r="B19" s="1" t="s">
        <v>65</v>
      </c>
      <c r="C19" s="3" t="s">
        <v>66</v>
      </c>
      <c r="D19" s="54">
        <v>0.96103652297284548</v>
      </c>
      <c r="E19" s="55">
        <v>1532421391</v>
      </c>
      <c r="F19" s="56">
        <v>182026.32736907448</v>
      </c>
      <c r="G19" s="58">
        <v>1.0241800000000001</v>
      </c>
      <c r="H19" s="58">
        <v>1.0192635511103794</v>
      </c>
      <c r="I19" s="7">
        <f t="shared" si="2"/>
        <v>1561941268.7881672</v>
      </c>
      <c r="J19" s="7">
        <f t="shared" si="3"/>
        <v>186427.72396485871</v>
      </c>
      <c r="K19" s="22">
        <f t="shared" si="4"/>
        <v>1.3717227037871739E-2</v>
      </c>
      <c r="L19" s="8">
        <f t="shared" si="5"/>
        <v>9.7471277903560406E-3</v>
      </c>
      <c r="M19" s="1"/>
      <c r="N19" s="24" t="s">
        <v>66</v>
      </c>
      <c r="O19" s="28" t="s">
        <v>65</v>
      </c>
      <c r="P19" s="9">
        <f t="shared" si="0"/>
        <v>1.3717227037871739E-2</v>
      </c>
      <c r="Q19" s="9">
        <f t="shared" si="1"/>
        <v>9.7471277903560406E-3</v>
      </c>
      <c r="R19" s="10">
        <f t="shared" si="6"/>
        <v>143743</v>
      </c>
      <c r="S19" s="10">
        <f t="shared" si="7"/>
        <v>1225683</v>
      </c>
      <c r="T19" s="10">
        <f t="shared" si="8"/>
        <v>1369426</v>
      </c>
      <c r="U19" s="7">
        <f t="shared" si="9"/>
        <v>1532421391</v>
      </c>
      <c r="V19" s="9">
        <f>+VLOOKUP($O19,'2018 Clause Allocations'!A20:H34,8,FALSE)</f>
        <v>0.77145875505277162</v>
      </c>
      <c r="W19" s="14">
        <f t="shared" si="10"/>
        <v>2721088</v>
      </c>
      <c r="X19" s="15">
        <f t="shared" si="12"/>
        <v>0.5</v>
      </c>
      <c r="Y19" s="16" t="s">
        <v>46</v>
      </c>
      <c r="Z19" s="26"/>
      <c r="AA19" s="49"/>
    </row>
    <row r="20" spans="1:27" x14ac:dyDescent="0.3">
      <c r="A20" t="s">
        <v>67</v>
      </c>
      <c r="B20" s="1" t="s">
        <v>67</v>
      </c>
      <c r="C20" s="3" t="s">
        <v>67</v>
      </c>
      <c r="D20" s="54">
        <v>0.75959843630801271</v>
      </c>
      <c r="E20" s="55">
        <v>91241144</v>
      </c>
      <c r="F20" s="56">
        <v>13712.055225373146</v>
      </c>
      <c r="G20" s="58">
        <v>1.0373000000000001</v>
      </c>
      <c r="H20" s="58">
        <v>1.0290819050976752</v>
      </c>
      <c r="I20" s="7">
        <f t="shared" si="2"/>
        <v>93894610.290811315</v>
      </c>
      <c r="J20" s="7">
        <f t="shared" si="3"/>
        <v>14223.514885279566</v>
      </c>
      <c r="K20" s="22">
        <f t="shared" si="4"/>
        <v>8.245980260133737E-4</v>
      </c>
      <c r="L20" s="8">
        <f t="shared" si="5"/>
        <v>7.4365772571993835E-4</v>
      </c>
      <c r="M20" s="1"/>
      <c r="N20" s="3" t="s">
        <v>67</v>
      </c>
      <c r="O20" s="28" t="s">
        <v>67</v>
      </c>
      <c r="P20" s="9">
        <f t="shared" si="0"/>
        <v>8.245980260133737E-4</v>
      </c>
      <c r="Q20" s="9">
        <f t="shared" si="1"/>
        <v>7.4365772571993835E-4</v>
      </c>
      <c r="R20" s="10">
        <f t="shared" si="6"/>
        <v>8641</v>
      </c>
      <c r="S20" s="10">
        <f t="shared" si="7"/>
        <v>93514</v>
      </c>
      <c r="T20" s="10">
        <f t="shared" si="8"/>
        <v>102155</v>
      </c>
      <c r="U20" s="7">
        <f t="shared" si="9"/>
        <v>91241144</v>
      </c>
      <c r="V20" s="9">
        <f>+VLOOKUP($O20,'2018 Clause Allocations'!A22:H35,8,FALSE)</f>
        <v>0.64839762779239629</v>
      </c>
      <c r="W20" s="14">
        <f t="shared" si="10"/>
        <v>192764</v>
      </c>
      <c r="X20" s="15">
        <f t="shared" si="12"/>
        <v>0.53</v>
      </c>
      <c r="Y20" s="16" t="s">
        <v>46</v>
      </c>
      <c r="Z20" s="26"/>
      <c r="AA20" s="49"/>
    </row>
    <row r="21" spans="1:27" x14ac:dyDescent="0.3">
      <c r="A21" t="s">
        <v>0</v>
      </c>
      <c r="B21" s="1" t="s">
        <v>104</v>
      </c>
      <c r="C21" s="3" t="s">
        <v>68</v>
      </c>
      <c r="D21" s="54">
        <v>3.0719142184731378</v>
      </c>
      <c r="E21" s="55">
        <v>668275032</v>
      </c>
      <c r="F21" s="56">
        <v>24833.735151467456</v>
      </c>
      <c r="G21" s="58">
        <v>1.07429</v>
      </c>
      <c r="H21" s="58">
        <v>1.0569853616547027</v>
      </c>
      <c r="I21" s="7">
        <f t="shared" si="2"/>
        <v>706356926.38332796</v>
      </c>
      <c r="J21" s="7">
        <f t="shared" si="3"/>
        <v>26678.63333586997</v>
      </c>
      <c r="K21" s="22">
        <f t="shared" si="4"/>
        <v>6.2033435716125091E-3</v>
      </c>
      <c r="L21" s="8">
        <f t="shared" si="5"/>
        <v>1.394857175029366E-3</v>
      </c>
      <c r="M21" s="1"/>
      <c r="N21" s="3" t="s">
        <v>68</v>
      </c>
      <c r="O21" s="28" t="s">
        <v>82</v>
      </c>
      <c r="P21" s="9">
        <f t="shared" si="0"/>
        <v>6.2033435716125091E-3</v>
      </c>
      <c r="Q21" s="9">
        <f t="shared" si="1"/>
        <v>1.394857175029366E-3</v>
      </c>
      <c r="R21" s="10">
        <f t="shared" si="6"/>
        <v>65005</v>
      </c>
      <c r="S21" s="10">
        <f t="shared" si="7"/>
        <v>175401</v>
      </c>
      <c r="T21" s="10">
        <f t="shared" si="8"/>
        <v>240406</v>
      </c>
      <c r="U21" s="7">
        <f t="shared" si="9"/>
        <v>668275032</v>
      </c>
      <c r="V21" s="11"/>
      <c r="W21" s="2" t="s">
        <v>46</v>
      </c>
      <c r="X21" s="13" t="s">
        <v>46</v>
      </c>
      <c r="Y21" s="12">
        <f t="shared" ref="Y21" si="13">ROUND(T21/U21,5)</f>
        <v>3.6000000000000002E-4</v>
      </c>
      <c r="Z21" s="26"/>
    </row>
    <row r="22" spans="1:27" x14ac:dyDescent="0.3">
      <c r="A22" t="s">
        <v>72</v>
      </c>
      <c r="B22" s="1" t="s">
        <v>105</v>
      </c>
      <c r="C22" s="3" t="s">
        <v>69</v>
      </c>
      <c r="D22" s="54">
        <v>0.99806721014695676</v>
      </c>
      <c r="E22" s="55">
        <v>104537486</v>
      </c>
      <c r="F22" s="56">
        <v>11956.612587522462</v>
      </c>
      <c r="G22" s="58">
        <v>1.07429</v>
      </c>
      <c r="H22" s="58">
        <v>1.0569853616547027</v>
      </c>
      <c r="I22" s="7">
        <f t="shared" si="2"/>
        <v>110494592.44618341</v>
      </c>
      <c r="J22" s="7">
        <f t="shared" si="3"/>
        <v>12844.869336649506</v>
      </c>
      <c r="K22" s="22">
        <f t="shared" si="4"/>
        <v>9.7038181993702364E-4</v>
      </c>
      <c r="L22" s="8">
        <f t="shared" si="5"/>
        <v>6.7157706060043225E-4</v>
      </c>
      <c r="M22" s="1"/>
      <c r="N22" s="3" t="s">
        <v>70</v>
      </c>
      <c r="O22" s="28" t="s">
        <v>83</v>
      </c>
      <c r="P22" s="9">
        <f t="shared" si="0"/>
        <v>9.7038181993702364E-4</v>
      </c>
      <c r="Q22" s="9">
        <f t="shared" si="1"/>
        <v>6.7157706060043225E-4</v>
      </c>
      <c r="R22" s="10">
        <f t="shared" si="6"/>
        <v>10169</v>
      </c>
      <c r="S22" s="10">
        <f t="shared" si="7"/>
        <v>84450</v>
      </c>
      <c r="T22" s="10">
        <f t="shared" si="8"/>
        <v>94619</v>
      </c>
      <c r="U22" s="7">
        <f t="shared" si="9"/>
        <v>104537486</v>
      </c>
      <c r="V22" s="11"/>
      <c r="W22" s="2" t="s">
        <v>46</v>
      </c>
      <c r="X22" s="13" t="s">
        <v>46</v>
      </c>
      <c r="Y22" s="77">
        <f>ROUND(T22/U22,5)</f>
        <v>9.1E-4</v>
      </c>
      <c r="Z22" s="26"/>
    </row>
    <row r="23" spans="1:27" x14ac:dyDescent="0.3">
      <c r="B23" s="1"/>
      <c r="C23" s="1"/>
      <c r="D23" s="5"/>
      <c r="E23" s="6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8"/>
      <c r="T23" s="1"/>
      <c r="U23" s="1"/>
      <c r="V23" s="1"/>
      <c r="W23" s="1"/>
      <c r="X23" s="19"/>
      <c r="Y23" s="4"/>
    </row>
    <row r="24" spans="1:27" x14ac:dyDescent="0.3">
      <c r="B24" s="1"/>
      <c r="C24" s="3" t="s">
        <v>71</v>
      </c>
      <c r="D24" s="1"/>
      <c r="E24" s="7">
        <f>SUM(E9:E22)</f>
        <v>107858876175</v>
      </c>
      <c r="F24" s="7">
        <f>SUM(F9:F22)</f>
        <v>17824809.601318907</v>
      </c>
      <c r="G24" s="1"/>
      <c r="H24" s="1"/>
      <c r="I24" s="7">
        <f>SUM(I9:I22)</f>
        <v>113867129593.74522</v>
      </c>
      <c r="J24" s="7">
        <f>SUM(J9:J22)</f>
        <v>19126426.571457613</v>
      </c>
      <c r="K24" s="20">
        <f>SUM(K9:K22)</f>
        <v>1</v>
      </c>
      <c r="L24" s="20">
        <f>SUM(L9:L22)</f>
        <v>1.0000000000000002</v>
      </c>
      <c r="M24" s="1"/>
      <c r="N24" s="3" t="s">
        <v>71</v>
      </c>
      <c r="O24" s="3"/>
      <c r="P24" s="1"/>
      <c r="Q24" s="1"/>
      <c r="R24" s="10">
        <f>SUM(R9:R22)</f>
        <v>10479013</v>
      </c>
      <c r="S24" s="10">
        <f>SUM(S9:S22)</f>
        <v>125748154</v>
      </c>
      <c r="T24" s="27">
        <v>136227166.51872092</v>
      </c>
      <c r="U24" s="7">
        <f>SUM(U9:U22)</f>
        <v>107858876175</v>
      </c>
      <c r="V24" s="1"/>
      <c r="W24" s="7">
        <f>SUM(W9:W22)</f>
        <v>110716537</v>
      </c>
      <c r="X24" s="19"/>
      <c r="Y24" s="21"/>
    </row>
    <row r="26" spans="1:27" x14ac:dyDescent="0.3">
      <c r="G26" s="23"/>
      <c r="H26" s="23"/>
    </row>
    <row r="41" spans="6:6" x14ac:dyDescent="0.3">
      <c r="F41" s="60"/>
    </row>
  </sheetData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showGridLines="0" zoomScale="110" zoomScaleNormal="110" workbookViewId="0">
      <selection activeCell="A2" sqref="A1:A2"/>
    </sheetView>
  </sheetViews>
  <sheetFormatPr defaultColWidth="9.109375" defaultRowHeight="13.2" x14ac:dyDescent="0.25"/>
  <cols>
    <col min="1" max="1" width="40.6640625" style="30" customWidth="1"/>
    <col min="2" max="2" width="16.6640625" style="32" bestFit="1" customWidth="1"/>
    <col min="3" max="3" width="17.33203125" style="33" bestFit="1" customWidth="1"/>
    <col min="4" max="4" width="14.109375" style="33" customWidth="1"/>
    <col min="5" max="5" width="18.88671875" style="33" customWidth="1"/>
    <col min="6" max="6" width="19.33203125" style="34" customWidth="1"/>
    <col min="7" max="7" width="20.88671875" style="34" customWidth="1"/>
    <col min="8" max="8" width="14" style="32" customWidth="1"/>
    <col min="9" max="16384" width="9.109375" style="30"/>
  </cols>
  <sheetData>
    <row r="1" spans="1:8" ht="14.4" x14ac:dyDescent="0.3">
      <c r="A1" s="81" t="s">
        <v>108</v>
      </c>
    </row>
    <row r="2" spans="1:8" ht="14.4" x14ac:dyDescent="0.3">
      <c r="A2" s="81" t="s">
        <v>109</v>
      </c>
    </row>
    <row r="3" spans="1:8" ht="21" x14ac:dyDescent="0.4">
      <c r="A3" s="78" t="s">
        <v>84</v>
      </c>
      <c r="B3" s="78"/>
      <c r="C3" s="78"/>
      <c r="D3" s="78"/>
      <c r="E3" s="78"/>
      <c r="F3" s="78"/>
      <c r="G3" s="78"/>
      <c r="H3" s="78"/>
    </row>
    <row r="4" spans="1:8" ht="21" x14ac:dyDescent="0.4">
      <c r="A4" s="78" t="s">
        <v>101</v>
      </c>
      <c r="B4" s="78"/>
      <c r="C4" s="78"/>
      <c r="D4" s="78"/>
      <c r="E4" s="78"/>
      <c r="F4" s="78"/>
      <c r="G4" s="78"/>
      <c r="H4" s="78"/>
    </row>
    <row r="5" spans="1:8" ht="13.8" x14ac:dyDescent="0.25">
      <c r="A5" s="79" t="s">
        <v>85</v>
      </c>
      <c r="B5" s="79"/>
      <c r="C5" s="79"/>
      <c r="D5" s="79"/>
      <c r="E5" s="79"/>
      <c r="F5" s="79"/>
      <c r="G5" s="79"/>
      <c r="H5" s="79"/>
    </row>
    <row r="6" spans="1:8" ht="21" x14ac:dyDescent="0.4">
      <c r="A6" s="31"/>
    </row>
    <row r="8" spans="1:8" x14ac:dyDescent="0.25">
      <c r="A8" s="35" t="s">
        <v>86</v>
      </c>
      <c r="B8" s="36" t="s">
        <v>23</v>
      </c>
      <c r="C8" s="37" t="s">
        <v>87</v>
      </c>
      <c r="D8" s="38" t="s">
        <v>23</v>
      </c>
      <c r="E8" s="38"/>
      <c r="F8" s="80" t="s">
        <v>88</v>
      </c>
      <c r="G8" s="80"/>
      <c r="H8" s="80"/>
    </row>
    <row r="9" spans="1:8" s="28" customFormat="1" ht="30" customHeight="1" x14ac:dyDescent="0.25">
      <c r="A9" s="35" t="s">
        <v>89</v>
      </c>
      <c r="B9" s="36" t="s">
        <v>88</v>
      </c>
      <c r="C9" s="37" t="s">
        <v>90</v>
      </c>
      <c r="D9" s="37" t="s">
        <v>91</v>
      </c>
      <c r="E9" s="39" t="s">
        <v>92</v>
      </c>
      <c r="F9" s="37" t="s">
        <v>93</v>
      </c>
      <c r="G9" s="40" t="s">
        <v>94</v>
      </c>
      <c r="H9" s="36" t="s">
        <v>95</v>
      </c>
    </row>
    <row r="10" spans="1:8" s="28" customFormat="1" x14ac:dyDescent="0.25">
      <c r="A10" s="35"/>
      <c r="B10" s="36" t="s">
        <v>96</v>
      </c>
      <c r="C10" s="37" t="s">
        <v>97</v>
      </c>
      <c r="D10" s="41"/>
      <c r="E10" s="39" t="s">
        <v>98</v>
      </c>
      <c r="F10" s="39" t="s">
        <v>98</v>
      </c>
      <c r="G10" s="39" t="s">
        <v>98</v>
      </c>
      <c r="H10" s="36"/>
    </row>
    <row r="11" spans="1:8" s="28" customFormat="1" ht="13.8" thickBot="1" x14ac:dyDescent="0.3">
      <c r="A11" s="42"/>
      <c r="B11" s="43"/>
      <c r="C11" s="44"/>
      <c r="D11" s="45"/>
      <c r="E11" s="45"/>
      <c r="F11" s="45"/>
      <c r="G11" s="45"/>
      <c r="H11" s="43"/>
    </row>
    <row r="13" spans="1:8" ht="14.1" customHeight="1" x14ac:dyDescent="0.25">
      <c r="A13" s="28" t="s">
        <v>44</v>
      </c>
      <c r="B13" s="46">
        <f>+C13/8760/D13</f>
        <v>0.62450593805749144</v>
      </c>
      <c r="C13" s="34">
        <f>'2018 WCEC3 Rate Calc'!E9</f>
        <v>57361215879</v>
      </c>
      <c r="D13" s="34">
        <f>'2018 WCEC3 Rate Calc'!F9</f>
        <v>10485222.96652565</v>
      </c>
      <c r="E13" s="34"/>
      <c r="F13" s="34">
        <v>27615469.481031045</v>
      </c>
      <c r="H13" s="47">
        <f>+C13/8760/F13</f>
        <v>0.23711651938236672</v>
      </c>
    </row>
    <row r="14" spans="1:8" ht="14.1" customHeight="1" x14ac:dyDescent="0.25">
      <c r="A14" s="28" t="s">
        <v>47</v>
      </c>
      <c r="B14" s="46">
        <f t="shared" ref="B14:B26" si="0">+C14/8760/D14</f>
        <v>0.69063980213692699</v>
      </c>
      <c r="C14" s="34">
        <f>'2018 WCEC3 Rate Calc'!E10</f>
        <v>6001791085</v>
      </c>
      <c r="D14" s="34">
        <f>'2018 WCEC3 Rate Calc'!F10</f>
        <v>992030.81908602489</v>
      </c>
      <c r="E14" s="34"/>
      <c r="F14" s="34">
        <v>2020176.4863508996</v>
      </c>
      <c r="H14" s="47">
        <f>+C14/8760/F14</f>
        <v>0.33914659102130523</v>
      </c>
    </row>
    <row r="15" spans="1:8" s="66" customFormat="1" ht="14.1" customHeight="1" x14ac:dyDescent="0.25">
      <c r="A15" s="61" t="s">
        <v>75</v>
      </c>
      <c r="B15" s="62">
        <f t="shared" si="0"/>
        <v>0.76658580007244659</v>
      </c>
      <c r="C15" s="63">
        <f>'2018 WCEC3 Rate Calc'!E11</f>
        <v>25949742256</v>
      </c>
      <c r="D15" s="63">
        <f>'2018 WCEC3 Rate Calc'!F11</f>
        <v>3864276.3067255928</v>
      </c>
      <c r="E15" s="63"/>
      <c r="F15" s="63">
        <v>5896792.5483455257</v>
      </c>
      <c r="G15" s="63"/>
      <c r="H15" s="65">
        <f>+C15/8760/F15</f>
        <v>0.50235773431157504</v>
      </c>
    </row>
    <row r="16" spans="1:8" ht="14.1" customHeight="1" x14ac:dyDescent="0.25">
      <c r="A16" s="28" t="s">
        <v>52</v>
      </c>
      <c r="B16" s="46">
        <f t="shared" si="0"/>
        <v>1.510106465611132</v>
      </c>
      <c r="C16" s="34">
        <f>'2018 WCEC3 Rate Calc'!E12</f>
        <v>10819466</v>
      </c>
      <c r="D16" s="34">
        <f>'2018 WCEC3 Rate Calc'!F12</f>
        <v>817.88859697892269</v>
      </c>
      <c r="E16" s="34"/>
      <c r="F16" s="34">
        <v>12964.535034192617</v>
      </c>
      <c r="H16" s="47">
        <f>+C16/8760/F16</f>
        <v>9.5267501317250744E-2</v>
      </c>
    </row>
    <row r="17" spans="1:8" s="66" customFormat="1" ht="14.1" customHeight="1" x14ac:dyDescent="0.25">
      <c r="A17" s="61" t="s">
        <v>76</v>
      </c>
      <c r="B17" s="62">
        <f t="shared" si="0"/>
        <v>0.7720259603432762</v>
      </c>
      <c r="C17" s="63">
        <f>'2018 WCEC3 Rate Calc'!E13</f>
        <v>10561627481</v>
      </c>
      <c r="D17" s="63">
        <f>'2018 WCEC3 Rate Calc'!F13</f>
        <v>1561690.020139979</v>
      </c>
      <c r="E17" s="63"/>
      <c r="F17" s="63">
        <v>2121225.759670367</v>
      </c>
      <c r="G17" s="63"/>
      <c r="H17" s="65">
        <f>+C17/8760/F17</f>
        <v>0.56838138612102973</v>
      </c>
    </row>
    <row r="18" spans="1:8" s="66" customFormat="1" ht="14.1" customHeight="1" x14ac:dyDescent="0.25">
      <c r="A18" s="61" t="s">
        <v>77</v>
      </c>
      <c r="B18" s="62">
        <f t="shared" si="0"/>
        <v>0.92096252282029389</v>
      </c>
      <c r="C18" s="63">
        <f>'2018 WCEC3 Rate Calc'!E14</f>
        <v>2511431587</v>
      </c>
      <c r="D18" s="63">
        <f>'2018 WCEC3 Rate Calc'!F14</f>
        <v>311297.25307481899</v>
      </c>
      <c r="E18" s="63"/>
      <c r="F18" s="63">
        <v>435635.59337338764</v>
      </c>
      <c r="G18" s="63"/>
      <c r="H18" s="65">
        <f t="shared" ref="H18:H20" si="1">+C18/8760/F18</f>
        <v>0.65810302899902218</v>
      </c>
    </row>
    <row r="19" spans="1:8" s="66" customFormat="1" ht="14.1" customHeight="1" x14ac:dyDescent="0.25">
      <c r="A19" s="66" t="s">
        <v>78</v>
      </c>
      <c r="B19" s="62">
        <f t="shared" si="0"/>
        <v>0.91574208952327696</v>
      </c>
      <c r="C19" s="63">
        <f>'2018 WCEC3 Rate Calc'!E15</f>
        <v>175782528</v>
      </c>
      <c r="D19" s="63">
        <f>'2018 WCEC3 Rate Calc'!F15</f>
        <v>21912.827705214833</v>
      </c>
      <c r="E19" s="63"/>
      <c r="F19" s="63"/>
      <c r="G19" s="63">
        <v>27641.345764369122</v>
      </c>
      <c r="H19" s="65">
        <f>+C19/8760/G19</f>
        <v>0.72595953906135646</v>
      </c>
    </row>
    <row r="20" spans="1:8" s="66" customFormat="1" ht="14.1" customHeight="1" x14ac:dyDescent="0.25">
      <c r="A20" s="66" t="s">
        <v>80</v>
      </c>
      <c r="B20" s="62">
        <f t="shared" si="0"/>
        <v>0.81305192392116021</v>
      </c>
      <c r="C20" s="63">
        <f>'2018 WCEC3 Rate Calc'!E16</f>
        <v>11856926</v>
      </c>
      <c r="D20" s="63">
        <f>'2018 WCEC3 Rate Calc'!$F$16</f>
        <v>1664.7526750432392</v>
      </c>
      <c r="E20" s="63"/>
      <c r="F20" s="63">
        <v>4550.257545735104</v>
      </c>
      <c r="G20" s="63"/>
      <c r="H20" s="65">
        <f t="shared" si="1"/>
        <v>0.29746236376563995</v>
      </c>
    </row>
    <row r="21" spans="1:8" s="66" customFormat="1" ht="14.1" customHeight="1" x14ac:dyDescent="0.25">
      <c r="A21" s="66" t="s">
        <v>79</v>
      </c>
      <c r="B21" s="62">
        <f>+C21/8760/D21</f>
        <v>1.6973779931299779</v>
      </c>
      <c r="C21" s="63">
        <f>'2018 WCEC3 Rate Calc'!E17</f>
        <v>89667754</v>
      </c>
      <c r="D21" s="63">
        <f>'2018 WCEC3 Rate Calc'!$F$17</f>
        <v>6030.5041178798392</v>
      </c>
      <c r="E21" s="63"/>
      <c r="F21" s="63">
        <v>90102.460205345778</v>
      </c>
      <c r="G21" s="63"/>
      <c r="H21" s="65">
        <f>+C21/8760/F21</f>
        <v>0.11360450040809923</v>
      </c>
    </row>
    <row r="22" spans="1:8" s="66" customFormat="1" ht="12.75" customHeight="1" x14ac:dyDescent="0.25">
      <c r="A22" s="66" t="s">
        <v>81</v>
      </c>
      <c r="B22" s="62">
        <f t="shared" si="0"/>
        <v>0.91645165050718347</v>
      </c>
      <c r="C22" s="63">
        <f>'2018 WCEC3 Rate Calc'!E18</f>
        <v>2788466160</v>
      </c>
      <c r="D22" s="63">
        <f>'2018 WCEC3 Rate Calc'!$F$18</f>
        <v>347337.53233829269</v>
      </c>
      <c r="E22" s="63"/>
      <c r="F22" s="63"/>
      <c r="G22" s="63">
        <v>407609.10908386251</v>
      </c>
      <c r="H22" s="65">
        <f>+C22/8760/G22</f>
        <v>0.78093950233342058</v>
      </c>
    </row>
    <row r="23" spans="1:8" s="66" customFormat="1" ht="14.1" customHeight="1" x14ac:dyDescent="0.25">
      <c r="A23" s="66" t="s">
        <v>65</v>
      </c>
      <c r="B23" s="62">
        <f t="shared" si="0"/>
        <v>0.96103652297284536</v>
      </c>
      <c r="C23" s="63">
        <f>'2018 WCEC3 Rate Calc'!E19</f>
        <v>1532421391</v>
      </c>
      <c r="D23" s="63">
        <f>'2018 WCEC3 Rate Calc'!$F$19</f>
        <v>182026.32736907448</v>
      </c>
      <c r="E23" s="63"/>
      <c r="F23" s="63"/>
      <c r="G23" s="63">
        <v>226757.35753666554</v>
      </c>
      <c r="H23" s="65">
        <f>+C23/8760/G23</f>
        <v>0.77145875505277162</v>
      </c>
    </row>
    <row r="24" spans="1:8" ht="14.1" customHeight="1" x14ac:dyDescent="0.25">
      <c r="A24" s="28" t="s">
        <v>67</v>
      </c>
      <c r="B24" s="46">
        <f t="shared" si="0"/>
        <v>0.75959843630801271</v>
      </c>
      <c r="C24" s="34">
        <f>'2018 WCEC3 Rate Calc'!E20</f>
        <v>91241144</v>
      </c>
      <c r="D24" s="34">
        <f>'2018 WCEC3 Rate Calc'!$F$20</f>
        <v>13712.055225373146</v>
      </c>
      <c r="E24" s="34">
        <v>16063.685709685289</v>
      </c>
      <c r="H24" s="47">
        <f>+$C24/8760/E24</f>
        <v>0.64839762779239629</v>
      </c>
    </row>
    <row r="25" spans="1:8" ht="14.1" customHeight="1" x14ac:dyDescent="0.25">
      <c r="A25" s="28" t="s">
        <v>82</v>
      </c>
      <c r="B25" s="46">
        <f t="shared" si="0"/>
        <v>3.0719142184731378</v>
      </c>
      <c r="C25" s="34">
        <f>'2018 WCEC3 Rate Calc'!E21</f>
        <v>668275032</v>
      </c>
      <c r="D25" s="34">
        <f>'2018 WCEC3 Rate Calc'!F21</f>
        <v>24833.735151467456</v>
      </c>
      <c r="E25" s="34"/>
      <c r="F25" s="34">
        <v>155862.53151362084</v>
      </c>
      <c r="H25" s="47">
        <f>+C25/8760/F25</f>
        <v>0.48945120657765206</v>
      </c>
    </row>
    <row r="26" spans="1:8" ht="14.1" customHeight="1" x14ac:dyDescent="0.25">
      <c r="A26" s="28" t="s">
        <v>83</v>
      </c>
      <c r="B26" s="46">
        <f t="shared" si="0"/>
        <v>0.99806721014695676</v>
      </c>
      <c r="C26" s="34">
        <f>'2018 WCEC3 Rate Calc'!E22</f>
        <v>104537486</v>
      </c>
      <c r="D26" s="34">
        <f>'2018 WCEC3 Rate Calc'!F22</f>
        <v>11956.612587522462</v>
      </c>
      <c r="E26" s="34"/>
      <c r="F26" s="34">
        <v>12545.548122529633</v>
      </c>
      <c r="H26" s="47">
        <f>+C26/8760/F26</f>
        <v>0.95121415592882896</v>
      </c>
    </row>
    <row r="28" spans="1:8" ht="13.8" thickBot="1" x14ac:dyDescent="0.3">
      <c r="A28" s="30" t="s">
        <v>71</v>
      </c>
      <c r="C28" s="48">
        <f>SUM(C13:C27)</f>
        <v>107858876175</v>
      </c>
      <c r="D28" s="48">
        <f t="shared" ref="D28:G28" si="2">SUM(D13:D27)</f>
        <v>17824809.601318907</v>
      </c>
      <c r="E28" s="48">
        <f t="shared" si="2"/>
        <v>16063.685709685289</v>
      </c>
      <c r="F28" s="48">
        <f t="shared" si="2"/>
        <v>38365325.201192662</v>
      </c>
      <c r="G28" s="48">
        <f t="shared" si="2"/>
        <v>662007.81238489714</v>
      </c>
    </row>
    <row r="29" spans="1:8" ht="13.8" thickTop="1" x14ac:dyDescent="0.25"/>
    <row r="33" spans="1:7" x14ac:dyDescent="0.25">
      <c r="A33" s="29"/>
    </row>
    <row r="34" spans="1:7" x14ac:dyDescent="0.25">
      <c r="A34" s="29"/>
    </row>
    <row r="35" spans="1:7" x14ac:dyDescent="0.25">
      <c r="A35" s="28"/>
    </row>
    <row r="36" spans="1:7" s="32" customFormat="1" x14ac:dyDescent="0.25">
      <c r="A36" s="28"/>
      <c r="C36" s="33"/>
      <c r="D36" s="33"/>
      <c r="E36" s="33"/>
      <c r="F36" s="34"/>
      <c r="G36" s="34"/>
    </row>
    <row r="37" spans="1:7" s="32" customFormat="1" x14ac:dyDescent="0.25">
      <c r="A37" s="28"/>
      <c r="C37" s="33"/>
      <c r="D37" s="33"/>
      <c r="E37" s="33"/>
      <c r="F37" s="34"/>
      <c r="G37" s="34"/>
    </row>
    <row r="38" spans="1:7" s="32" customFormat="1" ht="12.75" x14ac:dyDescent="0.2">
      <c r="A38" s="28"/>
      <c r="C38" s="33"/>
      <c r="D38" s="33"/>
      <c r="E38" s="33"/>
      <c r="F38" s="34"/>
      <c r="G38" s="34"/>
    </row>
    <row r="39" spans="1:7" s="32" customFormat="1" x14ac:dyDescent="0.25">
      <c r="A39" s="28"/>
      <c r="C39" s="33"/>
      <c r="D39" s="33"/>
      <c r="E39" s="33"/>
      <c r="F39" s="34"/>
      <c r="G39" s="34"/>
    </row>
  </sheetData>
  <mergeCells count="4">
    <mergeCell ref="A3:H3"/>
    <mergeCell ref="A4:H4"/>
    <mergeCell ref="A5:H5"/>
    <mergeCell ref="F8:H8"/>
  </mergeCells>
  <printOptions horizontalCentered="1"/>
  <pageMargins left="0" right="0" top="0.75" bottom="0.5" header="0.5" footer="0.5"/>
  <pageSetup scale="8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C93069-9CCD-4376-8917-E82C6ABBDE74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4372995A-35DD-454D-B837-68E9DC3E2C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2E4461E-F247-4875-9DEB-F515794A42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2017 WCEC3 Rate Calc</vt:lpstr>
      <vt:lpstr>2017 Clause Allocations</vt:lpstr>
      <vt:lpstr>2018 WCEC3 Rate Calc</vt:lpstr>
      <vt:lpstr>2018 Clause Allocations</vt:lpstr>
      <vt:lpstr>Sheet2</vt:lpstr>
      <vt:lpstr>Sheet3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 Sanghavi</dc:creator>
  <cp:lastModifiedBy>FPL_User</cp:lastModifiedBy>
  <cp:lastPrinted>2015-11-03T22:00:18Z</cp:lastPrinted>
  <dcterms:created xsi:type="dcterms:W3CDTF">2015-09-18T16:55:23Z</dcterms:created>
  <dcterms:modified xsi:type="dcterms:W3CDTF">2016-04-18T11:48:11Z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