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92" yWindow="72" windowWidth="19416" windowHeight="11016" activeTab="1"/>
  </bookViews>
  <sheets>
    <sheet name="2016+ Forecast" sheetId="4" r:id="rId1"/>
    <sheet name="HB 7109 Refund Impact" sheetId="5" r:id="rId2"/>
  </sheets>
  <definedNames>
    <definedName name="_xlnm.Print_Area" localSheetId="0">'2016+ Forecast'!$A$4:$S$57</definedName>
    <definedName name="_xlnm.Print_Area" localSheetId="1">'HB 7109 Refund Impact'!$A$4:$W$53</definedName>
  </definedNames>
  <calcPr calcId="145621"/>
</workbook>
</file>

<file path=xl/calcChain.xml><?xml version="1.0" encoding="utf-8"?>
<calcChain xmlns="http://schemas.openxmlformats.org/spreadsheetml/2006/main">
  <c r="E26" i="4" l="1"/>
  <c r="E32" i="4"/>
  <c r="E34" i="4" s="1"/>
  <c r="E21" i="4" l="1"/>
  <c r="F21" i="4" s="1"/>
  <c r="G21" i="4" s="1"/>
  <c r="H21" i="4" s="1"/>
  <c r="F23" i="4"/>
  <c r="G23" i="4"/>
  <c r="H23" i="4"/>
  <c r="G27" i="4"/>
  <c r="H27" i="4"/>
  <c r="F34" i="4" l="1"/>
  <c r="F32" i="4" s="1"/>
  <c r="G34" i="4" l="1"/>
  <c r="L39" i="5"/>
  <c r="K39" i="5"/>
  <c r="H39" i="5"/>
  <c r="G39" i="5"/>
  <c r="D39" i="5"/>
  <c r="C39" i="5"/>
  <c r="L38" i="5"/>
  <c r="K38" i="5"/>
  <c r="H38" i="5"/>
  <c r="G38" i="5"/>
  <c r="D38" i="5"/>
  <c r="C38" i="5"/>
  <c r="M37" i="5"/>
  <c r="I37" i="5"/>
  <c r="E37" i="5"/>
  <c r="M36" i="5"/>
  <c r="I36" i="5"/>
  <c r="E36" i="5"/>
  <c r="M35" i="5"/>
  <c r="I35" i="5"/>
  <c r="E35" i="5"/>
  <c r="M34" i="5"/>
  <c r="I34" i="5"/>
  <c r="E34" i="5"/>
  <c r="M33" i="5"/>
  <c r="I33" i="5"/>
  <c r="E33" i="5"/>
  <c r="M32" i="5"/>
  <c r="I32" i="5"/>
  <c r="E32" i="5"/>
  <c r="M31" i="5"/>
  <c r="I31" i="5"/>
  <c r="E31" i="5"/>
  <c r="M30" i="5"/>
  <c r="I30" i="5"/>
  <c r="E30" i="5"/>
  <c r="M29" i="5"/>
  <c r="I29" i="5"/>
  <c r="E29" i="5"/>
  <c r="M28" i="5"/>
  <c r="I28" i="5"/>
  <c r="E28" i="5"/>
  <c r="M27" i="5"/>
  <c r="I27" i="5"/>
  <c r="E27" i="5"/>
  <c r="M26" i="5"/>
  <c r="I26" i="5"/>
  <c r="E26" i="5"/>
  <c r="M25" i="5"/>
  <c r="I25" i="5"/>
  <c r="E25" i="5"/>
  <c r="M24" i="5"/>
  <c r="I24" i="5"/>
  <c r="E24" i="5"/>
  <c r="M23" i="5"/>
  <c r="I23" i="5"/>
  <c r="E23" i="5"/>
  <c r="M22" i="5"/>
  <c r="I22" i="5"/>
  <c r="E22" i="5"/>
  <c r="M21" i="5"/>
  <c r="I21" i="5"/>
  <c r="E21" i="5"/>
  <c r="M20" i="5"/>
  <c r="I20" i="5"/>
  <c r="E20" i="5"/>
  <c r="M19" i="5"/>
  <c r="I19" i="5"/>
  <c r="E19" i="5"/>
  <c r="M18" i="5"/>
  <c r="I18" i="5"/>
  <c r="E18" i="5"/>
  <c r="M17" i="5"/>
  <c r="I17" i="5"/>
  <c r="E17" i="5"/>
  <c r="M16" i="5"/>
  <c r="I16" i="5"/>
  <c r="E16" i="5"/>
  <c r="M15" i="5"/>
  <c r="I15" i="5"/>
  <c r="E15" i="5"/>
  <c r="M14" i="5"/>
  <c r="I14" i="5"/>
  <c r="E14" i="5"/>
  <c r="M13" i="5"/>
  <c r="I13" i="5"/>
  <c r="E13" i="5"/>
  <c r="P12" i="5"/>
  <c r="P24" i="5" s="1"/>
  <c r="M12" i="5"/>
  <c r="I12" i="5"/>
  <c r="E12" i="5"/>
  <c r="M11" i="5"/>
  <c r="I11" i="5"/>
  <c r="E11" i="5"/>
  <c r="M10" i="5"/>
  <c r="I10" i="5"/>
  <c r="E10" i="5"/>
  <c r="M9" i="5"/>
  <c r="I9" i="5"/>
  <c r="E9" i="5"/>
  <c r="H34" i="4" l="1"/>
  <c r="G32" i="4"/>
  <c r="M38" i="5"/>
  <c r="I38" i="5"/>
  <c r="I39" i="5"/>
  <c r="E38" i="5"/>
  <c r="M39" i="5"/>
  <c r="E39" i="5"/>
  <c r="P26" i="5"/>
  <c r="P36" i="5"/>
  <c r="P38" i="5" s="1"/>
  <c r="P14" i="5"/>
  <c r="H32" i="4" l="1"/>
  <c r="H39" i="4" l="1"/>
  <c r="L39" i="4" s="1"/>
  <c r="P39" i="4" s="1"/>
  <c r="I43" i="4" l="1"/>
  <c r="Q43" i="4" l="1"/>
  <c r="E56" i="4"/>
  <c r="I47" i="4"/>
  <c r="I54" i="4"/>
  <c r="I48" i="4"/>
  <c r="I46" i="4"/>
  <c r="I51" i="4"/>
  <c r="I49" i="4"/>
  <c r="I52" i="4"/>
  <c r="I45" i="4"/>
  <c r="I44" i="4"/>
  <c r="I53" i="4"/>
  <c r="I50" i="4"/>
  <c r="Q45" i="4" l="1"/>
  <c r="Q49" i="4"/>
  <c r="Q53" i="4"/>
  <c r="Q51" i="4"/>
  <c r="Q44" i="4"/>
  <c r="Q46" i="4"/>
  <c r="Q50" i="4"/>
  <c r="Q54" i="4"/>
  <c r="Q47" i="4"/>
  <c r="Q48" i="4"/>
  <c r="Q52" i="4"/>
  <c r="I56" i="4"/>
  <c r="M44" i="4"/>
  <c r="M47" i="4"/>
  <c r="M46" i="4"/>
  <c r="M52" i="4"/>
  <c r="M45" i="4"/>
  <c r="M51" i="4"/>
  <c r="M50" i="4"/>
  <c r="M54" i="4"/>
  <c r="M48" i="4"/>
  <c r="M53" i="4"/>
  <c r="M49" i="4"/>
  <c r="M43" i="4"/>
  <c r="Q56" i="4" l="1"/>
  <c r="M56" i="4"/>
  <c r="G43" i="4" l="1"/>
  <c r="D44" i="4" s="1"/>
  <c r="G44" i="4" l="1"/>
  <c r="D45" i="4" s="1"/>
  <c r="G45" i="4" s="1"/>
  <c r="D46" i="4" s="1"/>
  <c r="G46" i="4" s="1"/>
  <c r="D47" i="4" s="1"/>
  <c r="G47" i="4" s="1"/>
  <c r="D48" i="4" s="1"/>
  <c r="G48" i="4" s="1"/>
  <c r="D49" i="4" s="1"/>
  <c r="G49" i="4" s="1"/>
  <c r="F56" i="4"/>
  <c r="D50" i="4" l="1"/>
  <c r="G50" i="4" s="1"/>
  <c r="D51" i="4" l="1"/>
  <c r="G51" i="4" s="1"/>
  <c r="D52" i="4" l="1"/>
  <c r="G52" i="4" s="1"/>
  <c r="D53" i="4" l="1"/>
  <c r="G53" i="4" s="1"/>
  <c r="D54" i="4" l="1"/>
  <c r="G54" i="4" l="1"/>
  <c r="E36" i="4" s="1"/>
  <c r="E37" i="4" l="1"/>
  <c r="H43" i="4"/>
  <c r="E30" i="4" l="1"/>
  <c r="E33" i="4"/>
  <c r="F33" i="4" s="1"/>
  <c r="F26" i="4" s="1"/>
  <c r="F30" i="4" s="1"/>
  <c r="J49" i="4" l="1"/>
  <c r="J48" i="4"/>
  <c r="J45" i="4"/>
  <c r="J50" i="4"/>
  <c r="J47" i="4"/>
  <c r="J54" i="4"/>
  <c r="J46" i="4"/>
  <c r="J52" i="4"/>
  <c r="J53" i="4"/>
  <c r="J51" i="4"/>
  <c r="J43" i="4"/>
  <c r="J44" i="4"/>
  <c r="G33" i="4"/>
  <c r="J56" i="4" l="1"/>
  <c r="K43" i="4"/>
  <c r="H44" i="4" s="1"/>
  <c r="K44" i="4" s="1"/>
  <c r="H45" i="4" s="1"/>
  <c r="K45" i="4" s="1"/>
  <c r="H46" i="4" s="1"/>
  <c r="K46" i="4" s="1"/>
  <c r="H47" i="4" s="1"/>
  <c r="K47" i="4" s="1"/>
  <c r="H48" i="4" s="1"/>
  <c r="K48" i="4" s="1"/>
  <c r="H49" i="4" s="1"/>
  <c r="K49" i="4" s="1"/>
  <c r="H50" i="4" s="1"/>
  <c r="K50" i="4" s="1"/>
  <c r="H51" i="4" s="1"/>
  <c r="K51" i="4" s="1"/>
  <c r="H52" i="4" s="1"/>
  <c r="K52" i="4" s="1"/>
  <c r="H53" i="4" s="1"/>
  <c r="K53" i="4" s="1"/>
  <c r="H54" i="4" s="1"/>
  <c r="K54" i="4" s="1"/>
  <c r="H33" i="4"/>
  <c r="F36" i="4" l="1"/>
  <c r="L43" i="4"/>
  <c r="F37" i="4" l="1"/>
  <c r="G26" i="4"/>
  <c r="G30" i="4" s="1"/>
  <c r="N44" i="4" l="1"/>
  <c r="N46" i="4"/>
  <c r="N48" i="4"/>
  <c r="N50" i="4"/>
  <c r="N54" i="4"/>
  <c r="N53" i="4"/>
  <c r="N52" i="4"/>
  <c r="N45" i="4"/>
  <c r="N49" i="4"/>
  <c r="N47" i="4"/>
  <c r="N43" i="4"/>
  <c r="N51" i="4"/>
  <c r="N56" i="4" l="1"/>
  <c r="O43" i="4"/>
  <c r="L44" i="4" s="1"/>
  <c r="O44" i="4" s="1"/>
  <c r="L45" i="4" s="1"/>
  <c r="O45" i="4" s="1"/>
  <c r="L46" i="4" s="1"/>
  <c r="O46" i="4" s="1"/>
  <c r="L47" i="4" s="1"/>
  <c r="O47" i="4" s="1"/>
  <c r="L48" i="4" s="1"/>
  <c r="O48" i="4" s="1"/>
  <c r="L49" i="4" s="1"/>
  <c r="O49" i="4" s="1"/>
  <c r="L50" i="4" s="1"/>
  <c r="O50" i="4" s="1"/>
  <c r="L51" i="4" s="1"/>
  <c r="O51" i="4" s="1"/>
  <c r="L52" i="4" s="1"/>
  <c r="O52" i="4" s="1"/>
  <c r="L53" i="4" s="1"/>
  <c r="O53" i="4" s="1"/>
  <c r="L54" i="4" s="1"/>
  <c r="O54" i="4" s="1"/>
  <c r="G36" i="4" l="1"/>
  <c r="P43" i="4"/>
  <c r="G37" i="4" l="1"/>
  <c r="H26" i="4"/>
  <c r="H30" i="4" s="1"/>
  <c r="R50" i="4" l="1"/>
  <c r="R51" i="4"/>
  <c r="R45" i="4"/>
  <c r="R48" i="4"/>
  <c r="R52" i="4"/>
  <c r="R43" i="4"/>
  <c r="R46" i="4"/>
  <c r="R53" i="4"/>
  <c r="R44" i="4"/>
  <c r="R49" i="4"/>
  <c r="R47" i="4"/>
  <c r="R54" i="4"/>
  <c r="R56" i="4" l="1"/>
  <c r="S43" i="4"/>
  <c r="P44" i="4" s="1"/>
  <c r="S44" i="4" s="1"/>
  <c r="P45" i="4" s="1"/>
  <c r="S45" i="4" s="1"/>
  <c r="P46" i="4" s="1"/>
  <c r="S46" i="4" s="1"/>
  <c r="P47" i="4" s="1"/>
  <c r="S47" i="4" s="1"/>
  <c r="P48" i="4" s="1"/>
  <c r="S48" i="4" s="1"/>
  <c r="P49" i="4" s="1"/>
  <c r="S49" i="4" s="1"/>
  <c r="P50" i="4" s="1"/>
  <c r="S50" i="4" s="1"/>
  <c r="P51" i="4" s="1"/>
  <c r="S51" i="4" s="1"/>
  <c r="P52" i="4" s="1"/>
  <c r="S52" i="4" s="1"/>
  <c r="P53" i="4" s="1"/>
  <c r="S53" i="4" s="1"/>
  <c r="P54" i="4" s="1"/>
  <c r="S54" i="4" s="1"/>
  <c r="H36" i="4" l="1"/>
  <c r="H37" i="4" l="1"/>
</calcChain>
</file>

<file path=xl/sharedStrings.xml><?xml version="1.0" encoding="utf-8"?>
<sst xmlns="http://schemas.openxmlformats.org/spreadsheetml/2006/main" count="157" uniqueCount="125">
  <si>
    <t>Beginning Balance</t>
  </si>
  <si>
    <t>Ending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</si>
  <si>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</si>
  <si>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</si>
  <si>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</si>
  <si>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</si>
  <si>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</si>
  <si>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</si>
  <si>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</si>
  <si>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</si>
  <si>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</si>
  <si>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</si>
  <si>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</si>
  <si>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</si>
  <si>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OF REFUNDS TO BEG. BAL</t>
  </si>
  <si>
    <t>% OF BILLINGS TO REVENUES</t>
  </si>
  <si>
    <t>The deposit forecast is based on year ending balance adjusted for deposit billings as a percentage of revenues, deposit refunds as a percentage of beginning customer deposit balance and commercial deposit refund initiative.</t>
  </si>
  <si>
    <t>YOY CHANGE</t>
  </si>
  <si>
    <t>1.  Customer Deposit forecast is calculated by forecasting  customer Deposit billings and customer Deposit refunds</t>
  </si>
  <si>
    <t>Deposits Billed and Other Credits</t>
  </si>
  <si>
    <t>Deposits Refunded and Other Debits</t>
  </si>
  <si>
    <t xml:space="preserve">ANNUAL REVENUES </t>
  </si>
  <si>
    <t xml:space="preserve">REFUNDS  </t>
  </si>
  <si>
    <t xml:space="preserve">CUSTOMER DEP ENDING BAL  </t>
  </si>
  <si>
    <t xml:space="preserve">BILLINGS </t>
  </si>
  <si>
    <t>ASSUMPTIONS and NOTES:</t>
  </si>
  <si>
    <t>Numbers in black represent historical amounts</t>
  </si>
  <si>
    <t>Numbers in green represent partially historical and partially forecast</t>
  </si>
  <si>
    <t>(4)</t>
  </si>
  <si>
    <t>(3)</t>
  </si>
  <si>
    <t>(2)</t>
  </si>
  <si>
    <t>(1)</t>
  </si>
  <si>
    <t>YOY REVENUE CHANGE</t>
  </si>
  <si>
    <t>[A]</t>
  </si>
  <si>
    <t>[B]</t>
  </si>
  <si>
    <t>[C]</t>
  </si>
  <si>
    <t>[D]</t>
  </si>
  <si>
    <t>[E]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</si>
  <si>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</si>
  <si>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</si>
  <si>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</si>
  <si>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</si>
  <si>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</si>
  <si>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</si>
  <si>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</si>
  <si>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</si>
  <si>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</si>
  <si>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</si>
  <si>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</si>
  <si>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[12]</t>
  </si>
  <si>
    <t>[13]</t>
  </si>
  <si>
    <t>[14]</t>
  </si>
  <si>
    <t>[15]</t>
  </si>
  <si>
    <t>[16]</t>
  </si>
  <si>
    <t>[17]</t>
  </si>
  <si>
    <t>[18]</t>
  </si>
  <si>
    <t>[19]</t>
  </si>
  <si>
    <t>[20]</t>
  </si>
  <si>
    <t>[21]</t>
  </si>
  <si>
    <t>[22]</t>
  </si>
  <si>
    <t>[23]</t>
  </si>
  <si>
    <t>[24]</t>
  </si>
  <si>
    <t>[25]</t>
  </si>
  <si>
    <t>[26]</t>
  </si>
  <si>
    <t>[27]</t>
  </si>
  <si>
    <t>[28]</t>
  </si>
  <si>
    <t>Numbers in blue represent forecast amounts</t>
  </si>
  <si>
    <t>Numbers in red represent a calculation</t>
  </si>
  <si>
    <t>check</t>
  </si>
  <si>
    <t>Account With Excess Deposit</t>
  </si>
  <si>
    <r>
      <t>Excludes Deposit Codes (</t>
    </r>
    <r>
      <rPr>
        <sz val="11"/>
        <color rgb="FFFF0000"/>
        <rFont val="Calibri"/>
        <family val="2"/>
        <scheme val="minor"/>
      </rPr>
      <t>MK, ML, MP, MS, MW</t>
    </r>
    <r>
      <rPr>
        <sz val="11"/>
        <color theme="1"/>
        <rFont val="Calibri"/>
        <family val="2"/>
        <scheme val="minor"/>
      </rPr>
      <t>)</t>
    </r>
  </si>
  <si>
    <t>As of 06/24/2015</t>
  </si>
  <si>
    <t>Residential Only</t>
  </si>
  <si>
    <t>Commercial Industrial</t>
  </si>
  <si>
    <t>Impact to Deposit Forecast of Excess Deposit Legislation</t>
  </si>
  <si>
    <t>Deposit Paid In-Full Months</t>
  </si>
  <si>
    <t>Total_Excess</t>
  </si>
  <si>
    <t>Excess_Cash</t>
  </si>
  <si>
    <t>Excess_NonCash</t>
  </si>
  <si>
    <t>Monthly Increase to Refunds</t>
  </si>
  <si>
    <t>0 to 9</t>
  </si>
  <si>
    <t>12Mo</t>
  </si>
  <si>
    <t>Per Mo</t>
  </si>
  <si>
    <t>January - Dec 2016</t>
  </si>
  <si>
    <t>24MO</t>
  </si>
  <si>
    <t>Jan - Dec 2017</t>
  </si>
  <si>
    <t>36MO</t>
  </si>
  <si>
    <t>Jan 2018 and beyond</t>
  </si>
  <si>
    <t>37+</t>
  </si>
  <si>
    <t>Total</t>
  </si>
  <si>
    <t>12+</t>
  </si>
  <si>
    <t>Assumptions:</t>
  </si>
  <si>
    <t>-</t>
  </si>
  <si>
    <t>Legislation effective date - January 2016</t>
  </si>
  <si>
    <t xml:space="preserve">12 Mos of service modified by having a deposit for 12 months </t>
  </si>
  <si>
    <t>Non-Cash deposits not considered in deposit forecast, as they do not impact the deposit forecast</t>
  </si>
  <si>
    <t xml:space="preserve">Excess refunds made on a go-forward basis only for customers completing 12 months of service beginning Jan 2016.  </t>
  </si>
  <si>
    <t>No catch-up refund for customers who have completed 12 months of service prior to the effective date of the law</t>
  </si>
  <si>
    <t>Effective January 2016 refunds are forecast to increase EACH MONTH by the above amounts in Column P.</t>
  </si>
  <si>
    <t>Year</t>
  </si>
  <si>
    <t>Per year</t>
  </si>
  <si>
    <t>Used LOS (based on months deposit paid in full) for accounts as of 6-24-2015</t>
  </si>
  <si>
    <t>HB7109- TRANSFER REFUNDS</t>
  </si>
  <si>
    <t>HB7109- EXCESS REFUNDS</t>
  </si>
  <si>
    <t>TOTAL REFUNDS</t>
  </si>
  <si>
    <t>5. Deposit Refunds adjusted for HB 7109 - Refund of Excess Cash Deposits Jan 2017- 2020;  $1,314,000 (*12mon); or $15,768,000 .</t>
  </si>
  <si>
    <t>*****</t>
  </si>
  <si>
    <t>For purposes of the HB 7109 forecast prior to September 2015, we excluded all deposits on Master Accounts, as some are not eligible for refunds (Combined, Advanced, Landlord Agr)</t>
  </si>
  <si>
    <t>Note that beginning in September 2015 forecast we are including non-advance masters and transfer accounts.</t>
  </si>
  <si>
    <t>Also beginning with September 2015 forecast we are going with Legal's interpretation that this is a one time only review after 12 months.</t>
  </si>
  <si>
    <t>Master account projections are based on a weighted average determined by using 2 years historical data. The weighted average was then projected forward monthly to arrive at an annual number.</t>
  </si>
  <si>
    <t>to review for excess at 12 months one time only</t>
  </si>
  <si>
    <t>Use this number in Sept forecast as we are only going</t>
  </si>
  <si>
    <t>4.  2016 to 2020 Revenues consist of FPL's 1/11/16 forecast of retail revenues includes Residential, Commercial, Industrial, Street Lighting, Other Retail, Metro (excludes Resale)</t>
  </si>
  <si>
    <t>2.  Customer Deposit billings forecast is based on the current year ratio of Deposit billings to revenues (2.4%)</t>
  </si>
  <si>
    <t>3.  Customer Deposit refunds forecast is based on the current year ratio of refunds to beginning Deposit balance (53.6%)</t>
  </si>
  <si>
    <t>(5)</t>
  </si>
  <si>
    <t>HB7109- MASTER REFUNDS</t>
  </si>
  <si>
    <t>=[B][11]/12</t>
  </si>
  <si>
    <t>=[B][9]/12</t>
  </si>
  <si>
    <t>2015-2018 Deposit Forecast (GL Account 3322000)</t>
  </si>
  <si>
    <t>(MFR D-6)</t>
  </si>
  <si>
    <t>OPC 014854</t>
  </si>
  <si>
    <t>FPL RC-16</t>
  </si>
  <si>
    <t>OPC 014855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</si>
</sst>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#,##0_);[Red]\(#,##0\);&quot; 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5" fillId="4" borderId="0" applyNumberFormat="0" applyBorder="0" applyAlignment="0" applyProtection="0"/>
    <xf numFmtId="0" fontId="16" fillId="5" borderId="9" applyNumberFormat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164" fontId="0" fillId="0" borderId="0" xfId="2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2" applyNumberFormat="1" applyFont="1" applyBorder="1"/>
    <xf numFmtId="164" fontId="3" fillId="0" borderId="4" xfId="2" applyNumberFormat="1" applyFont="1" applyBorder="1"/>
    <xf numFmtId="164" fontId="0" fillId="0" borderId="0" xfId="0" applyNumberFormat="1"/>
    <xf numFmtId="164" fontId="3" fillId="0" borderId="2" xfId="0" applyNumberFormat="1" applyFont="1" applyBorder="1"/>
    <xf numFmtId="164" fontId="3" fillId="0" borderId="1" xfId="0" applyNumberFormat="1" applyFont="1" applyBorder="1"/>
    <xf numFmtId="164" fontId="3" fillId="0" borderId="5" xfId="0" applyNumberFormat="1" applyFont="1" applyBorder="1"/>
    <xf numFmtId="164" fontId="3" fillId="0" borderId="3" xfId="0" applyNumberFormat="1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0" xfId="0" applyNumberFormat="1"/>
    <xf numFmtId="9" fontId="0" fillId="0" borderId="0" xfId="3" applyFont="1"/>
    <xf numFmtId="0" fontId="5" fillId="0" borderId="0" xfId="0" applyFont="1" applyBorder="1"/>
    <xf numFmtId="166" fontId="1" fillId="0" borderId="0" xfId="3" applyNumberFormat="1" applyFont="1" applyBorder="1"/>
    <xf numFmtId="0" fontId="0" fillId="0" borderId="0" xfId="0" applyAlignment="1">
      <alignment horizontal="right"/>
    </xf>
    <xf numFmtId="165" fontId="7" fillId="0" borderId="1" xfId="1" applyNumberFormat="1" applyFont="1" applyBorder="1"/>
    <xf numFmtId="0" fontId="1" fillId="0" borderId="1" xfId="0" applyFont="1" applyBorder="1"/>
    <xf numFmtId="165" fontId="6" fillId="3" borderId="6" xfId="1" applyNumberFormat="1" applyFont="1" applyFill="1" applyBorder="1" applyAlignment="1">
      <alignment horizontal="center" vertical="center" wrapText="1"/>
    </xf>
    <xf numFmtId="1" fontId="6" fillId="3" borderId="7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4" fillId="0" borderId="0" xfId="1" applyNumberFormat="1" applyFont="1" applyFill="1" applyBorder="1" applyAlignment="1">
      <alignment vertical="top" wrapText="1"/>
    </xf>
    <xf numFmtId="0" fontId="4" fillId="0" borderId="0" xfId="0" applyFont="1" applyAlignment="1">
      <alignment wrapText="1"/>
    </xf>
    <xf numFmtId="0" fontId="9" fillId="0" borderId="0" xfId="0" applyFont="1"/>
    <xf numFmtId="165" fontId="0" fillId="0" borderId="4" xfId="1" applyNumberFormat="1" applyFont="1" applyBorder="1"/>
    <xf numFmtId="165" fontId="0" fillId="0" borderId="1" xfId="1" applyNumberFormat="1" applyFont="1" applyBorder="1"/>
    <xf numFmtId="165" fontId="6" fillId="3" borderId="7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Border="1" applyAlignment="1"/>
    <xf numFmtId="165" fontId="4" fillId="0" borderId="0" xfId="1" applyNumberFormat="1" applyFont="1" applyFill="1" applyBorder="1" applyAlignment="1">
      <alignment horizontal="left" vertical="top" wrapText="1"/>
    </xf>
    <xf numFmtId="166" fontId="11" fillId="0" borderId="0" xfId="3" applyNumberFormat="1" applyFont="1" applyBorder="1"/>
    <xf numFmtId="0" fontId="4" fillId="0" borderId="0" xfId="0" applyFont="1" applyAlignment="1">
      <alignment wrapText="1"/>
    </xf>
    <xf numFmtId="165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11" fillId="0" borderId="0" xfId="3" applyNumberFormat="1" applyFont="1" applyFill="1" applyBorder="1"/>
    <xf numFmtId="165" fontId="7" fillId="0" borderId="1" xfId="1" applyNumberFormat="1" applyFont="1" applyBorder="1" applyAlignment="1">
      <alignment horizontal="left" indent="2"/>
    </xf>
    <xf numFmtId="165" fontId="0" fillId="0" borderId="3" xfId="1" applyNumberFormat="1" applyFont="1" applyBorder="1" applyAlignment="1">
      <alignment horizontal="left" indent="2"/>
    </xf>
    <xf numFmtId="9" fontId="11" fillId="0" borderId="0" xfId="3" applyFont="1" applyFill="1" applyBorder="1"/>
    <xf numFmtId="49" fontId="13" fillId="0" borderId="0" xfId="1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13" fillId="0" borderId="0" xfId="1" applyNumberFormat="1" applyFont="1" applyFill="1" applyBorder="1" applyAlignment="1">
      <alignment horizontal="left" wrapText="1"/>
    </xf>
    <xf numFmtId="9" fontId="12" fillId="0" borderId="0" xfId="3" applyFont="1" applyFill="1" applyBorder="1"/>
    <xf numFmtId="166" fontId="12" fillId="0" borderId="0" xfId="3" applyNumberFormat="1" applyFont="1" applyFill="1" applyBorder="1"/>
    <xf numFmtId="166" fontId="12" fillId="0" borderId="4" xfId="3" applyNumberFormat="1" applyFont="1" applyBorder="1"/>
    <xf numFmtId="0" fontId="12" fillId="0" borderId="0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164" fontId="4" fillId="0" borderId="0" xfId="2" applyNumberFormat="1" applyFont="1" applyBorder="1"/>
    <xf numFmtId="166" fontId="12" fillId="0" borderId="0" xfId="3" applyNumberFormat="1" applyFont="1" applyBorder="1"/>
    <xf numFmtId="3" fontId="14" fillId="0" borderId="0" xfId="0" applyNumberFormat="1" applyFont="1"/>
    <xf numFmtId="164" fontId="4" fillId="0" borderId="1" xfId="0" applyNumberFormat="1" applyFont="1" applyBorder="1"/>
    <xf numFmtId="164" fontId="4" fillId="0" borderId="2" xfId="0" applyNumberFormat="1" applyFont="1" applyBorder="1"/>
    <xf numFmtId="167" fontId="3" fillId="0" borderId="0" xfId="2" applyNumberFormat="1" applyFont="1" applyBorder="1"/>
    <xf numFmtId="0" fontId="17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quotePrefix="1" applyFont="1" applyFill="1" applyBorder="1" applyAlignment="1">
      <alignment horizontal="left" vertical="top" wrapText="1"/>
    </xf>
    <xf numFmtId="8" fontId="19" fillId="0" borderId="0" xfId="0" applyNumberFormat="1" applyFont="1" applyFill="1" applyBorder="1" applyAlignment="1"/>
    <xf numFmtId="8" fontId="4" fillId="0" borderId="0" xfId="0" applyNumberFormat="1" applyFont="1" applyFill="1" applyBorder="1"/>
    <xf numFmtId="0" fontId="18" fillId="0" borderId="0" xfId="0" applyFont="1" applyFill="1" applyBorder="1" applyAlignment="1">
      <alignment horizontal="left" vertical="top" wrapText="1"/>
    </xf>
    <xf numFmtId="8" fontId="19" fillId="0" borderId="0" xfId="0" applyNumberFormat="1" applyFont="1" applyFill="1" applyBorder="1" applyAlignment="1">
      <alignment horizontal="right"/>
    </xf>
    <xf numFmtId="0" fontId="15" fillId="4" borderId="0" xfId="5" applyBorder="1" applyAlignment="1">
      <alignment horizontal="left" vertical="top" wrapText="1"/>
    </xf>
    <xf numFmtId="8" fontId="15" fillId="4" borderId="0" xfId="5" applyNumberFormat="1" applyBorder="1" applyAlignment="1">
      <alignment horizontal="right"/>
    </xf>
    <xf numFmtId="8" fontId="15" fillId="4" borderId="0" xfId="5" applyNumberFormat="1" applyBorder="1"/>
    <xf numFmtId="0" fontId="16" fillId="5" borderId="9" xfId="6"/>
    <xf numFmtId="8" fontId="0" fillId="0" borderId="0" xfId="0" applyNumberFormat="1"/>
    <xf numFmtId="0" fontId="18" fillId="0" borderId="10" xfId="0" applyFont="1" applyFill="1" applyBorder="1" applyAlignment="1">
      <alignment horizontal="left" vertical="top" wrapText="1"/>
    </xf>
    <xf numFmtId="8" fontId="19" fillId="0" borderId="1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 vertical="center"/>
    </xf>
    <xf numFmtId="0" fontId="4" fillId="0" borderId="0" xfId="0" applyFont="1"/>
    <xf numFmtId="0" fontId="0" fillId="0" borderId="0" xfId="0" quotePrefix="1" applyAlignment="1">
      <alignment horizontal="right"/>
    </xf>
    <xf numFmtId="3" fontId="0" fillId="0" borderId="0" xfId="0" applyNumberFormat="1"/>
    <xf numFmtId="8" fontId="16" fillId="6" borderId="9" xfId="6" applyNumberFormat="1" applyFill="1"/>
    <xf numFmtId="164" fontId="3" fillId="0" borderId="0" xfId="2" applyNumberFormat="1" applyFont="1" applyFill="1" applyBorder="1"/>
    <xf numFmtId="44" fontId="3" fillId="0" borderId="0" xfId="2" applyNumberFormat="1" applyFont="1" applyFill="1" applyBorder="1"/>
    <xf numFmtId="165" fontId="13" fillId="0" borderId="0" xfId="1" applyNumberFormat="1" applyFont="1" applyFill="1" applyBorder="1" applyAlignment="1">
      <alignment wrapText="1"/>
    </xf>
    <xf numFmtId="43" fontId="0" fillId="0" borderId="0" xfId="1" applyFont="1"/>
    <xf numFmtId="3" fontId="4" fillId="0" borderId="0" xfId="0" applyNumberFormat="1" applyFont="1" applyBorder="1"/>
    <xf numFmtId="164" fontId="3" fillId="0" borderId="11" xfId="2" applyNumberFormat="1" applyFont="1" applyFill="1" applyBorder="1"/>
    <xf numFmtId="164" fontId="4" fillId="0" borderId="3" xfId="0" applyNumberFormat="1" applyFont="1" applyBorder="1"/>
    <xf numFmtId="164" fontId="4" fillId="0" borderId="4" xfId="2" applyNumberFormat="1" applyFont="1" applyBorder="1"/>
    <xf numFmtId="164" fontId="4" fillId="0" borderId="5" xfId="0" applyNumberFormat="1" applyFont="1" applyBorder="1"/>
    <xf numFmtId="165" fontId="13" fillId="0" borderId="0" xfId="1" applyNumberFormat="1" applyFont="1" applyFill="1" applyBorder="1" applyAlignment="1">
      <alignment horizontal="left" wrapText="1"/>
    </xf>
    <xf numFmtId="164" fontId="4" fillId="0" borderId="11" xfId="2" applyNumberFormat="1" applyFont="1" applyFill="1" applyBorder="1"/>
    <xf numFmtId="0" fontId="0" fillId="7" borderId="0" xfId="0" applyFill="1"/>
    <xf numFmtId="0" fontId="18" fillId="7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12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49" fontId="4" fillId="0" borderId="0" xfId="1" applyNumberFormat="1" applyFont="1" applyFill="1" applyBorder="1" applyAlignment="1">
      <alignment horizontal="left" vertical="top"/>
    </xf>
    <xf numFmtId="49" fontId="11" fillId="0" borderId="0" xfId="0" applyNumberFormat="1" applyFont="1" applyAlignment="1">
      <alignment horizontal="left"/>
    </xf>
    <xf numFmtId="165" fontId="4" fillId="0" borderId="0" xfId="1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13" fillId="0" borderId="0" xfId="1" applyNumberFormat="1" applyFont="1" applyFill="1" applyBorder="1" applyAlignment="1">
      <alignment horizontal="left" wrapText="1"/>
    </xf>
    <xf numFmtId="165" fontId="13" fillId="7" borderId="0" xfId="1" applyNumberFormat="1" applyFont="1" applyFill="1" applyBorder="1" applyAlignment="1">
      <alignment horizontal="left" wrapText="1"/>
    </xf>
    <xf numFmtId="165" fontId="8" fillId="0" borderId="0" xfId="1" applyNumberFormat="1" applyFont="1" applyBorder="1" applyAlignment="1">
      <alignment horizontal="left"/>
    </xf>
    <xf numFmtId="0" fontId="0" fillId="0" borderId="0" xfId="0" applyAlignment="1">
      <alignment horizontal="center"/>
    </xf>
  </cellXfs>
  <cellStyles count="7">
    <cellStyle name="Comma" xfId="1" builtinId="3"/>
    <cellStyle name="Currency" xfId="2" builtinId="4"/>
    <cellStyle name="Good" xfId="5" builtinId="26"/>
    <cellStyle name="Input" xfId="6" builtinId="20"/>
    <cellStyle name="Normal" xfId="0" builtinId="0"/>
    <cellStyle name="Normal 5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7"/>
  <sheetViews>
    <sheetView showGridLines="0" zoomScale="80" zoomScaleNormal="80" workbookViewId="0">
      <selection activeCell="B1" sqref="B1:B2"/>
    </sheetView>
  </sheetViews>
  <sheetFormatPr defaultColWidth="13.88671875" defaultRowHeight="14.4" x14ac:dyDescent="0.3"/>
  <cols>
    <col min="1" max="1" width="4.44140625" bestFit="1" customWidth="1"/>
    <col min="2" max="2" width="26.5546875" customWidth="1"/>
    <col min="3" max="3" width="5.109375" bestFit="1" customWidth="1"/>
    <col min="4" max="4" width="15.33203125" bestFit="1" customWidth="1"/>
    <col min="5" max="5" width="18.33203125" bestFit="1" customWidth="1"/>
    <col min="6" max="6" width="17.44140625" bestFit="1" customWidth="1"/>
    <col min="7" max="7" width="17.33203125" customWidth="1"/>
    <col min="8" max="8" width="17.33203125" bestFit="1" customWidth="1"/>
    <col min="9" max="9" width="18.33203125" bestFit="1" customWidth="1"/>
    <col min="10" max="10" width="22" bestFit="1" customWidth="1"/>
    <col min="11" max="11" width="16.44140625" bestFit="1" customWidth="1"/>
    <col min="12" max="12" width="17.33203125" bestFit="1" customWidth="1"/>
    <col min="13" max="13" width="18.33203125" bestFit="1" customWidth="1"/>
    <col min="14" max="14" width="14.5546875" bestFit="1" customWidth="1"/>
    <col min="15" max="15" width="16.44140625" bestFit="1" customWidth="1"/>
    <col min="16" max="16" width="14.5546875" bestFit="1" customWidth="1"/>
    <col min="17" max="17" width="18.33203125" bestFit="1" customWidth="1"/>
    <col min="18" max="18" width="14.5546875" bestFit="1" customWidth="1"/>
    <col min="19" max="19" width="16.44140625" bestFit="1" customWidth="1"/>
    <col min="20" max="22" width="14.5546875" bestFit="1" customWidth="1"/>
    <col min="23" max="23" width="16.44140625" bestFit="1" customWidth="1"/>
    <col min="24" max="24" width="14.5546875" bestFit="1" customWidth="1"/>
    <col min="25" max="25" width="14.44140625" bestFit="1" customWidth="1"/>
    <col min="26" max="26" width="14.5546875" bestFit="1" customWidth="1"/>
    <col min="27" max="27" width="16.44140625" bestFit="1" customWidth="1"/>
    <col min="28" max="29" width="15.5546875" bestFit="1" customWidth="1"/>
    <col min="30" max="34" width="15.33203125" bestFit="1" customWidth="1"/>
  </cols>
  <sheetData>
    <row r="1" spans="2:15" s="3" customFormat="1" x14ac:dyDescent="0.3">
      <c r="B1" s="3" t="s">
        <v>122</v>
      </c>
    </row>
    <row r="2" spans="2:15" s="3" customFormat="1" x14ac:dyDescent="0.3">
      <c r="B2" s="3" t="s">
        <v>123</v>
      </c>
    </row>
    <row r="3" spans="2:15" s="3" customFormat="1" x14ac:dyDescent="0.3"/>
    <row r="4" spans="2:15" x14ac:dyDescent="0.3">
      <c r="B4" s="89" t="s">
        <v>120</v>
      </c>
      <c r="C4" s="89"/>
      <c r="D4" s="89"/>
      <c r="E4" t="s">
        <v>121</v>
      </c>
    </row>
    <row r="5" spans="2:15" ht="30" customHeight="1" x14ac:dyDescent="0.3">
      <c r="J5" s="25"/>
    </row>
    <row r="6" spans="2:15" ht="30" customHeight="1" x14ac:dyDescent="0.3">
      <c r="B6" s="94" t="s">
        <v>16</v>
      </c>
      <c r="C6" s="94"/>
      <c r="D6" s="94"/>
      <c r="E6" s="94"/>
      <c r="F6" s="94"/>
      <c r="G6" s="94"/>
      <c r="H6" s="94"/>
      <c r="I6" s="94"/>
      <c r="J6" s="94"/>
    </row>
    <row r="7" spans="2:15" x14ac:dyDescent="0.3">
      <c r="B7" s="91" t="s">
        <v>66</v>
      </c>
      <c r="C7" s="91"/>
      <c r="D7" s="91"/>
      <c r="E7" s="32"/>
      <c r="F7" s="32"/>
      <c r="G7" s="32"/>
      <c r="H7" s="32"/>
      <c r="I7" s="25"/>
      <c r="J7" s="25"/>
    </row>
    <row r="8" spans="2:15" x14ac:dyDescent="0.3">
      <c r="B8" s="92" t="s">
        <v>26</v>
      </c>
      <c r="C8" s="92"/>
      <c r="D8" s="92"/>
      <c r="E8" s="32"/>
      <c r="F8" s="32"/>
      <c r="G8" s="32"/>
      <c r="H8" s="32"/>
      <c r="I8" s="25"/>
      <c r="J8" s="25"/>
    </row>
    <row r="9" spans="2:15" x14ac:dyDescent="0.3">
      <c r="B9" s="93" t="s">
        <v>27</v>
      </c>
      <c r="C9" s="93"/>
      <c r="D9" s="93"/>
      <c r="E9" s="93"/>
      <c r="F9" s="32"/>
      <c r="G9" s="32"/>
      <c r="H9" s="32"/>
      <c r="I9" s="25"/>
      <c r="J9" s="25"/>
    </row>
    <row r="10" spans="2:15" x14ac:dyDescent="0.3">
      <c r="B10" s="90" t="s">
        <v>67</v>
      </c>
      <c r="C10" s="90"/>
      <c r="D10" s="90"/>
      <c r="E10" s="35"/>
      <c r="F10" s="35"/>
      <c r="G10" s="35"/>
      <c r="H10" s="35"/>
      <c r="I10" s="25"/>
      <c r="J10" s="25"/>
    </row>
    <row r="11" spans="2:15" x14ac:dyDescent="0.3">
      <c r="B11" s="101"/>
      <c r="C11" s="101"/>
      <c r="D11" s="101"/>
      <c r="E11" s="101"/>
    </row>
    <row r="12" spans="2:15" x14ac:dyDescent="0.3">
      <c r="B12" s="100" t="s">
        <v>25</v>
      </c>
      <c r="C12" s="100"/>
      <c r="D12" s="100"/>
      <c r="E12" s="100"/>
      <c r="J12" s="27"/>
    </row>
    <row r="13" spans="2:15" ht="15" customHeight="1" x14ac:dyDescent="0.3">
      <c r="B13" s="98" t="s">
        <v>18</v>
      </c>
      <c r="C13" s="98"/>
      <c r="D13" s="98"/>
      <c r="E13" s="98"/>
      <c r="F13" s="98"/>
      <c r="G13" s="98"/>
      <c r="H13" s="98"/>
      <c r="I13" s="98"/>
      <c r="J13" s="98"/>
    </row>
    <row r="14" spans="2:15" ht="15" customHeight="1" x14ac:dyDescent="0.3">
      <c r="B14" s="98" t="s">
        <v>114</v>
      </c>
      <c r="C14" s="98"/>
      <c r="D14" s="98"/>
      <c r="E14" s="98"/>
      <c r="F14" s="98"/>
      <c r="G14" s="98"/>
      <c r="H14" s="98"/>
      <c r="I14" s="98"/>
      <c r="J14" s="98"/>
    </row>
    <row r="15" spans="2:15" ht="15" customHeight="1" x14ac:dyDescent="0.3">
      <c r="B15" s="98" t="s">
        <v>115</v>
      </c>
      <c r="C15" s="98"/>
      <c r="D15" s="98"/>
      <c r="E15" s="98"/>
      <c r="F15" s="98"/>
      <c r="G15" s="98"/>
      <c r="H15" s="98"/>
      <c r="I15" s="98"/>
      <c r="J15" s="98"/>
      <c r="O15" s="7"/>
    </row>
    <row r="16" spans="2:15" ht="15" customHeight="1" x14ac:dyDescent="0.3">
      <c r="B16" s="98" t="s">
        <v>113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</row>
    <row r="17" spans="1:29" ht="15" customHeight="1" x14ac:dyDescent="0.3">
      <c r="B17" s="99" t="s">
        <v>105</v>
      </c>
      <c r="C17" s="99"/>
      <c r="D17" s="99"/>
      <c r="E17" s="99"/>
      <c r="F17" s="99"/>
      <c r="G17" s="99"/>
      <c r="H17" s="99"/>
      <c r="I17" s="78"/>
      <c r="J17" s="78"/>
      <c r="L17" s="31"/>
    </row>
    <row r="18" spans="1:29" ht="15" customHeight="1" x14ac:dyDescent="0.3">
      <c r="B18" s="98"/>
      <c r="C18" s="98"/>
      <c r="D18" s="98"/>
      <c r="E18" s="98"/>
      <c r="F18" s="98"/>
      <c r="G18" s="98"/>
      <c r="H18" s="98"/>
      <c r="I18" s="98"/>
      <c r="J18" s="26"/>
    </row>
    <row r="19" spans="1:29" ht="15" customHeight="1" x14ac:dyDescent="0.3">
      <c r="B19" s="45"/>
      <c r="C19" s="45"/>
      <c r="D19" s="45"/>
      <c r="E19" s="45"/>
      <c r="F19" s="45"/>
      <c r="G19" s="85"/>
      <c r="H19" s="85"/>
      <c r="I19" s="45"/>
      <c r="J19" s="34"/>
    </row>
    <row r="20" spans="1:29" ht="15" thickBot="1" x14ac:dyDescent="0.35">
      <c r="B20" s="17"/>
      <c r="C20" s="17"/>
      <c r="D20" s="44" t="s">
        <v>33</v>
      </c>
      <c r="E20" s="44" t="s">
        <v>34</v>
      </c>
      <c r="F20" s="44" t="s">
        <v>35</v>
      </c>
      <c r="G20" s="37" t="s">
        <v>36</v>
      </c>
      <c r="H20" s="37" t="s">
        <v>37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ht="15" thickBot="1" x14ac:dyDescent="0.35">
      <c r="A21" s="4"/>
      <c r="B21" s="22"/>
      <c r="C21" s="30"/>
      <c r="D21" s="23">
        <v>2014</v>
      </c>
      <c r="E21" s="23">
        <f t="shared" ref="E21" si="0">D21+1</f>
        <v>2015</v>
      </c>
      <c r="F21" s="23">
        <f t="shared" ref="F21" si="1">E21+1</f>
        <v>2016</v>
      </c>
      <c r="G21" s="23">
        <f>F21+1</f>
        <v>2017</v>
      </c>
      <c r="H21" s="23">
        <f>G21+1</f>
        <v>2018</v>
      </c>
    </row>
    <row r="22" spans="1:29" ht="15" customHeight="1" thickTop="1" x14ac:dyDescent="0.3">
      <c r="A22" s="4" t="s">
        <v>38</v>
      </c>
      <c r="B22" s="20" t="s">
        <v>21</v>
      </c>
      <c r="C22" s="42" t="s">
        <v>28</v>
      </c>
      <c r="D22" s="80"/>
      <c r="E22" s="56">
        <v>10773013742.720001</v>
      </c>
      <c r="F22" s="56">
        <v>10283592843.834248</v>
      </c>
      <c r="G22" s="56">
        <v>9993360929.7810974</v>
      </c>
      <c r="H22" s="56">
        <v>10526070908.443792</v>
      </c>
    </row>
    <row r="23" spans="1:29" x14ac:dyDescent="0.3">
      <c r="A23" s="4" t="s">
        <v>39</v>
      </c>
      <c r="B23" s="39" t="s">
        <v>32</v>
      </c>
      <c r="C23" s="42"/>
      <c r="D23" s="46"/>
      <c r="E23" s="47"/>
      <c r="F23" s="47">
        <f>(F22/E22)-1</f>
        <v>-4.5430267757384568E-2</v>
      </c>
      <c r="G23" s="47">
        <f>(G22/F22)-1</f>
        <v>-2.8222812635679717E-2</v>
      </c>
      <c r="H23" s="47">
        <f t="shared" ref="H23" si="2">(H22/G22)-1</f>
        <v>5.3306388351807898E-2</v>
      </c>
    </row>
    <row r="24" spans="1:29" x14ac:dyDescent="0.3">
      <c r="A24" s="4" t="s">
        <v>40</v>
      </c>
      <c r="B24" s="39"/>
      <c r="C24" s="42"/>
      <c r="D24" s="41"/>
      <c r="E24" s="38"/>
      <c r="F24" s="38"/>
      <c r="G24" s="38"/>
      <c r="H24" s="38"/>
    </row>
    <row r="25" spans="1:29" x14ac:dyDescent="0.3">
      <c r="A25" s="4" t="s">
        <v>41</v>
      </c>
      <c r="B25" s="21"/>
      <c r="C25" s="43"/>
      <c r="D25" s="44"/>
      <c r="E25" s="44"/>
      <c r="F25" s="44"/>
      <c r="G25" s="44"/>
      <c r="H25" s="44"/>
    </row>
    <row r="26" spans="1:29" x14ac:dyDescent="0.3">
      <c r="A26" s="4" t="s">
        <v>42</v>
      </c>
      <c r="B26" s="29" t="s">
        <v>22</v>
      </c>
      <c r="C26" s="42" t="s">
        <v>29</v>
      </c>
      <c r="D26" s="51"/>
      <c r="E26" s="51">
        <f>SUM(F43:F54)</f>
        <v>245276967.32999998</v>
      </c>
      <c r="F26" s="77">
        <f>(-F33*E36)</f>
        <v>251483300.60097203</v>
      </c>
      <c r="G26" s="77">
        <f>(-G33*F36)</f>
        <v>245615926.43046254</v>
      </c>
      <c r="H26" s="77">
        <f>(-H33*G36)</f>
        <v>230535873.33511728</v>
      </c>
      <c r="I26" s="77"/>
      <c r="J26" s="79"/>
      <c r="K26" s="79"/>
    </row>
    <row r="27" spans="1:29" x14ac:dyDescent="0.3">
      <c r="A27" s="4" t="s">
        <v>43</v>
      </c>
      <c r="B27" s="29" t="s">
        <v>103</v>
      </c>
      <c r="C27" s="42" t="s">
        <v>116</v>
      </c>
      <c r="D27" s="51"/>
      <c r="E27" s="5"/>
      <c r="F27" s="77"/>
      <c r="G27" s="77">
        <f>SUM(1314000*12)</f>
        <v>15768000</v>
      </c>
      <c r="H27" s="77">
        <f t="shared" ref="H27" si="3">SUM(1314000*12)</f>
        <v>15768000</v>
      </c>
    </row>
    <row r="28" spans="1:29" x14ac:dyDescent="0.3">
      <c r="A28" s="4" t="s">
        <v>44</v>
      </c>
      <c r="B28" s="29" t="s">
        <v>102</v>
      </c>
      <c r="C28" s="42"/>
      <c r="D28" s="51"/>
      <c r="E28" s="5"/>
      <c r="F28" s="76">
        <v>4648376</v>
      </c>
      <c r="G28" s="76">
        <v>4648376</v>
      </c>
      <c r="H28" s="76">
        <v>4648376</v>
      </c>
    </row>
    <row r="29" spans="1:29" x14ac:dyDescent="0.3">
      <c r="A29" s="4" t="s">
        <v>45</v>
      </c>
      <c r="B29" s="29" t="s">
        <v>117</v>
      </c>
      <c r="C29" s="42"/>
      <c r="D29" s="51"/>
      <c r="E29" s="5"/>
      <c r="F29" s="76"/>
      <c r="G29" s="76">
        <v>365940</v>
      </c>
      <c r="H29" s="76">
        <v>365940</v>
      </c>
    </row>
    <row r="30" spans="1:29" x14ac:dyDescent="0.3">
      <c r="A30" s="4" t="s">
        <v>46</v>
      </c>
      <c r="B30" s="29" t="s">
        <v>104</v>
      </c>
      <c r="C30" s="42"/>
      <c r="D30" s="86"/>
      <c r="E30" s="86">
        <f t="shared" ref="E30" si="4">SUM(E26:E29)</f>
        <v>245276967.32999998</v>
      </c>
      <c r="F30" s="81">
        <f>SUM(F26:F29)</f>
        <v>256131676.60097203</v>
      </c>
      <c r="G30" s="81">
        <f>SUM(G26:G29)</f>
        <v>266398242.43046254</v>
      </c>
      <c r="H30" s="81">
        <f t="shared" ref="H30" si="5">SUM(H26:H29)</f>
        <v>251318189.33511728</v>
      </c>
      <c r="I30" s="76"/>
    </row>
    <row r="31" spans="1:29" x14ac:dyDescent="0.3">
      <c r="A31" s="4" t="s">
        <v>47</v>
      </c>
      <c r="B31" s="29"/>
      <c r="C31" s="42"/>
      <c r="D31" s="51"/>
      <c r="E31" s="5"/>
      <c r="F31" s="76"/>
      <c r="G31" s="76"/>
      <c r="H31" s="76"/>
    </row>
    <row r="32" spans="1:29" x14ac:dyDescent="0.3">
      <c r="A32" s="4" t="s">
        <v>48</v>
      </c>
      <c r="B32" s="29" t="s">
        <v>24</v>
      </c>
      <c r="C32" s="42" t="s">
        <v>30</v>
      </c>
      <c r="D32" s="51"/>
      <c r="E32" s="51">
        <f>-SUM(E43:E54)</f>
        <v>-256854984.20999998</v>
      </c>
      <c r="F32" s="5">
        <f t="shared" ref="F32:H32" si="6">F34*F22</f>
        <v>-245185993.50252089</v>
      </c>
      <c r="G32" s="5">
        <f t="shared" si="6"/>
        <v>-238266155.14700627</v>
      </c>
      <c r="H32" s="5">
        <f t="shared" si="6"/>
        <v>-250967263.3443647</v>
      </c>
    </row>
    <row r="33" spans="1:19" x14ac:dyDescent="0.3">
      <c r="A33" s="4" t="s">
        <v>49</v>
      </c>
      <c r="B33" s="20" t="s">
        <v>14</v>
      </c>
      <c r="C33" s="42"/>
      <c r="D33" s="52"/>
      <c r="E33" s="33">
        <f>E26/D43</f>
        <v>0.53604458650366149</v>
      </c>
      <c r="F33" s="33">
        <f t="shared" ref="F33:F34" si="7">E33</f>
        <v>0.53604458650366149</v>
      </c>
      <c r="G33" s="33">
        <f t="shared" ref="G33" si="8">F33</f>
        <v>0.53604458650366149</v>
      </c>
      <c r="H33" s="33">
        <f t="shared" ref="H33" si="9">G33</f>
        <v>0.53604458650366149</v>
      </c>
      <c r="I33" s="16"/>
    </row>
    <row r="34" spans="1:19" x14ac:dyDescent="0.3">
      <c r="A34" s="4" t="s">
        <v>50</v>
      </c>
      <c r="B34" s="20" t="s">
        <v>15</v>
      </c>
      <c r="C34" s="42"/>
      <c r="D34" s="52"/>
      <c r="E34" s="33">
        <f>E32/E22</f>
        <v>-2.3842444681143469E-2</v>
      </c>
      <c r="F34" s="33">
        <f t="shared" si="7"/>
        <v>-2.3842444681143469E-2</v>
      </c>
      <c r="G34" s="33">
        <f>F34</f>
        <v>-2.3842444681143469E-2</v>
      </c>
      <c r="H34" s="33">
        <f>G34</f>
        <v>-2.3842444681143469E-2</v>
      </c>
      <c r="I34" s="16"/>
    </row>
    <row r="35" spans="1:19" x14ac:dyDescent="0.3">
      <c r="B35" s="20"/>
      <c r="C35" s="42"/>
      <c r="D35" s="18"/>
      <c r="E35" s="18"/>
      <c r="F35" s="18"/>
      <c r="G35" s="18"/>
      <c r="H35" s="18"/>
      <c r="I35" s="16"/>
    </row>
    <row r="36" spans="1:19" x14ac:dyDescent="0.3">
      <c r="B36" s="29" t="s">
        <v>23</v>
      </c>
      <c r="C36" s="42" t="s">
        <v>31</v>
      </c>
      <c r="D36" s="51">
        <v>-457568220.08000004</v>
      </c>
      <c r="E36" s="51">
        <f>-G54</f>
        <v>-469146236.96000004</v>
      </c>
      <c r="F36" s="5">
        <f>-K54</f>
        <v>-458200553.86154866</v>
      </c>
      <c r="G36" s="5">
        <f>-O54</f>
        <v>-430068466.57809234</v>
      </c>
      <c r="H36" s="5">
        <f>-S54</f>
        <v>-429717540.5873394</v>
      </c>
      <c r="I36" s="15"/>
    </row>
    <row r="37" spans="1:19" ht="15" thickBot="1" x14ac:dyDescent="0.35">
      <c r="B37" s="40" t="s">
        <v>17</v>
      </c>
      <c r="C37" s="28"/>
      <c r="D37" s="48"/>
      <c r="E37" s="48">
        <f t="shared" ref="E37:H37" si="10">(E36/D36)-1</f>
        <v>2.530336761144758E-2</v>
      </c>
      <c r="F37" s="48">
        <f t="shared" si="10"/>
        <v>-2.333106872896995E-2</v>
      </c>
      <c r="G37" s="48">
        <f t="shared" si="10"/>
        <v>-6.1396886246359306E-2</v>
      </c>
      <c r="H37" s="48">
        <f t="shared" si="10"/>
        <v>-8.1597703162272772E-4</v>
      </c>
      <c r="I37" s="15"/>
    </row>
    <row r="38" spans="1:19" ht="15" thickBot="1" x14ac:dyDescent="0.35">
      <c r="E38" s="24"/>
      <c r="F38" s="24"/>
      <c r="G38" s="24"/>
      <c r="H38" s="24"/>
      <c r="I38" s="24"/>
      <c r="J38" s="7"/>
    </row>
    <row r="39" spans="1:19" s="3" customFormat="1" ht="15" thickBot="1" x14ac:dyDescent="0.35">
      <c r="B39" s="4"/>
      <c r="C39" s="4"/>
      <c r="D39" s="95">
        <v>2015</v>
      </c>
      <c r="E39" s="96"/>
      <c r="F39" s="96"/>
      <c r="G39" s="97"/>
      <c r="H39" s="95">
        <f t="shared" ref="H39" si="11">D39+1</f>
        <v>2016</v>
      </c>
      <c r="I39" s="96"/>
      <c r="J39" s="96"/>
      <c r="K39" s="97"/>
      <c r="L39" s="95">
        <f t="shared" ref="L39" si="12">H39+1</f>
        <v>2017</v>
      </c>
      <c r="M39" s="96"/>
      <c r="N39" s="96"/>
      <c r="O39" s="97"/>
      <c r="P39" s="95">
        <f t="shared" ref="P39" si="13">L39+1</f>
        <v>2018</v>
      </c>
      <c r="Q39" s="96"/>
      <c r="R39" s="96"/>
      <c r="S39" s="97"/>
    </row>
    <row r="40" spans="1:19" s="1" customFormat="1" ht="43.8" thickTop="1" x14ac:dyDescent="0.3">
      <c r="A40" s="4" t="s">
        <v>51</v>
      </c>
      <c r="B40" s="4"/>
      <c r="C40" s="4"/>
      <c r="D40" s="12" t="s">
        <v>0</v>
      </c>
      <c r="E40" s="13" t="s">
        <v>19</v>
      </c>
      <c r="F40" s="13" t="s">
        <v>20</v>
      </c>
      <c r="G40" s="14" t="s">
        <v>1</v>
      </c>
      <c r="H40" s="12" t="s">
        <v>0</v>
      </c>
      <c r="I40" s="13" t="s">
        <v>19</v>
      </c>
      <c r="J40" s="13" t="s">
        <v>20</v>
      </c>
      <c r="K40" s="14" t="s">
        <v>1</v>
      </c>
      <c r="L40" s="12" t="s">
        <v>0</v>
      </c>
      <c r="M40" s="13" t="s">
        <v>19</v>
      </c>
      <c r="N40" s="13" t="s">
        <v>20</v>
      </c>
      <c r="O40" s="14" t="s">
        <v>1</v>
      </c>
      <c r="P40" s="12" t="s">
        <v>0</v>
      </c>
      <c r="Q40" s="13" t="s">
        <v>19</v>
      </c>
      <c r="R40" s="13" t="s">
        <v>20</v>
      </c>
      <c r="S40" s="14" t="s">
        <v>1</v>
      </c>
    </row>
    <row r="41" spans="1:19" s="36" customFormat="1" x14ac:dyDescent="0.3">
      <c r="A41" s="4" t="s">
        <v>52</v>
      </c>
      <c r="B41" s="4"/>
      <c r="C41" s="4"/>
      <c r="D41" s="12"/>
      <c r="E41" s="13"/>
      <c r="F41" s="13"/>
      <c r="G41" s="14"/>
      <c r="H41" s="12"/>
      <c r="I41" s="13"/>
      <c r="J41" s="13"/>
      <c r="K41" s="14"/>
      <c r="L41" s="12"/>
      <c r="M41" s="13"/>
      <c r="N41" s="13"/>
      <c r="O41" s="14"/>
      <c r="P41" s="12"/>
      <c r="Q41" s="13"/>
      <c r="R41" s="13"/>
      <c r="S41" s="14"/>
    </row>
    <row r="42" spans="1:19" s="36" customFormat="1" x14ac:dyDescent="0.3">
      <c r="A42" s="4" t="s">
        <v>53</v>
      </c>
      <c r="B42" s="4"/>
      <c r="C42" s="4"/>
      <c r="D42" s="12"/>
      <c r="E42" s="49" t="s">
        <v>118</v>
      </c>
      <c r="F42" s="49" t="s">
        <v>119</v>
      </c>
      <c r="G42" s="50"/>
      <c r="H42" s="12"/>
      <c r="I42" s="49"/>
      <c r="J42" s="49"/>
      <c r="K42" s="50"/>
      <c r="L42" s="12"/>
      <c r="M42" s="49"/>
      <c r="N42" s="49"/>
      <c r="O42" s="50"/>
      <c r="P42" s="12"/>
      <c r="Q42" s="49"/>
      <c r="R42" s="49"/>
      <c r="S42" s="50"/>
    </row>
    <row r="43" spans="1:19" x14ac:dyDescent="0.3">
      <c r="A43" s="4" t="s">
        <v>54</v>
      </c>
      <c r="B43" s="19"/>
      <c r="C43" s="19" t="s">
        <v>2</v>
      </c>
      <c r="D43" s="54">
        <v>457568220.08000004</v>
      </c>
      <c r="E43" s="2">
        <v>20915163.84</v>
      </c>
      <c r="F43" s="2">
        <v>20655481.84</v>
      </c>
      <c r="G43" s="55">
        <f>D43+E43-(F43)</f>
        <v>457827902.08000004</v>
      </c>
      <c r="H43" s="9">
        <f>G54</f>
        <v>469146236.96000004</v>
      </c>
      <c r="I43" s="5">
        <f t="shared" ref="I43:I54" si="14">-$F$32/12</f>
        <v>20432166.125210073</v>
      </c>
      <c r="J43" s="5">
        <f>($F$30/12)</f>
        <v>21344306.383414336</v>
      </c>
      <c r="K43" s="8">
        <f>H43+I43-J43</f>
        <v>468234096.70179576</v>
      </c>
      <c r="L43" s="9">
        <f>K54</f>
        <v>458200553.86154866</v>
      </c>
      <c r="M43" s="5">
        <f t="shared" ref="M43:M54" si="15">-$G$32/12</f>
        <v>19855512.928917188</v>
      </c>
      <c r="N43" s="5">
        <f>($G$30/12)</f>
        <v>22199853.535871878</v>
      </c>
      <c r="O43" s="8">
        <f>L43+M43-N43</f>
        <v>455856213.25459397</v>
      </c>
      <c r="P43" s="9">
        <f>O54</f>
        <v>430068466.57809234</v>
      </c>
      <c r="Q43" s="5">
        <f t="shared" ref="Q43:Q54" si="16">-$H$32/12</f>
        <v>20913938.612030391</v>
      </c>
      <c r="R43" s="5">
        <f>($H$30/12)</f>
        <v>20943182.444593105</v>
      </c>
      <c r="S43" s="8">
        <f>P43+Q43-R43</f>
        <v>430039222.74552959</v>
      </c>
    </row>
    <row r="44" spans="1:19" x14ac:dyDescent="0.3">
      <c r="A44" s="4" t="s">
        <v>55</v>
      </c>
      <c r="B44" s="19"/>
      <c r="C44" s="19" t="s">
        <v>3</v>
      </c>
      <c r="D44" s="54">
        <f>G43</f>
        <v>457827902.08000004</v>
      </c>
      <c r="E44" s="51">
        <v>19918486.219999999</v>
      </c>
      <c r="F44" s="51">
        <v>19305299.219999999</v>
      </c>
      <c r="G44" s="55">
        <f t="shared" ref="G44:G54" si="17">D44+E44-(F44)</f>
        <v>458441089.08000004</v>
      </c>
      <c r="H44" s="9">
        <f>K43</f>
        <v>468234096.70179576</v>
      </c>
      <c r="I44" s="5">
        <f t="shared" si="14"/>
        <v>20432166.125210073</v>
      </c>
      <c r="J44" s="5">
        <f t="shared" ref="J44:J54" si="18">($F$30/12)</f>
        <v>21344306.383414336</v>
      </c>
      <c r="K44" s="8">
        <f t="shared" ref="K44:K54" si="19">H44+I44-J44</f>
        <v>467321956.44359148</v>
      </c>
      <c r="L44" s="9">
        <f>O43</f>
        <v>455856213.25459397</v>
      </c>
      <c r="M44" s="5">
        <f t="shared" si="15"/>
        <v>19855512.928917188</v>
      </c>
      <c r="N44" s="5">
        <f t="shared" ref="N44:N54" si="20">($G$30/12)</f>
        <v>22199853.535871878</v>
      </c>
      <c r="O44" s="8">
        <f t="shared" ref="O44:O54" si="21">L44+M44-N44</f>
        <v>453511872.64763927</v>
      </c>
      <c r="P44" s="9">
        <f>S43</f>
        <v>430039222.74552959</v>
      </c>
      <c r="Q44" s="5">
        <f t="shared" si="16"/>
        <v>20913938.612030391</v>
      </c>
      <c r="R44" s="5">
        <f t="shared" ref="R44:R54" si="22">($H$30/12)</f>
        <v>20943182.444593105</v>
      </c>
      <c r="S44" s="8">
        <f t="shared" ref="S44:S54" si="23">P44+Q44-R44</f>
        <v>430009978.91296685</v>
      </c>
    </row>
    <row r="45" spans="1:19" x14ac:dyDescent="0.3">
      <c r="A45" s="4" t="s">
        <v>56</v>
      </c>
      <c r="B45" s="19"/>
      <c r="C45" s="19" t="s">
        <v>4</v>
      </c>
      <c r="D45" s="54">
        <f t="shared" ref="D45:D54" si="24">G44</f>
        <v>458441089.08000004</v>
      </c>
      <c r="E45" s="51">
        <v>22132632.359999999</v>
      </c>
      <c r="F45" s="51">
        <v>21371384.48</v>
      </c>
      <c r="G45" s="55">
        <f t="shared" si="17"/>
        <v>459202336.96000004</v>
      </c>
      <c r="H45" s="9">
        <f t="shared" ref="H45:H54" si="25">K44</f>
        <v>467321956.44359148</v>
      </c>
      <c r="I45" s="5">
        <f t="shared" si="14"/>
        <v>20432166.125210073</v>
      </c>
      <c r="J45" s="5">
        <f t="shared" si="18"/>
        <v>21344306.383414336</v>
      </c>
      <c r="K45" s="8">
        <f t="shared" si="19"/>
        <v>466409816.18538719</v>
      </c>
      <c r="L45" s="9">
        <f>O44</f>
        <v>453511872.64763927</v>
      </c>
      <c r="M45" s="5">
        <f t="shared" si="15"/>
        <v>19855512.928917188</v>
      </c>
      <c r="N45" s="5">
        <f t="shared" si="20"/>
        <v>22199853.535871878</v>
      </c>
      <c r="O45" s="8">
        <f t="shared" si="21"/>
        <v>451167532.04068458</v>
      </c>
      <c r="P45" s="9">
        <f t="shared" ref="P45:P54" si="26">S44</f>
        <v>430009978.91296685</v>
      </c>
      <c r="Q45" s="5">
        <f t="shared" si="16"/>
        <v>20913938.612030391</v>
      </c>
      <c r="R45" s="5">
        <f t="shared" si="22"/>
        <v>20943182.444593105</v>
      </c>
      <c r="S45" s="8">
        <f t="shared" si="23"/>
        <v>429980735.0804041</v>
      </c>
    </row>
    <row r="46" spans="1:19" x14ac:dyDescent="0.3">
      <c r="A46" s="4" t="s">
        <v>57</v>
      </c>
      <c r="B46" s="19"/>
      <c r="C46" s="19" t="s">
        <v>5</v>
      </c>
      <c r="D46" s="54">
        <f t="shared" si="24"/>
        <v>459202336.96000004</v>
      </c>
      <c r="E46" s="51">
        <v>21125287.460000001</v>
      </c>
      <c r="F46" s="51">
        <v>20000142.460000001</v>
      </c>
      <c r="G46" s="55">
        <f t="shared" si="17"/>
        <v>460327481.96000004</v>
      </c>
      <c r="H46" s="9">
        <f t="shared" si="25"/>
        <v>466409816.18538719</v>
      </c>
      <c r="I46" s="5">
        <f t="shared" si="14"/>
        <v>20432166.125210073</v>
      </c>
      <c r="J46" s="5">
        <f t="shared" si="18"/>
        <v>21344306.383414336</v>
      </c>
      <c r="K46" s="8">
        <f t="shared" si="19"/>
        <v>465497675.92718291</v>
      </c>
      <c r="L46" s="9">
        <f t="shared" ref="L46:L54" si="27">O45</f>
        <v>451167532.04068458</v>
      </c>
      <c r="M46" s="5">
        <f t="shared" si="15"/>
        <v>19855512.928917188</v>
      </c>
      <c r="N46" s="5">
        <f t="shared" si="20"/>
        <v>22199853.535871878</v>
      </c>
      <c r="O46" s="8">
        <f t="shared" si="21"/>
        <v>448823191.43372989</v>
      </c>
      <c r="P46" s="9">
        <f t="shared" si="26"/>
        <v>429980735.0804041</v>
      </c>
      <c r="Q46" s="5">
        <f t="shared" si="16"/>
        <v>20913938.612030391</v>
      </c>
      <c r="R46" s="5">
        <f t="shared" si="22"/>
        <v>20943182.444593105</v>
      </c>
      <c r="S46" s="8">
        <f t="shared" si="23"/>
        <v>429951491.24784136</v>
      </c>
    </row>
    <row r="47" spans="1:19" x14ac:dyDescent="0.3">
      <c r="A47" s="4" t="s">
        <v>58</v>
      </c>
      <c r="B47" s="19"/>
      <c r="C47" s="19" t="s">
        <v>6</v>
      </c>
      <c r="D47" s="54">
        <f t="shared" si="24"/>
        <v>460327481.96000004</v>
      </c>
      <c r="E47" s="51">
        <v>20481120.050000001</v>
      </c>
      <c r="F47" s="51">
        <v>19415486.050000001</v>
      </c>
      <c r="G47" s="55">
        <f t="shared" si="17"/>
        <v>461393115.96000004</v>
      </c>
      <c r="H47" s="9">
        <f t="shared" si="25"/>
        <v>465497675.92718291</v>
      </c>
      <c r="I47" s="5">
        <f t="shared" si="14"/>
        <v>20432166.125210073</v>
      </c>
      <c r="J47" s="5">
        <f t="shared" si="18"/>
        <v>21344306.383414336</v>
      </c>
      <c r="K47" s="8">
        <f t="shared" si="19"/>
        <v>464585535.66897863</v>
      </c>
      <c r="L47" s="9">
        <f t="shared" si="27"/>
        <v>448823191.43372989</v>
      </c>
      <c r="M47" s="5">
        <f t="shared" si="15"/>
        <v>19855512.928917188</v>
      </c>
      <c r="N47" s="5">
        <f t="shared" si="20"/>
        <v>22199853.535871878</v>
      </c>
      <c r="O47" s="8">
        <f t="shared" si="21"/>
        <v>446478850.82677519</v>
      </c>
      <c r="P47" s="9">
        <f t="shared" si="26"/>
        <v>429951491.24784136</v>
      </c>
      <c r="Q47" s="5">
        <f t="shared" si="16"/>
        <v>20913938.612030391</v>
      </c>
      <c r="R47" s="5">
        <f t="shared" si="22"/>
        <v>20943182.444593105</v>
      </c>
      <c r="S47" s="8">
        <f t="shared" si="23"/>
        <v>429922247.41527861</v>
      </c>
    </row>
    <row r="48" spans="1:19" x14ac:dyDescent="0.3">
      <c r="A48" s="4" t="s">
        <v>59</v>
      </c>
      <c r="B48" s="19"/>
      <c r="C48" s="19" t="s">
        <v>7</v>
      </c>
      <c r="D48" s="54">
        <f t="shared" si="24"/>
        <v>461393115.96000004</v>
      </c>
      <c r="E48" s="51">
        <v>22025750.18</v>
      </c>
      <c r="F48" s="51">
        <v>21098638.18</v>
      </c>
      <c r="G48" s="55">
        <f t="shared" si="17"/>
        <v>462320227.96000004</v>
      </c>
      <c r="H48" s="9">
        <f t="shared" si="25"/>
        <v>464585535.66897863</v>
      </c>
      <c r="I48" s="5">
        <f t="shared" si="14"/>
        <v>20432166.125210073</v>
      </c>
      <c r="J48" s="5">
        <f t="shared" si="18"/>
        <v>21344306.383414336</v>
      </c>
      <c r="K48" s="8">
        <f t="shared" si="19"/>
        <v>463673395.41077435</v>
      </c>
      <c r="L48" s="9">
        <f t="shared" si="27"/>
        <v>446478850.82677519</v>
      </c>
      <c r="M48" s="5">
        <f t="shared" si="15"/>
        <v>19855512.928917188</v>
      </c>
      <c r="N48" s="5">
        <f t="shared" si="20"/>
        <v>22199853.535871878</v>
      </c>
      <c r="O48" s="8">
        <f t="shared" si="21"/>
        <v>444134510.2198205</v>
      </c>
      <c r="P48" s="9">
        <f t="shared" si="26"/>
        <v>429922247.41527861</v>
      </c>
      <c r="Q48" s="5">
        <f t="shared" si="16"/>
        <v>20913938.612030391</v>
      </c>
      <c r="R48" s="5">
        <f t="shared" si="22"/>
        <v>20943182.444593105</v>
      </c>
      <c r="S48" s="8">
        <f t="shared" si="23"/>
        <v>429893003.58271587</v>
      </c>
    </row>
    <row r="49" spans="1:19" x14ac:dyDescent="0.3">
      <c r="A49" s="4" t="s">
        <v>60</v>
      </c>
      <c r="B49" s="19"/>
      <c r="C49" s="19" t="s">
        <v>8</v>
      </c>
      <c r="D49" s="54">
        <f t="shared" si="24"/>
        <v>462320227.96000004</v>
      </c>
      <c r="E49" s="51">
        <v>21462490.760000002</v>
      </c>
      <c r="F49" s="51">
        <v>21297872.760000002</v>
      </c>
      <c r="G49" s="55">
        <f t="shared" si="17"/>
        <v>462484845.96000004</v>
      </c>
      <c r="H49" s="9">
        <f t="shared" si="25"/>
        <v>463673395.41077435</v>
      </c>
      <c r="I49" s="5">
        <f t="shared" si="14"/>
        <v>20432166.125210073</v>
      </c>
      <c r="J49" s="5">
        <f t="shared" si="18"/>
        <v>21344306.383414336</v>
      </c>
      <c r="K49" s="8">
        <f t="shared" si="19"/>
        <v>462761255.15257007</v>
      </c>
      <c r="L49" s="9">
        <f t="shared" si="27"/>
        <v>444134510.2198205</v>
      </c>
      <c r="M49" s="5">
        <f t="shared" si="15"/>
        <v>19855512.928917188</v>
      </c>
      <c r="N49" s="5">
        <f t="shared" si="20"/>
        <v>22199853.535871878</v>
      </c>
      <c r="O49" s="8">
        <f t="shared" si="21"/>
        <v>441790169.61286581</v>
      </c>
      <c r="P49" s="9">
        <f t="shared" si="26"/>
        <v>429893003.58271587</v>
      </c>
      <c r="Q49" s="5">
        <f t="shared" si="16"/>
        <v>20913938.612030391</v>
      </c>
      <c r="R49" s="5">
        <f t="shared" si="22"/>
        <v>20943182.444593105</v>
      </c>
      <c r="S49" s="8">
        <f t="shared" si="23"/>
        <v>429863759.75015312</v>
      </c>
    </row>
    <row r="50" spans="1:19" x14ac:dyDescent="0.3">
      <c r="A50" s="4" t="s">
        <v>61</v>
      </c>
      <c r="B50" s="19"/>
      <c r="C50" s="19" t="s">
        <v>9</v>
      </c>
      <c r="D50" s="54">
        <f t="shared" si="24"/>
        <v>462484845.96000004</v>
      </c>
      <c r="E50" s="51">
        <v>23000119.98</v>
      </c>
      <c r="F50" s="51">
        <v>22361251.98</v>
      </c>
      <c r="G50" s="55">
        <f t="shared" si="17"/>
        <v>463123713.96000004</v>
      </c>
      <c r="H50" s="9">
        <f t="shared" si="25"/>
        <v>462761255.15257007</v>
      </c>
      <c r="I50" s="5">
        <f t="shared" si="14"/>
        <v>20432166.125210073</v>
      </c>
      <c r="J50" s="5">
        <f t="shared" si="18"/>
        <v>21344306.383414336</v>
      </c>
      <c r="K50" s="8">
        <f t="shared" si="19"/>
        <v>461849114.89436579</v>
      </c>
      <c r="L50" s="9">
        <f t="shared" si="27"/>
        <v>441790169.61286581</v>
      </c>
      <c r="M50" s="5">
        <f t="shared" si="15"/>
        <v>19855512.928917188</v>
      </c>
      <c r="N50" s="5">
        <f t="shared" si="20"/>
        <v>22199853.535871878</v>
      </c>
      <c r="O50" s="8">
        <f t="shared" si="21"/>
        <v>439445829.00591111</v>
      </c>
      <c r="P50" s="9">
        <f t="shared" si="26"/>
        <v>429863759.75015312</v>
      </c>
      <c r="Q50" s="5">
        <f t="shared" si="16"/>
        <v>20913938.612030391</v>
      </c>
      <c r="R50" s="5">
        <f t="shared" si="22"/>
        <v>20943182.444593105</v>
      </c>
      <c r="S50" s="8">
        <f t="shared" si="23"/>
        <v>429834515.91759038</v>
      </c>
    </row>
    <row r="51" spans="1:19" x14ac:dyDescent="0.3">
      <c r="A51" s="4" t="s">
        <v>62</v>
      </c>
      <c r="B51" s="19"/>
      <c r="C51" s="19" t="s">
        <v>10</v>
      </c>
      <c r="D51" s="54">
        <f t="shared" si="24"/>
        <v>463123713.96000004</v>
      </c>
      <c r="E51" s="51">
        <v>21820263.719999999</v>
      </c>
      <c r="F51" s="51">
        <v>21175738.719999999</v>
      </c>
      <c r="G51" s="55">
        <f t="shared" si="17"/>
        <v>463768238.96000004</v>
      </c>
      <c r="H51" s="9">
        <f t="shared" si="25"/>
        <v>461849114.89436579</v>
      </c>
      <c r="I51" s="5">
        <f t="shared" si="14"/>
        <v>20432166.125210073</v>
      </c>
      <c r="J51" s="5">
        <f t="shared" si="18"/>
        <v>21344306.383414336</v>
      </c>
      <c r="K51" s="8">
        <f t="shared" si="19"/>
        <v>460936974.63616151</v>
      </c>
      <c r="L51" s="9">
        <f t="shared" si="27"/>
        <v>439445829.00591111</v>
      </c>
      <c r="M51" s="5">
        <f t="shared" si="15"/>
        <v>19855512.928917188</v>
      </c>
      <c r="N51" s="5">
        <f t="shared" si="20"/>
        <v>22199853.535871878</v>
      </c>
      <c r="O51" s="8">
        <f t="shared" si="21"/>
        <v>437101488.39895642</v>
      </c>
      <c r="P51" s="9">
        <f t="shared" si="26"/>
        <v>429834515.91759038</v>
      </c>
      <c r="Q51" s="5">
        <f t="shared" si="16"/>
        <v>20913938.612030391</v>
      </c>
      <c r="R51" s="5">
        <f t="shared" si="22"/>
        <v>20943182.444593105</v>
      </c>
      <c r="S51" s="8">
        <f t="shared" si="23"/>
        <v>429805272.08502764</v>
      </c>
    </row>
    <row r="52" spans="1:19" x14ac:dyDescent="0.3">
      <c r="A52" s="4" t="s">
        <v>63</v>
      </c>
      <c r="B52" s="19"/>
      <c r="C52" s="19" t="s">
        <v>11</v>
      </c>
      <c r="D52" s="54">
        <f t="shared" si="24"/>
        <v>463768238.96000004</v>
      </c>
      <c r="E52" s="51">
        <v>21871457.640000001</v>
      </c>
      <c r="F52" s="51">
        <v>18592084.640000001</v>
      </c>
      <c r="G52" s="55">
        <f t="shared" si="17"/>
        <v>467047611.96000004</v>
      </c>
      <c r="H52" s="9">
        <f t="shared" si="25"/>
        <v>460936974.63616151</v>
      </c>
      <c r="I52" s="5">
        <f t="shared" si="14"/>
        <v>20432166.125210073</v>
      </c>
      <c r="J52" s="5">
        <f t="shared" si="18"/>
        <v>21344306.383414336</v>
      </c>
      <c r="K52" s="8">
        <f t="shared" si="19"/>
        <v>460024834.37795722</v>
      </c>
      <c r="L52" s="9">
        <f t="shared" si="27"/>
        <v>437101488.39895642</v>
      </c>
      <c r="M52" s="5">
        <f t="shared" si="15"/>
        <v>19855512.928917188</v>
      </c>
      <c r="N52" s="5">
        <f t="shared" si="20"/>
        <v>22199853.535871878</v>
      </c>
      <c r="O52" s="8">
        <f t="shared" si="21"/>
        <v>434757147.79200172</v>
      </c>
      <c r="P52" s="9">
        <f t="shared" si="26"/>
        <v>429805272.08502764</v>
      </c>
      <c r="Q52" s="5">
        <f t="shared" si="16"/>
        <v>20913938.612030391</v>
      </c>
      <c r="R52" s="5">
        <f t="shared" si="22"/>
        <v>20943182.444593105</v>
      </c>
      <c r="S52" s="8">
        <f t="shared" si="23"/>
        <v>429776028.25246489</v>
      </c>
    </row>
    <row r="53" spans="1:19" x14ac:dyDescent="0.3">
      <c r="A53" s="4" t="s">
        <v>64</v>
      </c>
      <c r="B53" s="19"/>
      <c r="C53" s="19" t="s">
        <v>12</v>
      </c>
      <c r="D53" s="54">
        <f t="shared" si="24"/>
        <v>467047611.96000004</v>
      </c>
      <c r="E53" s="51">
        <v>21052069.359999999</v>
      </c>
      <c r="F53" s="51">
        <v>20008835.359999999</v>
      </c>
      <c r="G53" s="55">
        <f t="shared" si="17"/>
        <v>468090845.96000004</v>
      </c>
      <c r="H53" s="9">
        <f t="shared" si="25"/>
        <v>460024834.37795722</v>
      </c>
      <c r="I53" s="5">
        <f t="shared" si="14"/>
        <v>20432166.125210073</v>
      </c>
      <c r="J53" s="5">
        <f t="shared" si="18"/>
        <v>21344306.383414336</v>
      </c>
      <c r="K53" s="8">
        <f t="shared" si="19"/>
        <v>459112694.11975294</v>
      </c>
      <c r="L53" s="9">
        <f t="shared" si="27"/>
        <v>434757147.79200172</v>
      </c>
      <c r="M53" s="5">
        <f t="shared" si="15"/>
        <v>19855512.928917188</v>
      </c>
      <c r="N53" s="5">
        <f t="shared" si="20"/>
        <v>22199853.535871878</v>
      </c>
      <c r="O53" s="8">
        <f t="shared" si="21"/>
        <v>432412807.18504703</v>
      </c>
      <c r="P53" s="9">
        <f t="shared" si="26"/>
        <v>429776028.25246489</v>
      </c>
      <c r="Q53" s="5">
        <f t="shared" si="16"/>
        <v>20913938.612030391</v>
      </c>
      <c r="R53" s="5">
        <f t="shared" si="22"/>
        <v>20943182.444593105</v>
      </c>
      <c r="S53" s="8">
        <f t="shared" si="23"/>
        <v>429746784.41990215</v>
      </c>
    </row>
    <row r="54" spans="1:19" ht="15" thickBot="1" x14ac:dyDescent="0.35">
      <c r="A54" s="4" t="s">
        <v>65</v>
      </c>
      <c r="B54" s="19"/>
      <c r="C54" s="19" t="s">
        <v>13</v>
      </c>
      <c r="D54" s="82">
        <f t="shared" si="24"/>
        <v>468090845.96000004</v>
      </c>
      <c r="E54" s="83">
        <v>21050142.640000001</v>
      </c>
      <c r="F54" s="83">
        <v>19994751.640000001</v>
      </c>
      <c r="G54" s="84">
        <f t="shared" si="17"/>
        <v>469146236.96000004</v>
      </c>
      <c r="H54" s="11">
        <f t="shared" si="25"/>
        <v>459112694.11975294</v>
      </c>
      <c r="I54" s="6">
        <f t="shared" si="14"/>
        <v>20432166.125210073</v>
      </c>
      <c r="J54" s="6">
        <f t="shared" si="18"/>
        <v>21344306.383414336</v>
      </c>
      <c r="K54" s="10">
        <f t="shared" si="19"/>
        <v>458200553.86154866</v>
      </c>
      <c r="L54" s="11">
        <f t="shared" si="27"/>
        <v>432412807.18504703</v>
      </c>
      <c r="M54" s="6">
        <f t="shared" si="15"/>
        <v>19855512.928917188</v>
      </c>
      <c r="N54" s="6">
        <f t="shared" si="20"/>
        <v>22199853.535871878</v>
      </c>
      <c r="O54" s="10">
        <f t="shared" si="21"/>
        <v>430068466.57809234</v>
      </c>
      <c r="P54" s="11">
        <f t="shared" si="26"/>
        <v>429746784.41990215</v>
      </c>
      <c r="Q54" s="6">
        <f t="shared" si="16"/>
        <v>20913938.612030391</v>
      </c>
      <c r="R54" s="6">
        <f t="shared" si="22"/>
        <v>20943182.444593105</v>
      </c>
      <c r="S54" s="10">
        <f t="shared" si="23"/>
        <v>429717540.5873394</v>
      </c>
    </row>
    <row r="56" spans="1:19" x14ac:dyDescent="0.3">
      <c r="B56" t="s">
        <v>68</v>
      </c>
      <c r="D56" s="7"/>
      <c r="E56" s="7">
        <f>SUM(E43:E54)</f>
        <v>256854984.20999998</v>
      </c>
      <c r="F56" s="7">
        <f>SUM(F43:F54)</f>
        <v>245276967.32999998</v>
      </c>
      <c r="G56" s="7"/>
      <c r="H56" s="7"/>
      <c r="I56" s="7">
        <f>SUM(I43:I54)</f>
        <v>245185993.50252089</v>
      </c>
      <c r="J56" s="7">
        <f>SUM(J43:J54)</f>
        <v>256131676.60097197</v>
      </c>
      <c r="M56" s="7">
        <f>SUM(M43:M54)</f>
        <v>238266155.1470063</v>
      </c>
      <c r="N56" s="7">
        <f>SUM(N43:N54)</f>
        <v>266398242.43046248</v>
      </c>
      <c r="Q56" s="7">
        <f>SUM(Q43:Q54)</f>
        <v>250967263.34436467</v>
      </c>
      <c r="R56" s="7">
        <f>SUM(R43:R54)</f>
        <v>251318189.33511725</v>
      </c>
    </row>
    <row r="57" spans="1:19" x14ac:dyDescent="0.3">
      <c r="E57" s="53"/>
      <c r="F57" s="2"/>
      <c r="G57" s="2"/>
      <c r="H57" s="2"/>
      <c r="I57" s="2"/>
      <c r="J57" s="2"/>
    </row>
  </sheetData>
  <mergeCells count="18">
    <mergeCell ref="B12:E12"/>
    <mergeCell ref="B11:E11"/>
    <mergeCell ref="D39:G39"/>
    <mergeCell ref="H39:K39"/>
    <mergeCell ref="L39:O39"/>
    <mergeCell ref="P39:S39"/>
    <mergeCell ref="B13:J13"/>
    <mergeCell ref="B14:J14"/>
    <mergeCell ref="B15:J15"/>
    <mergeCell ref="B17:H17"/>
    <mergeCell ref="B16:M16"/>
    <mergeCell ref="B18:I18"/>
    <mergeCell ref="B4:D4"/>
    <mergeCell ref="B10:D10"/>
    <mergeCell ref="B7:D7"/>
    <mergeCell ref="B8:D8"/>
    <mergeCell ref="B9:E9"/>
    <mergeCell ref="B6:J6"/>
  </mergeCells>
  <pageMargins left="0.25" right="0.25" top="0.75" bottom="0.75" header="0.3" footer="0.3"/>
  <pageSetup paperSize="17" scale="68" orientation="landscape" r:id="rId1"/>
  <headerFooter>
    <oddFooter>&amp;A</oddFooter>
  </headerFooter>
  <ignoredErrors>
    <ignoredError sqref="C32:C36 C22 C25:C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workbookViewId="0">
      <selection activeCell="A2" sqref="A1:A2"/>
    </sheetView>
  </sheetViews>
  <sheetFormatPr defaultRowHeight="14.4" x14ac:dyDescent="0.3"/>
  <cols>
    <col min="2" max="2" width="8.6640625" customWidth="1"/>
    <col min="3" max="3" width="17.5546875" bestFit="1" customWidth="1"/>
    <col min="4" max="4" width="18.109375" customWidth="1"/>
    <col min="5" max="5" width="16.5546875" customWidth="1"/>
    <col min="6" max="6" width="3.88671875" customWidth="1"/>
    <col min="7" max="8" width="16.109375" bestFit="1" customWidth="1"/>
    <col min="9" max="9" width="14.33203125" bestFit="1" customWidth="1"/>
    <col min="10" max="10" width="3" customWidth="1"/>
    <col min="11" max="11" width="16.109375" bestFit="1" customWidth="1"/>
    <col min="12" max="12" width="15" bestFit="1" customWidth="1"/>
    <col min="13" max="13" width="13.5546875" bestFit="1" customWidth="1"/>
    <col min="14" max="14" width="3" customWidth="1"/>
    <col min="16" max="16" width="16.5546875" bestFit="1" customWidth="1"/>
    <col min="17" max="17" width="13.5546875" customWidth="1"/>
  </cols>
  <sheetData>
    <row r="1" spans="1:19" x14ac:dyDescent="0.3">
      <c r="A1" s="3" t="s">
        <v>124</v>
      </c>
    </row>
    <row r="2" spans="1:19" x14ac:dyDescent="0.3">
      <c r="A2" s="3" t="s">
        <v>123</v>
      </c>
    </row>
    <row r="4" spans="1:19" x14ac:dyDescent="0.3">
      <c r="A4" t="s">
        <v>69</v>
      </c>
    </row>
    <row r="5" spans="1:19" x14ac:dyDescent="0.3">
      <c r="A5" t="s">
        <v>70</v>
      </c>
    </row>
    <row r="6" spans="1:19" x14ac:dyDescent="0.3">
      <c r="A6" t="s">
        <v>71</v>
      </c>
    </row>
    <row r="7" spans="1:19" ht="11.25" customHeight="1" x14ac:dyDescent="0.3">
      <c r="G7" s="101" t="s">
        <v>72</v>
      </c>
      <c r="H7" s="101"/>
      <c r="I7" s="101"/>
      <c r="K7" s="101" t="s">
        <v>73</v>
      </c>
      <c r="L7" s="101"/>
      <c r="M7" s="101"/>
      <c r="O7" s="87" t="s">
        <v>74</v>
      </c>
      <c r="P7" s="87"/>
      <c r="Q7" s="87"/>
      <c r="R7" s="87"/>
    </row>
    <row r="8" spans="1:19" ht="36" customHeight="1" x14ac:dyDescent="0.3">
      <c r="B8" s="57" t="s">
        <v>75</v>
      </c>
      <c r="C8" s="58" t="s">
        <v>76</v>
      </c>
      <c r="D8" s="58" t="s">
        <v>77</v>
      </c>
      <c r="E8" s="58" t="s">
        <v>78</v>
      </c>
      <c r="G8" s="58" t="s">
        <v>76</v>
      </c>
      <c r="H8" s="58" t="s">
        <v>77</v>
      </c>
      <c r="I8" s="58" t="s">
        <v>78</v>
      </c>
      <c r="K8" s="58" t="s">
        <v>76</v>
      </c>
      <c r="L8" s="58" t="s">
        <v>77</v>
      </c>
      <c r="M8" s="58" t="s">
        <v>78</v>
      </c>
      <c r="O8" s="87"/>
      <c r="P8" s="88" t="s">
        <v>79</v>
      </c>
      <c r="Q8" s="87"/>
      <c r="R8" s="87"/>
    </row>
    <row r="9" spans="1:19" ht="15.75" customHeight="1" x14ac:dyDescent="0.3">
      <c r="B9" s="59" t="s">
        <v>80</v>
      </c>
      <c r="C9" s="60">
        <v>23910796.640000001</v>
      </c>
      <c r="D9" s="60">
        <v>22792963.27</v>
      </c>
      <c r="E9" s="61">
        <f>C9-D9</f>
        <v>1117833.370000001</v>
      </c>
      <c r="G9" s="60">
        <v>16549003.99</v>
      </c>
      <c r="H9" s="60">
        <v>16546351.99</v>
      </c>
      <c r="I9" s="61">
        <f>G9-H9</f>
        <v>2652</v>
      </c>
      <c r="K9" s="60">
        <v>7361792.6499999994</v>
      </c>
      <c r="L9" s="60">
        <v>6246611.29</v>
      </c>
      <c r="M9" s="61">
        <f>K9-L9</f>
        <v>1115181.3599999994</v>
      </c>
    </row>
    <row r="10" spans="1:19" ht="15.75" customHeight="1" x14ac:dyDescent="0.3">
      <c r="B10" s="62">
        <v>10</v>
      </c>
      <c r="C10" s="63">
        <v>1726397.98</v>
      </c>
      <c r="D10" s="63">
        <v>1726397.98</v>
      </c>
      <c r="E10" s="61">
        <f t="shared" ref="E10:E37" si="0">C10-D10</f>
        <v>0</v>
      </c>
      <c r="G10" s="63">
        <v>1272508.8700000001</v>
      </c>
      <c r="H10" s="63">
        <v>1272508.8700000001</v>
      </c>
      <c r="I10" s="61">
        <f t="shared" ref="I10:I37" si="1">G10-H10</f>
        <v>0</v>
      </c>
      <c r="K10" s="63">
        <v>453889.1</v>
      </c>
      <c r="L10" s="63">
        <v>453889.1</v>
      </c>
      <c r="M10" s="61">
        <f t="shared" ref="M10:M37" si="2">K10-L10</f>
        <v>0</v>
      </c>
    </row>
    <row r="11" spans="1:19" ht="15.75" customHeight="1" x14ac:dyDescent="0.3">
      <c r="B11" s="62">
        <v>11</v>
      </c>
      <c r="C11" s="63">
        <v>1555662.76</v>
      </c>
      <c r="D11" s="63">
        <v>1555368.76</v>
      </c>
      <c r="E11" s="61">
        <f t="shared" si="0"/>
        <v>294</v>
      </c>
      <c r="G11" s="63">
        <v>1084277.23</v>
      </c>
      <c r="H11" s="63">
        <v>1084277.23</v>
      </c>
      <c r="I11" s="61">
        <f t="shared" si="1"/>
        <v>0</v>
      </c>
      <c r="K11" s="63">
        <v>471385.53</v>
      </c>
      <c r="L11" s="63">
        <v>471091.53</v>
      </c>
      <c r="M11" s="61">
        <f t="shared" si="2"/>
        <v>294</v>
      </c>
    </row>
    <row r="12" spans="1:19" ht="15.75" customHeight="1" x14ac:dyDescent="0.3">
      <c r="A12" t="s">
        <v>106</v>
      </c>
      <c r="B12" s="64">
        <v>12</v>
      </c>
      <c r="C12" s="65">
        <v>1315080.58</v>
      </c>
      <c r="D12" s="65">
        <v>1314436.58</v>
      </c>
      <c r="E12" s="66">
        <f t="shared" si="0"/>
        <v>644</v>
      </c>
      <c r="G12" s="65">
        <v>886421.91</v>
      </c>
      <c r="H12" s="65">
        <v>886421.91</v>
      </c>
      <c r="I12" s="66">
        <f t="shared" si="1"/>
        <v>0</v>
      </c>
      <c r="K12" s="65">
        <v>428658.67</v>
      </c>
      <c r="L12" s="65">
        <v>428014.67</v>
      </c>
      <c r="M12" s="66">
        <f t="shared" si="2"/>
        <v>644</v>
      </c>
      <c r="O12" s="67" t="s">
        <v>81</v>
      </c>
      <c r="P12" s="75">
        <f>H12+L12</f>
        <v>1314436.58</v>
      </c>
      <c r="Q12" t="s">
        <v>82</v>
      </c>
      <c r="R12" t="s">
        <v>106</v>
      </c>
      <c r="S12" t="s">
        <v>112</v>
      </c>
    </row>
    <row r="13" spans="1:19" ht="15.75" customHeight="1" x14ac:dyDescent="0.3">
      <c r="B13" s="62">
        <v>13</v>
      </c>
      <c r="C13" s="63">
        <v>1241977.44</v>
      </c>
      <c r="D13" s="63">
        <v>1241442.44</v>
      </c>
      <c r="E13" s="61">
        <f t="shared" si="0"/>
        <v>535</v>
      </c>
      <c r="G13" s="63">
        <v>844007.7</v>
      </c>
      <c r="H13" s="63">
        <v>844007.7</v>
      </c>
      <c r="I13" s="61">
        <f t="shared" si="1"/>
        <v>0</v>
      </c>
      <c r="K13" s="63">
        <v>397969.74</v>
      </c>
      <c r="L13" s="63">
        <v>397434.74</v>
      </c>
      <c r="M13" s="61">
        <f t="shared" si="2"/>
        <v>535</v>
      </c>
      <c r="O13" t="s">
        <v>83</v>
      </c>
      <c r="S13" t="s">
        <v>111</v>
      </c>
    </row>
    <row r="14" spans="1:19" ht="15.75" customHeight="1" x14ac:dyDescent="0.3">
      <c r="B14" s="62">
        <v>14</v>
      </c>
      <c r="C14" s="63">
        <v>1298629.8899999999</v>
      </c>
      <c r="D14" s="63">
        <v>1292352.8899999999</v>
      </c>
      <c r="E14" s="61">
        <f t="shared" si="0"/>
        <v>6277</v>
      </c>
      <c r="G14" s="63">
        <v>863128.82</v>
      </c>
      <c r="H14" s="63">
        <v>862344.82</v>
      </c>
      <c r="I14" s="61">
        <f t="shared" si="1"/>
        <v>784</v>
      </c>
      <c r="K14" s="63">
        <v>435501.07</v>
      </c>
      <c r="L14" s="63">
        <v>430008.07</v>
      </c>
      <c r="M14" s="61">
        <f t="shared" si="2"/>
        <v>5493</v>
      </c>
      <c r="P14" s="68">
        <f>P12*12</f>
        <v>15773238.960000001</v>
      </c>
      <c r="Q14" t="s">
        <v>99</v>
      </c>
    </row>
    <row r="15" spans="1:19" ht="15.75" customHeight="1" x14ac:dyDescent="0.3">
      <c r="B15" s="62">
        <v>15</v>
      </c>
      <c r="C15" s="63">
        <v>1227690.8700000001</v>
      </c>
      <c r="D15" s="63">
        <v>1224263.8700000001</v>
      </c>
      <c r="E15" s="61">
        <f t="shared" si="0"/>
        <v>3427</v>
      </c>
      <c r="G15" s="63">
        <v>867903.46</v>
      </c>
      <c r="H15" s="63">
        <v>867903.46</v>
      </c>
      <c r="I15" s="61">
        <f t="shared" si="1"/>
        <v>0</v>
      </c>
      <c r="K15" s="63">
        <v>359787.41</v>
      </c>
      <c r="L15" s="63">
        <v>356360.41</v>
      </c>
      <c r="M15" s="61">
        <f t="shared" si="2"/>
        <v>3427</v>
      </c>
    </row>
    <row r="16" spans="1:19" ht="15.75" customHeight="1" x14ac:dyDescent="0.3">
      <c r="B16" s="62">
        <v>16</v>
      </c>
      <c r="C16" s="63">
        <v>1067560.75</v>
      </c>
      <c r="D16" s="63">
        <v>1065675.75</v>
      </c>
      <c r="E16" s="61">
        <f t="shared" si="0"/>
        <v>1885</v>
      </c>
      <c r="G16" s="63">
        <v>803107.73</v>
      </c>
      <c r="H16" s="63">
        <v>803107.73</v>
      </c>
      <c r="I16" s="61">
        <f t="shared" si="1"/>
        <v>0</v>
      </c>
      <c r="K16" s="63">
        <v>264453.03000000003</v>
      </c>
      <c r="L16" s="63">
        <v>262568.03000000003</v>
      </c>
      <c r="M16" s="61">
        <f t="shared" si="2"/>
        <v>1885</v>
      </c>
    </row>
    <row r="17" spans="2:17" ht="15.75" customHeight="1" x14ac:dyDescent="0.3">
      <c r="B17" s="62">
        <v>17</v>
      </c>
      <c r="C17" s="63">
        <v>1179343.22</v>
      </c>
      <c r="D17" s="63">
        <v>1179268.22</v>
      </c>
      <c r="E17" s="61">
        <f t="shared" si="0"/>
        <v>75</v>
      </c>
      <c r="G17" s="63">
        <v>830656.55</v>
      </c>
      <c r="H17" s="63">
        <v>830656.55</v>
      </c>
      <c r="I17" s="61">
        <f t="shared" si="1"/>
        <v>0</v>
      </c>
      <c r="K17" s="63">
        <v>348686.66</v>
      </c>
      <c r="L17" s="63">
        <v>348611.66</v>
      </c>
      <c r="M17" s="61">
        <f t="shared" si="2"/>
        <v>75</v>
      </c>
    </row>
    <row r="18" spans="2:17" ht="15.75" customHeight="1" x14ac:dyDescent="0.3">
      <c r="B18" s="62">
        <v>18</v>
      </c>
      <c r="C18" s="63">
        <v>1062324.07</v>
      </c>
      <c r="D18" s="63">
        <v>1061870.07</v>
      </c>
      <c r="E18" s="61">
        <f t="shared" si="0"/>
        <v>454</v>
      </c>
      <c r="G18" s="63">
        <v>760123.46</v>
      </c>
      <c r="H18" s="63">
        <v>760123.46</v>
      </c>
      <c r="I18" s="61">
        <f t="shared" si="1"/>
        <v>0</v>
      </c>
      <c r="K18" s="63">
        <v>302200.61</v>
      </c>
      <c r="L18" s="63">
        <v>301746.61</v>
      </c>
      <c r="M18" s="61">
        <f t="shared" si="2"/>
        <v>454</v>
      </c>
    </row>
    <row r="19" spans="2:17" ht="15.75" customHeight="1" x14ac:dyDescent="0.3">
      <c r="B19" s="62">
        <v>19</v>
      </c>
      <c r="C19" s="63">
        <v>1008385.17</v>
      </c>
      <c r="D19" s="63">
        <v>1008385.17</v>
      </c>
      <c r="E19" s="61">
        <f t="shared" si="0"/>
        <v>0</v>
      </c>
      <c r="G19" s="63">
        <v>751904.24</v>
      </c>
      <c r="H19" s="63">
        <v>751904.24</v>
      </c>
      <c r="I19" s="61">
        <f t="shared" si="1"/>
        <v>0</v>
      </c>
      <c r="K19" s="63">
        <v>256480.93</v>
      </c>
      <c r="L19" s="63">
        <v>256480.93</v>
      </c>
      <c r="M19" s="61">
        <f t="shared" si="2"/>
        <v>0</v>
      </c>
    </row>
    <row r="20" spans="2:17" ht="15.75" customHeight="1" x14ac:dyDescent="0.3">
      <c r="B20" s="62">
        <v>20</v>
      </c>
      <c r="C20" s="63">
        <v>1169852.95</v>
      </c>
      <c r="D20" s="63">
        <v>1169852.95</v>
      </c>
      <c r="E20" s="61">
        <f t="shared" si="0"/>
        <v>0</v>
      </c>
      <c r="G20" s="63">
        <v>779272.39</v>
      </c>
      <c r="H20" s="63">
        <v>779272.39</v>
      </c>
      <c r="I20" s="61">
        <f t="shared" si="1"/>
        <v>0</v>
      </c>
      <c r="K20" s="63">
        <v>390580.56</v>
      </c>
      <c r="L20" s="63">
        <v>390580.56</v>
      </c>
      <c r="M20" s="61">
        <f t="shared" si="2"/>
        <v>0</v>
      </c>
    </row>
    <row r="21" spans="2:17" ht="15.75" customHeight="1" x14ac:dyDescent="0.3">
      <c r="B21" s="62">
        <v>21</v>
      </c>
      <c r="C21" s="63">
        <v>992140.03</v>
      </c>
      <c r="D21" s="63">
        <v>992140.03</v>
      </c>
      <c r="E21" s="61">
        <f t="shared" si="0"/>
        <v>0</v>
      </c>
      <c r="G21" s="63">
        <v>716640.98</v>
      </c>
      <c r="H21" s="63">
        <v>716640.98</v>
      </c>
      <c r="I21" s="61">
        <f t="shared" si="1"/>
        <v>0</v>
      </c>
      <c r="K21" s="63">
        <v>275499.05</v>
      </c>
      <c r="L21" s="63">
        <v>275499.05</v>
      </c>
      <c r="M21" s="61">
        <f t="shared" si="2"/>
        <v>0</v>
      </c>
    </row>
    <row r="22" spans="2:17" ht="15.75" customHeight="1" x14ac:dyDescent="0.3">
      <c r="B22" s="62">
        <v>22</v>
      </c>
      <c r="C22" s="63">
        <v>1046289.39</v>
      </c>
      <c r="D22" s="63">
        <v>987755.39</v>
      </c>
      <c r="E22" s="61">
        <f t="shared" si="0"/>
        <v>58534</v>
      </c>
      <c r="G22" s="63">
        <v>654173.35</v>
      </c>
      <c r="H22" s="63">
        <v>654173.35</v>
      </c>
      <c r="I22" s="61">
        <f t="shared" si="1"/>
        <v>0</v>
      </c>
      <c r="K22" s="63">
        <v>392116.04</v>
      </c>
      <c r="L22" s="63">
        <v>333582.03999999998</v>
      </c>
      <c r="M22" s="61">
        <f t="shared" si="2"/>
        <v>58534</v>
      </c>
    </row>
    <row r="23" spans="2:17" ht="15.75" customHeight="1" x14ac:dyDescent="0.3">
      <c r="B23" s="62">
        <v>23</v>
      </c>
      <c r="C23" s="63">
        <v>724096.02</v>
      </c>
      <c r="D23" s="63">
        <v>721879.02</v>
      </c>
      <c r="E23" s="61">
        <f t="shared" si="0"/>
        <v>2217</v>
      </c>
      <c r="G23" s="63">
        <v>442370.21</v>
      </c>
      <c r="H23" s="63">
        <v>442370.21</v>
      </c>
      <c r="I23" s="61">
        <f t="shared" si="1"/>
        <v>0</v>
      </c>
      <c r="K23" s="63">
        <v>281725.81</v>
      </c>
      <c r="L23" s="63">
        <v>279508.81</v>
      </c>
      <c r="M23" s="61">
        <f t="shared" si="2"/>
        <v>2217</v>
      </c>
    </row>
    <row r="24" spans="2:17" ht="15.75" customHeight="1" x14ac:dyDescent="0.3">
      <c r="B24" s="64">
        <v>24</v>
      </c>
      <c r="C24" s="65">
        <v>580954.47</v>
      </c>
      <c r="D24" s="65">
        <v>567481.47</v>
      </c>
      <c r="E24" s="66">
        <f t="shared" si="0"/>
        <v>13473</v>
      </c>
      <c r="G24" s="65">
        <v>295080.95</v>
      </c>
      <c r="H24" s="65">
        <v>295080.95</v>
      </c>
      <c r="I24" s="66">
        <f t="shared" si="1"/>
        <v>0</v>
      </c>
      <c r="K24" s="65">
        <v>285873.52</v>
      </c>
      <c r="L24" s="65">
        <v>272400.52</v>
      </c>
      <c r="M24" s="66">
        <f t="shared" si="2"/>
        <v>13473</v>
      </c>
      <c r="O24" s="67" t="s">
        <v>84</v>
      </c>
      <c r="P24" s="75">
        <f>P12-H24</f>
        <v>1019355.6300000001</v>
      </c>
      <c r="Q24" t="s">
        <v>82</v>
      </c>
    </row>
    <row r="25" spans="2:17" ht="15.75" customHeight="1" x14ac:dyDescent="0.3">
      <c r="B25" s="62">
        <v>25</v>
      </c>
      <c r="C25" s="63">
        <v>629466.44999999995</v>
      </c>
      <c r="D25" s="63">
        <v>629466.44999999995</v>
      </c>
      <c r="E25" s="61">
        <f t="shared" si="0"/>
        <v>0</v>
      </c>
      <c r="G25" s="63">
        <v>308030.71999999997</v>
      </c>
      <c r="H25" s="63">
        <v>308030.71999999997</v>
      </c>
      <c r="I25" s="61">
        <f t="shared" si="1"/>
        <v>0</v>
      </c>
      <c r="K25" s="63">
        <v>321435.73</v>
      </c>
      <c r="L25" s="63">
        <v>321435.73</v>
      </c>
      <c r="M25" s="61">
        <f t="shared" si="2"/>
        <v>0</v>
      </c>
      <c r="O25" t="s">
        <v>85</v>
      </c>
    </row>
    <row r="26" spans="2:17" ht="15.75" customHeight="1" x14ac:dyDescent="0.3">
      <c r="B26" s="62">
        <v>26</v>
      </c>
      <c r="C26" s="63">
        <v>594361.76</v>
      </c>
      <c r="D26" s="63">
        <v>586583.76</v>
      </c>
      <c r="E26" s="61">
        <f t="shared" si="0"/>
        <v>7778</v>
      </c>
      <c r="G26" s="63">
        <v>327543.61</v>
      </c>
      <c r="H26" s="63">
        <v>327543.61</v>
      </c>
      <c r="I26" s="61">
        <f t="shared" si="1"/>
        <v>0</v>
      </c>
      <c r="K26" s="63">
        <v>266818.15999999997</v>
      </c>
      <c r="L26" s="63">
        <v>259040.16</v>
      </c>
      <c r="M26" s="61">
        <f t="shared" si="2"/>
        <v>7777.9999999999709</v>
      </c>
      <c r="P26" s="68">
        <f>P24*12</f>
        <v>12232267.560000002</v>
      </c>
      <c r="Q26" t="s">
        <v>99</v>
      </c>
    </row>
    <row r="27" spans="2:17" ht="15.75" customHeight="1" x14ac:dyDescent="0.3">
      <c r="B27" s="62">
        <v>27</v>
      </c>
      <c r="C27" s="63">
        <v>645002.47</v>
      </c>
      <c r="D27" s="63">
        <v>641802.47</v>
      </c>
      <c r="E27" s="61">
        <f t="shared" si="0"/>
        <v>3200</v>
      </c>
      <c r="G27" s="63">
        <v>362123.84</v>
      </c>
      <c r="H27" s="63">
        <v>362123.84</v>
      </c>
      <c r="I27" s="61">
        <f t="shared" si="1"/>
        <v>0</v>
      </c>
      <c r="K27" s="63">
        <v>282878.63</v>
      </c>
      <c r="L27" s="63">
        <v>279678.63</v>
      </c>
      <c r="M27" s="61">
        <f t="shared" si="2"/>
        <v>3200</v>
      </c>
    </row>
    <row r="28" spans="2:17" ht="15.75" customHeight="1" x14ac:dyDescent="0.3">
      <c r="B28" s="62">
        <v>28</v>
      </c>
      <c r="C28" s="63">
        <v>571947.41</v>
      </c>
      <c r="D28" s="63">
        <v>570529.41</v>
      </c>
      <c r="E28" s="61">
        <f t="shared" si="0"/>
        <v>1418</v>
      </c>
      <c r="G28" s="63">
        <v>332576.74</v>
      </c>
      <c r="H28" s="63">
        <v>332576.74</v>
      </c>
      <c r="I28" s="61">
        <f t="shared" si="1"/>
        <v>0</v>
      </c>
      <c r="K28" s="63">
        <v>239370.67</v>
      </c>
      <c r="L28" s="63">
        <v>237952.67</v>
      </c>
      <c r="M28" s="61">
        <f t="shared" si="2"/>
        <v>1418</v>
      </c>
    </row>
    <row r="29" spans="2:17" ht="15.75" customHeight="1" x14ac:dyDescent="0.3">
      <c r="B29" s="62">
        <v>29</v>
      </c>
      <c r="C29" s="63">
        <v>677077.48</v>
      </c>
      <c r="D29" s="63">
        <v>676279.48</v>
      </c>
      <c r="E29" s="61">
        <f t="shared" si="0"/>
        <v>798</v>
      </c>
      <c r="G29" s="63">
        <v>370240.19</v>
      </c>
      <c r="H29" s="63">
        <v>370240.19</v>
      </c>
      <c r="I29" s="61">
        <f t="shared" si="1"/>
        <v>0</v>
      </c>
      <c r="K29" s="63">
        <v>306837.28999999998</v>
      </c>
      <c r="L29" s="63">
        <v>306039.28999999998</v>
      </c>
      <c r="M29" s="61">
        <f t="shared" si="2"/>
        <v>798</v>
      </c>
    </row>
    <row r="30" spans="2:17" ht="15.75" customHeight="1" x14ac:dyDescent="0.3">
      <c r="B30" s="62">
        <v>30</v>
      </c>
      <c r="C30" s="63">
        <v>522496.83</v>
      </c>
      <c r="D30" s="63">
        <v>522107.83</v>
      </c>
      <c r="E30" s="61">
        <f t="shared" si="0"/>
        <v>389</v>
      </c>
      <c r="G30" s="63">
        <v>327115.2</v>
      </c>
      <c r="H30" s="63">
        <v>327115.2</v>
      </c>
      <c r="I30" s="61">
        <f t="shared" si="1"/>
        <v>0</v>
      </c>
      <c r="K30" s="63">
        <v>195381.63</v>
      </c>
      <c r="L30" s="63">
        <v>194992.63</v>
      </c>
      <c r="M30" s="61">
        <f t="shared" si="2"/>
        <v>389</v>
      </c>
    </row>
    <row r="31" spans="2:17" ht="15.75" customHeight="1" x14ac:dyDescent="0.3">
      <c r="B31" s="62">
        <v>31</v>
      </c>
      <c r="C31" s="63">
        <v>508042.07</v>
      </c>
      <c r="D31" s="63">
        <v>506787.07</v>
      </c>
      <c r="E31" s="61">
        <f t="shared" si="0"/>
        <v>1255</v>
      </c>
      <c r="G31" s="63">
        <v>279802.7</v>
      </c>
      <c r="H31" s="63">
        <v>279802.7</v>
      </c>
      <c r="I31" s="61">
        <f t="shared" si="1"/>
        <v>0</v>
      </c>
      <c r="K31" s="63">
        <v>228239.37</v>
      </c>
      <c r="L31" s="63">
        <v>226984.37</v>
      </c>
      <c r="M31" s="61">
        <f t="shared" si="2"/>
        <v>1255</v>
      </c>
    </row>
    <row r="32" spans="2:17" ht="15.75" customHeight="1" x14ac:dyDescent="0.3">
      <c r="B32" s="62">
        <v>32</v>
      </c>
      <c r="C32" s="63">
        <v>512561.61</v>
      </c>
      <c r="D32" s="63">
        <v>503443.61</v>
      </c>
      <c r="E32" s="61">
        <f t="shared" si="0"/>
        <v>9118</v>
      </c>
      <c r="G32" s="63">
        <v>241128.93</v>
      </c>
      <c r="H32" s="63">
        <v>241128.93</v>
      </c>
      <c r="I32" s="61">
        <f t="shared" si="1"/>
        <v>0</v>
      </c>
      <c r="K32" s="63">
        <v>271432.68</v>
      </c>
      <c r="L32" s="63">
        <v>262314.68</v>
      </c>
      <c r="M32" s="61">
        <f t="shared" si="2"/>
        <v>9118</v>
      </c>
    </row>
    <row r="33" spans="1:17" ht="15.75" customHeight="1" x14ac:dyDescent="0.3">
      <c r="B33" s="62">
        <v>33</v>
      </c>
      <c r="C33" s="63">
        <v>385087.55</v>
      </c>
      <c r="D33" s="63">
        <v>384825.55</v>
      </c>
      <c r="E33" s="61">
        <f t="shared" si="0"/>
        <v>262</v>
      </c>
      <c r="G33" s="63">
        <v>190485.97</v>
      </c>
      <c r="H33" s="63">
        <v>190485.97</v>
      </c>
      <c r="I33" s="61">
        <f t="shared" si="1"/>
        <v>0</v>
      </c>
      <c r="K33" s="63">
        <v>194601.58</v>
      </c>
      <c r="L33" s="63">
        <v>194339.58</v>
      </c>
      <c r="M33" s="61">
        <f t="shared" si="2"/>
        <v>262</v>
      </c>
    </row>
    <row r="34" spans="1:17" ht="15.75" customHeight="1" x14ac:dyDescent="0.3">
      <c r="B34" s="62">
        <v>34</v>
      </c>
      <c r="C34" s="63">
        <v>400300</v>
      </c>
      <c r="D34" s="63">
        <v>400300</v>
      </c>
      <c r="E34" s="61">
        <f t="shared" si="0"/>
        <v>0</v>
      </c>
      <c r="G34" s="63">
        <v>160550.10999999999</v>
      </c>
      <c r="H34" s="63">
        <v>160550.10999999999</v>
      </c>
      <c r="I34" s="61">
        <f t="shared" si="1"/>
        <v>0</v>
      </c>
      <c r="K34" s="63">
        <v>239749.89</v>
      </c>
      <c r="L34" s="63">
        <v>239749.89</v>
      </c>
      <c r="M34" s="61">
        <f t="shared" si="2"/>
        <v>0</v>
      </c>
    </row>
    <row r="35" spans="1:17" ht="15.75" customHeight="1" x14ac:dyDescent="0.3">
      <c r="B35" s="62">
        <v>35</v>
      </c>
      <c r="C35" s="63">
        <v>326692.01</v>
      </c>
      <c r="D35" s="63">
        <v>320031.01</v>
      </c>
      <c r="E35" s="61">
        <f t="shared" si="0"/>
        <v>6661</v>
      </c>
      <c r="G35" s="63">
        <v>136046.66</v>
      </c>
      <c r="H35" s="63">
        <v>136046.66</v>
      </c>
      <c r="I35" s="61">
        <f t="shared" si="1"/>
        <v>0</v>
      </c>
      <c r="K35" s="63">
        <v>190645.36</v>
      </c>
      <c r="L35" s="63">
        <v>183984.36</v>
      </c>
      <c r="M35" s="61">
        <f t="shared" si="2"/>
        <v>6661</v>
      </c>
    </row>
    <row r="36" spans="1:17" ht="15.75" customHeight="1" x14ac:dyDescent="0.3">
      <c r="B36" s="64">
        <v>36</v>
      </c>
      <c r="C36" s="65">
        <v>266845.28000000003</v>
      </c>
      <c r="D36" s="65">
        <v>266845.28000000003</v>
      </c>
      <c r="E36" s="66">
        <f t="shared" si="0"/>
        <v>0</v>
      </c>
      <c r="G36" s="65">
        <v>123385.58</v>
      </c>
      <c r="H36" s="65">
        <v>123385.58</v>
      </c>
      <c r="I36" s="66">
        <f t="shared" si="1"/>
        <v>0</v>
      </c>
      <c r="K36" s="65">
        <v>143459.70000000001</v>
      </c>
      <c r="L36" s="65">
        <v>143459.70000000001</v>
      </c>
      <c r="M36" s="66">
        <f t="shared" si="2"/>
        <v>0</v>
      </c>
      <c r="O36" s="67" t="s">
        <v>86</v>
      </c>
      <c r="P36" s="75">
        <f>P24-L36</f>
        <v>875895.93000000017</v>
      </c>
      <c r="Q36" t="s">
        <v>82</v>
      </c>
    </row>
    <row r="37" spans="1:17" ht="15.75" customHeight="1" thickBot="1" x14ac:dyDescent="0.35">
      <c r="B37" s="69" t="s">
        <v>88</v>
      </c>
      <c r="C37" s="70">
        <v>20948137.120000001</v>
      </c>
      <c r="D37" s="70">
        <v>20319650.120000001</v>
      </c>
      <c r="E37" s="70">
        <f t="shared" si="0"/>
        <v>628487</v>
      </c>
      <c r="G37" s="70">
        <v>10802583.26</v>
      </c>
      <c r="H37" s="70">
        <v>10802583.26</v>
      </c>
      <c r="I37" s="70">
        <f t="shared" si="1"/>
        <v>0</v>
      </c>
      <c r="K37" s="70">
        <v>10145553.859999999</v>
      </c>
      <c r="L37" s="70">
        <v>9517066.8599999994</v>
      </c>
      <c r="M37" s="70">
        <f t="shared" si="2"/>
        <v>628487</v>
      </c>
      <c r="O37" t="s">
        <v>87</v>
      </c>
    </row>
    <row r="38" spans="1:17" ht="15.75" customHeight="1" thickTop="1" x14ac:dyDescent="0.3">
      <c r="B38" t="s">
        <v>89</v>
      </c>
      <c r="C38" s="68">
        <f>SUM(C9:C37)</f>
        <v>68095200.269999996</v>
      </c>
      <c r="D38" s="68">
        <f>SUM(D9:D37)</f>
        <v>66230185.900000006</v>
      </c>
      <c r="E38" s="68">
        <f>SUM(E9:E37)</f>
        <v>1865014.370000001</v>
      </c>
      <c r="G38" s="68">
        <f>SUM(G9:G37)</f>
        <v>42362195.349999994</v>
      </c>
      <c r="H38" s="68">
        <f>SUM(H9:H37)</f>
        <v>42358759.349999994</v>
      </c>
      <c r="I38" s="68">
        <f>SUM(I9:I37)</f>
        <v>3436</v>
      </c>
      <c r="K38" s="68">
        <f>SUM(K9:K37)</f>
        <v>25733004.93</v>
      </c>
      <c r="L38" s="68">
        <f>SUM(L9:L37)</f>
        <v>23871426.57</v>
      </c>
      <c r="M38" s="68">
        <f>SUM(M9:M37)</f>
        <v>1861578.3599999994</v>
      </c>
      <c r="P38" s="68">
        <f>P36*12</f>
        <v>10510751.160000002</v>
      </c>
      <c r="Q38" t="s">
        <v>100</v>
      </c>
    </row>
    <row r="39" spans="1:17" ht="15.75" customHeight="1" x14ac:dyDescent="0.3">
      <c r="B39" t="s">
        <v>90</v>
      </c>
      <c r="C39" s="68">
        <f>SUM(C12:C37)</f>
        <v>40902342.890000001</v>
      </c>
      <c r="D39" s="68">
        <f>SUM(D12:D37)</f>
        <v>40155455.890000001</v>
      </c>
      <c r="E39" s="68">
        <f>SUM(E12:E37)</f>
        <v>746887</v>
      </c>
      <c r="G39" s="68">
        <f>SUM(G12:G37)</f>
        <v>23456405.259999998</v>
      </c>
      <c r="H39" s="68">
        <f>SUM(H12:H37)</f>
        <v>23455621.259999998</v>
      </c>
      <c r="I39" s="68">
        <f>SUM(I12:I37)</f>
        <v>784</v>
      </c>
      <c r="K39" s="68">
        <f>SUM(K12:K37)</f>
        <v>17445937.649999999</v>
      </c>
      <c r="L39" s="68">
        <f>SUM(L12:L37)</f>
        <v>16699834.649999999</v>
      </c>
      <c r="M39" s="68">
        <f>SUM(M12:M37)</f>
        <v>746103</v>
      </c>
    </row>
    <row r="40" spans="1:17" ht="15.75" customHeight="1" x14ac:dyDescent="0.3"/>
    <row r="41" spans="1:17" ht="15.75" customHeight="1" x14ac:dyDescent="0.3">
      <c r="B41" s="71" t="s">
        <v>98</v>
      </c>
    </row>
    <row r="42" spans="1:17" ht="15.75" customHeight="1" x14ac:dyDescent="0.3">
      <c r="B42" s="72" t="s">
        <v>91</v>
      </c>
      <c r="C42" s="72"/>
    </row>
    <row r="43" spans="1:17" ht="15.75" customHeight="1" x14ac:dyDescent="0.3">
      <c r="A43" s="73" t="s">
        <v>92</v>
      </c>
      <c r="B43" t="s">
        <v>101</v>
      </c>
      <c r="C43" s="72"/>
    </row>
    <row r="44" spans="1:17" ht="15.75" customHeight="1" x14ac:dyDescent="0.3">
      <c r="A44" s="73" t="s">
        <v>92</v>
      </c>
      <c r="B44" s="72" t="s">
        <v>93</v>
      </c>
      <c r="C44" s="72"/>
    </row>
    <row r="45" spans="1:17" ht="15.75" customHeight="1" x14ac:dyDescent="0.3">
      <c r="A45" s="73" t="s">
        <v>92</v>
      </c>
      <c r="B45" s="72" t="s">
        <v>96</v>
      </c>
      <c r="C45" s="72"/>
    </row>
    <row r="46" spans="1:17" ht="15.75" customHeight="1" x14ac:dyDescent="0.3">
      <c r="A46" s="73" t="s">
        <v>92</v>
      </c>
      <c r="B46" t="s">
        <v>97</v>
      </c>
      <c r="C46" s="72"/>
    </row>
    <row r="47" spans="1:17" ht="15.75" customHeight="1" x14ac:dyDescent="0.3">
      <c r="A47" s="73" t="s">
        <v>92</v>
      </c>
      <c r="B47" s="72" t="s">
        <v>94</v>
      </c>
    </row>
    <row r="48" spans="1:17" ht="15.75" customHeight="1" x14ac:dyDescent="0.3">
      <c r="A48" s="73" t="s">
        <v>92</v>
      </c>
      <c r="B48" s="72" t="s">
        <v>95</v>
      </c>
    </row>
    <row r="49" spans="1:17" ht="15.75" customHeight="1" x14ac:dyDescent="0.3">
      <c r="A49" s="73" t="s">
        <v>92</v>
      </c>
      <c r="B49" s="72" t="s">
        <v>107</v>
      </c>
    </row>
    <row r="50" spans="1:17" x14ac:dyDescent="0.3">
      <c r="A50" s="73"/>
      <c r="M50" s="74"/>
      <c r="N50" s="74"/>
      <c r="P50" s="74"/>
      <c r="Q50" s="74"/>
    </row>
    <row r="51" spans="1:17" x14ac:dyDescent="0.3">
      <c r="A51" s="73" t="s">
        <v>92</v>
      </c>
      <c r="B51" s="72" t="s">
        <v>108</v>
      </c>
      <c r="M51" s="74"/>
      <c r="N51" s="74"/>
      <c r="P51" s="74"/>
      <c r="Q51" s="74"/>
    </row>
    <row r="52" spans="1:17" x14ac:dyDescent="0.3">
      <c r="A52" s="73" t="s">
        <v>92</v>
      </c>
      <c r="B52" s="72" t="s">
        <v>110</v>
      </c>
      <c r="M52" s="74"/>
      <c r="N52" s="74"/>
      <c r="P52" s="74"/>
      <c r="Q52" s="74"/>
    </row>
    <row r="53" spans="1:17" x14ac:dyDescent="0.3">
      <c r="A53" s="73" t="s">
        <v>92</v>
      </c>
      <c r="B53" s="72" t="s">
        <v>109</v>
      </c>
      <c r="M53" s="74"/>
      <c r="N53" s="74"/>
      <c r="P53" s="74"/>
      <c r="Q53" s="74"/>
    </row>
    <row r="54" spans="1:17" x14ac:dyDescent="0.3">
      <c r="A54" s="73"/>
      <c r="B54" s="72"/>
      <c r="M54" s="74"/>
      <c r="N54" s="74"/>
      <c r="P54" s="74"/>
      <c r="Q54" s="74"/>
    </row>
    <row r="55" spans="1:17" x14ac:dyDescent="0.3">
      <c r="M55" s="74"/>
      <c r="N55" s="74"/>
      <c r="P55" s="74"/>
      <c r="Q55" s="74"/>
    </row>
    <row r="56" spans="1:17" x14ac:dyDescent="0.3">
      <c r="M56" s="74"/>
      <c r="N56" s="74"/>
      <c r="P56" s="74"/>
      <c r="Q56" s="74"/>
    </row>
    <row r="57" spans="1:17" x14ac:dyDescent="0.3">
      <c r="M57" s="74"/>
      <c r="N57" s="74"/>
      <c r="P57" s="74"/>
      <c r="Q57" s="74"/>
    </row>
    <row r="58" spans="1:17" x14ac:dyDescent="0.3">
      <c r="M58" s="74"/>
      <c r="N58" s="74"/>
      <c r="P58" s="74"/>
      <c r="Q58" s="74"/>
    </row>
    <row r="59" spans="1:17" x14ac:dyDescent="0.3">
      <c r="M59" s="74"/>
      <c r="N59" s="74"/>
      <c r="P59" s="74"/>
      <c r="Q59" s="74"/>
    </row>
    <row r="60" spans="1:17" x14ac:dyDescent="0.3">
      <c r="M60" s="74"/>
      <c r="N60" s="74"/>
      <c r="P60" s="74"/>
      <c r="Q60" s="74"/>
    </row>
    <row r="61" spans="1:17" x14ac:dyDescent="0.3">
      <c r="M61" s="74"/>
      <c r="N61" s="74"/>
      <c r="P61" s="74"/>
      <c r="Q61" s="74"/>
    </row>
    <row r="62" spans="1:17" x14ac:dyDescent="0.3">
      <c r="M62" s="74"/>
      <c r="N62" s="74"/>
      <c r="P62" s="74"/>
      <c r="Q62" s="74"/>
    </row>
    <row r="63" spans="1:17" x14ac:dyDescent="0.3">
      <c r="M63" s="74"/>
      <c r="N63" s="74"/>
      <c r="P63" s="74"/>
      <c r="Q63" s="74"/>
    </row>
    <row r="64" spans="1:17" x14ac:dyDescent="0.3">
      <c r="M64" s="74"/>
      <c r="N64" s="74"/>
      <c r="P64" s="74"/>
      <c r="Q64" s="74"/>
    </row>
    <row r="65" spans="13:17" x14ac:dyDescent="0.3">
      <c r="M65" s="74"/>
      <c r="N65" s="74"/>
      <c r="P65" s="74"/>
      <c r="Q65" s="74"/>
    </row>
    <row r="66" spans="13:17" x14ac:dyDescent="0.3">
      <c r="M66" s="74"/>
      <c r="N66" s="74"/>
      <c r="P66" s="74"/>
      <c r="Q66" s="74"/>
    </row>
    <row r="67" spans="13:17" x14ac:dyDescent="0.3">
      <c r="M67" s="74"/>
      <c r="N67" s="74"/>
      <c r="P67" s="74"/>
      <c r="Q67" s="74"/>
    </row>
    <row r="68" spans="13:17" x14ac:dyDescent="0.3">
      <c r="M68" s="74"/>
      <c r="N68" s="74"/>
      <c r="P68" s="74"/>
      <c r="Q68" s="74"/>
    </row>
    <row r="69" spans="13:17" x14ac:dyDescent="0.3">
      <c r="M69" s="74"/>
      <c r="N69" s="74"/>
      <c r="P69" s="74"/>
      <c r="Q69" s="74"/>
    </row>
    <row r="70" spans="13:17" x14ac:dyDescent="0.3">
      <c r="M70" s="74"/>
      <c r="N70" s="74"/>
      <c r="P70" s="74"/>
      <c r="Q70" s="74"/>
    </row>
    <row r="71" spans="13:17" x14ac:dyDescent="0.3">
      <c r="M71" s="74"/>
      <c r="N71" s="74"/>
      <c r="P71" s="74"/>
      <c r="Q71" s="74"/>
    </row>
    <row r="72" spans="13:17" x14ac:dyDescent="0.3">
      <c r="M72" s="74"/>
      <c r="N72" s="74"/>
      <c r="P72" s="74"/>
      <c r="Q72" s="74"/>
    </row>
    <row r="73" spans="13:17" x14ac:dyDescent="0.3">
      <c r="M73" s="74"/>
      <c r="N73" s="74"/>
      <c r="P73" s="74"/>
      <c r="Q73" s="74"/>
    </row>
    <row r="74" spans="13:17" x14ac:dyDescent="0.3">
      <c r="M74" s="74"/>
      <c r="N74" s="74"/>
      <c r="P74" s="74"/>
      <c r="Q74" s="74"/>
    </row>
    <row r="75" spans="13:17" x14ac:dyDescent="0.3">
      <c r="M75" s="74"/>
      <c r="N75" s="74"/>
      <c r="P75" s="74"/>
      <c r="Q75" s="74"/>
    </row>
    <row r="76" spans="13:17" x14ac:dyDescent="0.3">
      <c r="M76" s="74"/>
      <c r="N76" s="74"/>
      <c r="P76" s="74"/>
      <c r="Q76" s="74"/>
    </row>
    <row r="77" spans="13:17" x14ac:dyDescent="0.3">
      <c r="M77" s="74"/>
      <c r="N77" s="74"/>
      <c r="P77" s="74"/>
      <c r="Q77" s="74"/>
    </row>
    <row r="78" spans="13:17" x14ac:dyDescent="0.3">
      <c r="M78" s="74"/>
      <c r="N78" s="74"/>
      <c r="P78" s="74"/>
      <c r="Q78" s="74"/>
    </row>
    <row r="79" spans="13:17" x14ac:dyDescent="0.3">
      <c r="M79" s="74"/>
      <c r="N79" s="74"/>
      <c r="P79" s="74"/>
      <c r="Q79" s="74"/>
    </row>
  </sheetData>
  <mergeCells count="2">
    <mergeCell ref="G7:I7"/>
    <mergeCell ref="K7:M7"/>
  </mergeCells>
  <pageMargins left="0.25" right="0.25" top="0.25" bottom="0.25" header="0.3" footer="0.3"/>
  <pageSetup paperSize="17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81040A7B-FF7B-469E-BFC1-0B9243C25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942274-587A-4E7F-A74C-1FB9956B3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E6CBA1-4F70-4BC3-94CE-126DFDED32F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2016+ Forecast</vt:lpstr>
      <vt:lpstr>HB 7109 Refund Impact</vt:lpstr>
      <vt:lpstr>'2016+ Forecast'!Print_Area</vt:lpstr>
      <vt:lpstr>'HB 7109 Refund Impact'!Print_Area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AXL0UA4</dc:creator>
  <cp:lastModifiedBy>FPL_User</cp:lastModifiedBy>
  <cp:lastPrinted>2016-03-31T21:15:58Z</cp:lastPrinted>
  <dcterms:created xsi:type="dcterms:W3CDTF">2013-10-11T18:09:43Z</dcterms:created>
  <dcterms:modified xsi:type="dcterms:W3CDTF">2016-04-17T20:29:23Z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CUSTOMER DEPOSITS FORECAST_2014-2018_4_2_2014.xlsx</vt:lpwstr>
  </property>
  <property fmtid="{D5CDD505-2E9C-101B-9397-08002B2CF9AE}" pid="3" name="ContentTypeId">
    <vt:lpwstr>0x01010074A81384F0AC4446BCFA4541262B40A3</vt:lpwstr>
  </property>
</Properties>
</file>