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216" windowWidth="18192" windowHeight="4992" tabRatio="891"/>
  </bookViews>
  <sheets>
    <sheet name="summary" sheetId="1" r:id="rId1"/>
    <sheet name="wholesale" sheetId="17" r:id="rId2"/>
    <sheet name="wholesale NEL" sheetId="26" r:id="rId3"/>
    <sheet name="Wholesale Prior Variance" sheetId="24" r:id="rId4"/>
    <sheet name="NSA Variance" sheetId="25" r:id="rId5"/>
    <sheet name="models" sheetId="4" r:id="rId6"/>
    <sheet name="customers" sheetId="5" r:id="rId7"/>
    <sheet name="Table Customers" sheetId="6" r:id="rId8"/>
    <sheet name="customers v NSAs" sheetId="7" r:id="rId9"/>
    <sheet name="WN Billed Sales" sheetId="8" r:id="rId10"/>
    <sheet name="economic forecasts" sheetId="10" r:id="rId11"/>
    <sheet name="Table Income" sheetId="29" r:id="rId12"/>
    <sheet name="Table Real Per Capita Inc" sheetId="28" r:id="rId13"/>
    <sheet name="BLS Data Series" sheetId="11" r:id="rId14"/>
    <sheet name="BLS Data Series (2)" sheetId="12" r:id="rId15"/>
    <sheet name="Sheet3" sheetId="13" r:id="rId16"/>
    <sheet name="Sheet4" sheetId="14" r:id="rId17"/>
    <sheet name="FL_Total_Nonfarm" sheetId="15" r:id="rId18"/>
    <sheet name="annual employment" sheetId="16" r:id="rId19"/>
    <sheet name="Monthly NEL" sheetId="19" r:id="rId20"/>
    <sheet name="FORECAST" sheetId="20" r:id="rId21"/>
    <sheet name="calculation_WN_retail" sheetId="22" r:id="rId22"/>
    <sheet name="2015 variance" sheetId="23" r:id="rId23"/>
    <sheet name="Table Fla Population Avg Annual" sheetId="27" r:id="rId24"/>
    <sheet name="Sheet1" sheetId="30" r:id="rId25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I40" i="28" l="1"/>
  <c r="D13" i="4" l="1"/>
  <c r="K60" i="29" l="1"/>
  <c r="K57" i="29"/>
  <c r="I80" i="29"/>
  <c r="H80" i="29"/>
  <c r="G80" i="29"/>
  <c r="F80" i="29"/>
  <c r="D80" i="29"/>
  <c r="C80" i="29"/>
  <c r="I79" i="29"/>
  <c r="H79" i="29"/>
  <c r="G79" i="29"/>
  <c r="F79" i="29"/>
  <c r="D79" i="29"/>
  <c r="C79" i="29"/>
  <c r="I78" i="29"/>
  <c r="H78" i="29"/>
  <c r="G78" i="29"/>
  <c r="F78" i="29"/>
  <c r="D78" i="29"/>
  <c r="C78" i="29"/>
  <c r="I77" i="29"/>
  <c r="H77" i="29"/>
  <c r="G77" i="29"/>
  <c r="F77" i="29"/>
  <c r="D77" i="29"/>
  <c r="C77" i="29"/>
  <c r="I76" i="29"/>
  <c r="H76" i="29"/>
  <c r="G76" i="29"/>
  <c r="F76" i="29"/>
  <c r="D76" i="29"/>
  <c r="C76" i="29"/>
  <c r="I75" i="29"/>
  <c r="H75" i="29"/>
  <c r="G75" i="29"/>
  <c r="F75" i="29"/>
  <c r="D75" i="29"/>
  <c r="C75" i="29"/>
  <c r="I74" i="29"/>
  <c r="H74" i="29"/>
  <c r="G74" i="29"/>
  <c r="F74" i="29"/>
  <c r="D74" i="29"/>
  <c r="C74" i="29"/>
  <c r="I73" i="29"/>
  <c r="H73" i="29"/>
  <c r="G73" i="29"/>
  <c r="F73" i="29"/>
  <c r="D73" i="29"/>
  <c r="C73" i="29"/>
  <c r="I72" i="29"/>
  <c r="H72" i="29"/>
  <c r="G72" i="29"/>
  <c r="F72" i="29"/>
  <c r="D72" i="29"/>
  <c r="C72" i="29"/>
  <c r="I71" i="29"/>
  <c r="H71" i="29"/>
  <c r="G71" i="29"/>
  <c r="F71" i="29"/>
  <c r="D71" i="29"/>
  <c r="C71" i="29"/>
  <c r="I70" i="29"/>
  <c r="H70" i="29"/>
  <c r="G70" i="29"/>
  <c r="F70" i="29"/>
  <c r="D70" i="29"/>
  <c r="C70" i="29"/>
  <c r="I69" i="29"/>
  <c r="H69" i="29"/>
  <c r="G69" i="29"/>
  <c r="F69" i="29"/>
  <c r="D69" i="29"/>
  <c r="C69" i="29"/>
  <c r="I68" i="29"/>
  <c r="H68" i="29"/>
  <c r="G68" i="29"/>
  <c r="F68" i="29"/>
  <c r="D68" i="29"/>
  <c r="C68" i="29"/>
  <c r="I67" i="29"/>
  <c r="H67" i="29"/>
  <c r="G67" i="29"/>
  <c r="F67" i="29"/>
  <c r="D67" i="29"/>
  <c r="C67" i="29"/>
  <c r="I66" i="29"/>
  <c r="H66" i="29"/>
  <c r="G66" i="29"/>
  <c r="F66" i="29"/>
  <c r="D66" i="29"/>
  <c r="C66" i="29"/>
  <c r="I65" i="29"/>
  <c r="H65" i="29"/>
  <c r="G65" i="29"/>
  <c r="F65" i="29"/>
  <c r="D65" i="29"/>
  <c r="C65" i="29"/>
  <c r="I64" i="29"/>
  <c r="H64" i="29"/>
  <c r="G64" i="29"/>
  <c r="F64" i="29"/>
  <c r="D64" i="29"/>
  <c r="C64" i="29"/>
  <c r="I63" i="29"/>
  <c r="H63" i="29"/>
  <c r="G63" i="29"/>
  <c r="F63" i="29"/>
  <c r="D63" i="29"/>
  <c r="C63" i="29"/>
  <c r="I62" i="29"/>
  <c r="H62" i="29"/>
  <c r="G62" i="29"/>
  <c r="F62" i="29"/>
  <c r="D62" i="29"/>
  <c r="C62" i="29"/>
  <c r="I61" i="29"/>
  <c r="H61" i="29"/>
  <c r="G61" i="29"/>
  <c r="F61" i="29"/>
  <c r="D61" i="29"/>
  <c r="C61" i="29"/>
  <c r="I60" i="29"/>
  <c r="H60" i="29"/>
  <c r="G60" i="29"/>
  <c r="F60" i="29"/>
  <c r="D60" i="29"/>
  <c r="C60" i="29"/>
  <c r="I59" i="29"/>
  <c r="H59" i="29"/>
  <c r="G59" i="29"/>
  <c r="F59" i="29"/>
  <c r="D59" i="29"/>
  <c r="C59" i="29"/>
  <c r="I58" i="29"/>
  <c r="H58" i="29"/>
  <c r="G58" i="29"/>
  <c r="F58" i="29"/>
  <c r="D58" i="29"/>
  <c r="C58" i="29"/>
  <c r="I57" i="29"/>
  <c r="H57" i="29"/>
  <c r="G57" i="29"/>
  <c r="F57" i="29"/>
  <c r="D57" i="29"/>
  <c r="C57" i="29"/>
  <c r="I56" i="29"/>
  <c r="H56" i="29"/>
  <c r="G56" i="29"/>
  <c r="F56" i="29"/>
  <c r="D56" i="29"/>
  <c r="C56" i="29"/>
  <c r="H50" i="29"/>
  <c r="F50" i="29"/>
  <c r="H49" i="29"/>
  <c r="F49" i="29"/>
  <c r="H48" i="29"/>
  <c r="F48" i="29"/>
  <c r="H47" i="29"/>
  <c r="F47" i="29"/>
  <c r="H46" i="29"/>
  <c r="F46" i="29"/>
  <c r="H45" i="29"/>
  <c r="F45" i="29"/>
  <c r="H44" i="29"/>
  <c r="F44" i="29"/>
  <c r="H43" i="29"/>
  <c r="F43" i="29"/>
  <c r="H42" i="29"/>
  <c r="F42" i="29"/>
  <c r="H41" i="29"/>
  <c r="F41" i="29"/>
  <c r="H40" i="29"/>
  <c r="F40" i="29"/>
  <c r="H39" i="29"/>
  <c r="F39" i="29"/>
  <c r="H38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27" i="29"/>
  <c r="F27" i="29"/>
  <c r="H26" i="29"/>
  <c r="F26" i="29"/>
  <c r="H25" i="29"/>
  <c r="F25" i="29"/>
  <c r="H24" i="29"/>
  <c r="F24" i="29"/>
  <c r="H23" i="29"/>
  <c r="F23" i="29"/>
  <c r="H22" i="29"/>
  <c r="F22" i="29"/>
  <c r="H21" i="29"/>
  <c r="F21" i="29"/>
  <c r="H20" i="29"/>
  <c r="F20" i="29"/>
  <c r="H19" i="29"/>
  <c r="F19" i="29"/>
  <c r="H18" i="29"/>
  <c r="F18" i="29"/>
  <c r="G11" i="29"/>
  <c r="G10" i="29"/>
  <c r="G8" i="29"/>
  <c r="F8" i="29" l="1"/>
  <c r="F10" i="29"/>
  <c r="F11" i="29"/>
  <c r="G49" i="12"/>
  <c r="A38" i="12"/>
  <c r="A49" i="12" s="1"/>
  <c r="B38" i="12"/>
  <c r="B49" i="12" s="1"/>
  <c r="C38" i="12"/>
  <c r="C49" i="12" s="1"/>
  <c r="D38" i="12"/>
  <c r="D49" i="12" s="1"/>
  <c r="E38" i="12"/>
  <c r="E49" i="12" s="1"/>
  <c r="F38" i="12"/>
  <c r="F49" i="12" s="1"/>
  <c r="G38" i="12"/>
  <c r="H38" i="12"/>
  <c r="H49" i="12" s="1"/>
  <c r="I38" i="12"/>
  <c r="I49" i="12" s="1"/>
  <c r="J38" i="12"/>
  <c r="J49" i="12" s="1"/>
  <c r="K38" i="12"/>
  <c r="K49" i="12" s="1"/>
  <c r="L38" i="12"/>
  <c r="L49" i="12" s="1"/>
  <c r="M38" i="12"/>
  <c r="M49" i="12" s="1"/>
  <c r="A39" i="12"/>
  <c r="A50" i="12" s="1"/>
  <c r="B39" i="12"/>
  <c r="B50" i="12" s="1"/>
  <c r="C39" i="12"/>
  <c r="C50" i="12" s="1"/>
  <c r="D39" i="12"/>
  <c r="D50" i="12" s="1"/>
  <c r="E39" i="12"/>
  <c r="E50" i="12" s="1"/>
  <c r="F39" i="12"/>
  <c r="F50" i="12" s="1"/>
  <c r="G39" i="12"/>
  <c r="G50" i="12" s="1"/>
  <c r="H39" i="12"/>
  <c r="H50" i="12" s="1"/>
  <c r="I39" i="12"/>
  <c r="I50" i="12" s="1"/>
  <c r="J39" i="12"/>
  <c r="J50" i="12" s="1"/>
  <c r="K39" i="12"/>
  <c r="K50" i="12" s="1"/>
  <c r="L39" i="12"/>
  <c r="L50" i="12" s="1"/>
  <c r="M39" i="12"/>
  <c r="M50" i="12" s="1"/>
  <c r="A35" i="12"/>
  <c r="A46" i="12" s="1"/>
  <c r="B35" i="12"/>
  <c r="B46" i="12" s="1"/>
  <c r="C35" i="12"/>
  <c r="C46" i="12" s="1"/>
  <c r="D35" i="12"/>
  <c r="D46" i="12" s="1"/>
  <c r="E35" i="12"/>
  <c r="E46" i="12" s="1"/>
  <c r="F35" i="12"/>
  <c r="F46" i="12" s="1"/>
  <c r="G35" i="12"/>
  <c r="G46" i="12" s="1"/>
  <c r="H35" i="12"/>
  <c r="H46" i="12" s="1"/>
  <c r="I35" i="12"/>
  <c r="I46" i="12" s="1"/>
  <c r="J35" i="12"/>
  <c r="J46" i="12" s="1"/>
  <c r="K35" i="12"/>
  <c r="K46" i="12" s="1"/>
  <c r="L35" i="12"/>
  <c r="L46" i="12" s="1"/>
  <c r="M35" i="12"/>
  <c r="M46" i="12" s="1"/>
  <c r="A36" i="12"/>
  <c r="A47" i="12" s="1"/>
  <c r="B36" i="12"/>
  <c r="B47" i="12" s="1"/>
  <c r="C36" i="12"/>
  <c r="C47" i="12" s="1"/>
  <c r="D36" i="12"/>
  <c r="D47" i="12" s="1"/>
  <c r="E36" i="12"/>
  <c r="E47" i="12" s="1"/>
  <c r="F36" i="12"/>
  <c r="F47" i="12" s="1"/>
  <c r="G36" i="12"/>
  <c r="G47" i="12" s="1"/>
  <c r="H36" i="12"/>
  <c r="H47" i="12" s="1"/>
  <c r="I36" i="12"/>
  <c r="I47" i="12" s="1"/>
  <c r="J36" i="12"/>
  <c r="J47" i="12" s="1"/>
  <c r="K36" i="12"/>
  <c r="K47" i="12" s="1"/>
  <c r="L36" i="12"/>
  <c r="L47" i="12" s="1"/>
  <c r="M36" i="12"/>
  <c r="M47" i="12" s="1"/>
  <c r="A37" i="12"/>
  <c r="A48" i="12" s="1"/>
  <c r="B37" i="12"/>
  <c r="B48" i="12" s="1"/>
  <c r="C37" i="12"/>
  <c r="C48" i="12" s="1"/>
  <c r="D37" i="12"/>
  <c r="D48" i="12" s="1"/>
  <c r="E37" i="12"/>
  <c r="E48" i="12" s="1"/>
  <c r="F37" i="12"/>
  <c r="F48" i="12" s="1"/>
  <c r="G37" i="12"/>
  <c r="G48" i="12" s="1"/>
  <c r="H37" i="12"/>
  <c r="H48" i="12" s="1"/>
  <c r="I37" i="12"/>
  <c r="I48" i="12" s="1"/>
  <c r="J37" i="12"/>
  <c r="J48" i="12" s="1"/>
  <c r="K37" i="12"/>
  <c r="K48" i="12" s="1"/>
  <c r="L37" i="12"/>
  <c r="L48" i="12" s="1"/>
  <c r="M37" i="12"/>
  <c r="M48" i="12" s="1"/>
  <c r="I79" i="28"/>
  <c r="H79" i="28"/>
  <c r="G79" i="28"/>
  <c r="F79" i="28"/>
  <c r="D79" i="28"/>
  <c r="C79" i="28"/>
  <c r="I78" i="28"/>
  <c r="H78" i="28"/>
  <c r="G78" i="28"/>
  <c r="F78" i="28"/>
  <c r="D78" i="28"/>
  <c r="C78" i="28"/>
  <c r="I77" i="28"/>
  <c r="H77" i="28"/>
  <c r="G77" i="28"/>
  <c r="F77" i="28"/>
  <c r="D77" i="28"/>
  <c r="C77" i="28"/>
  <c r="I76" i="28"/>
  <c r="H76" i="28"/>
  <c r="G76" i="28"/>
  <c r="F76" i="28"/>
  <c r="D76" i="28"/>
  <c r="C76" i="28"/>
  <c r="I75" i="28"/>
  <c r="H75" i="28"/>
  <c r="G75" i="28"/>
  <c r="F75" i="28"/>
  <c r="D75" i="28"/>
  <c r="C75" i="28"/>
  <c r="I74" i="28"/>
  <c r="H74" i="28"/>
  <c r="G74" i="28"/>
  <c r="F74" i="28"/>
  <c r="D74" i="28"/>
  <c r="C74" i="28"/>
  <c r="I73" i="28"/>
  <c r="H73" i="28"/>
  <c r="G73" i="28"/>
  <c r="F73" i="28"/>
  <c r="D73" i="28"/>
  <c r="C73" i="28"/>
  <c r="I72" i="28"/>
  <c r="H72" i="28"/>
  <c r="G72" i="28"/>
  <c r="F72" i="28"/>
  <c r="D72" i="28"/>
  <c r="C72" i="28"/>
  <c r="I71" i="28"/>
  <c r="H71" i="28"/>
  <c r="G71" i="28"/>
  <c r="F71" i="28"/>
  <c r="D71" i="28"/>
  <c r="C71" i="28"/>
  <c r="I70" i="28"/>
  <c r="H70" i="28"/>
  <c r="G70" i="28"/>
  <c r="F70" i="28"/>
  <c r="D70" i="28"/>
  <c r="C70" i="28"/>
  <c r="I69" i="28"/>
  <c r="H69" i="28"/>
  <c r="G69" i="28"/>
  <c r="F69" i="28"/>
  <c r="D69" i="28"/>
  <c r="C69" i="28"/>
  <c r="I68" i="28"/>
  <c r="H68" i="28"/>
  <c r="G68" i="28"/>
  <c r="F68" i="28"/>
  <c r="D68" i="28"/>
  <c r="C68" i="28"/>
  <c r="I67" i="28"/>
  <c r="H67" i="28"/>
  <c r="G67" i="28"/>
  <c r="F67" i="28"/>
  <c r="D67" i="28"/>
  <c r="C67" i="28"/>
  <c r="I66" i="28"/>
  <c r="H66" i="28"/>
  <c r="G66" i="28"/>
  <c r="F66" i="28"/>
  <c r="D66" i="28"/>
  <c r="C66" i="28"/>
  <c r="I65" i="28"/>
  <c r="H65" i="28"/>
  <c r="G65" i="28"/>
  <c r="F65" i="28"/>
  <c r="D65" i="28"/>
  <c r="C65" i="28"/>
  <c r="I64" i="28"/>
  <c r="H64" i="28"/>
  <c r="G64" i="28"/>
  <c r="F64" i="28"/>
  <c r="D64" i="28"/>
  <c r="C64" i="28"/>
  <c r="I63" i="28"/>
  <c r="H63" i="28"/>
  <c r="G63" i="28"/>
  <c r="F63" i="28"/>
  <c r="D63" i="28"/>
  <c r="C63" i="28"/>
  <c r="I62" i="28"/>
  <c r="H62" i="28"/>
  <c r="G62" i="28"/>
  <c r="F62" i="28"/>
  <c r="D62" i="28"/>
  <c r="C62" i="28"/>
  <c r="I61" i="28"/>
  <c r="H61" i="28"/>
  <c r="G61" i="28"/>
  <c r="F61" i="28"/>
  <c r="D61" i="28"/>
  <c r="C61" i="28"/>
  <c r="I60" i="28"/>
  <c r="H60" i="28"/>
  <c r="G60" i="28"/>
  <c r="F60" i="28"/>
  <c r="D60" i="28"/>
  <c r="C60" i="28"/>
  <c r="I59" i="28"/>
  <c r="H59" i="28"/>
  <c r="G59" i="28"/>
  <c r="F59" i="28"/>
  <c r="D59" i="28"/>
  <c r="C59" i="28"/>
  <c r="I58" i="28"/>
  <c r="H58" i="28"/>
  <c r="G58" i="28"/>
  <c r="F58" i="28"/>
  <c r="D58" i="28"/>
  <c r="C58" i="28"/>
  <c r="I57" i="28"/>
  <c r="H57" i="28"/>
  <c r="G57" i="28"/>
  <c r="F57" i="28"/>
  <c r="F11" i="28" s="1"/>
  <c r="D57" i="28"/>
  <c r="C57" i="28"/>
  <c r="I56" i="28"/>
  <c r="H56" i="28"/>
  <c r="G56" i="28"/>
  <c r="F56" i="28"/>
  <c r="D56" i="28"/>
  <c r="C56" i="28"/>
  <c r="F10" i="28" s="1"/>
  <c r="I55" i="28"/>
  <c r="H55" i="28"/>
  <c r="G55" i="28"/>
  <c r="F55" i="28"/>
  <c r="D55" i="28"/>
  <c r="C55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H42" i="28"/>
  <c r="F42" i="28"/>
  <c r="H41" i="28"/>
  <c r="F41" i="28"/>
  <c r="H40" i="28"/>
  <c r="F40" i="28"/>
  <c r="H39" i="28"/>
  <c r="F39" i="28"/>
  <c r="H38" i="28"/>
  <c r="F38" i="28"/>
  <c r="H37" i="28"/>
  <c r="F37" i="28"/>
  <c r="H36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25" i="28"/>
  <c r="F25" i="28"/>
  <c r="H24" i="28"/>
  <c r="F24" i="28"/>
  <c r="H23" i="28"/>
  <c r="F23" i="28"/>
  <c r="H22" i="28"/>
  <c r="F22" i="28"/>
  <c r="H21" i="28"/>
  <c r="F21" i="28"/>
  <c r="H20" i="28"/>
  <c r="F20" i="28"/>
  <c r="H19" i="28"/>
  <c r="F19" i="28"/>
  <c r="H18" i="28"/>
  <c r="F18" i="28"/>
  <c r="F8" i="28" s="1"/>
  <c r="G11" i="28"/>
  <c r="G10" i="28"/>
  <c r="G8" i="28"/>
  <c r="K20" i="10" l="1"/>
  <c r="K16" i="10" l="1"/>
  <c r="K8" i="10"/>
  <c r="L22" i="10"/>
  <c r="K18" i="10"/>
  <c r="K14" i="10"/>
  <c r="K10" i="10"/>
  <c r="K21" i="10"/>
  <c r="K17" i="10"/>
  <c r="K13" i="10"/>
  <c r="K9" i="10"/>
  <c r="L19" i="10"/>
  <c r="K12" i="10"/>
  <c r="K15" i="10"/>
  <c r="K11" i="10"/>
  <c r="K7" i="10"/>
  <c r="K19" i="10"/>
  <c r="K22" i="10"/>
  <c r="F31" i="16"/>
  <c r="F32" i="16"/>
  <c r="F33" i="16"/>
  <c r="G34" i="16" s="1"/>
  <c r="F3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G32" i="16"/>
  <c r="G31" i="16"/>
  <c r="F30" i="16"/>
  <c r="N17" i="12"/>
  <c r="D6" i="10" s="1"/>
  <c r="O17" i="12"/>
  <c r="P17" i="12"/>
  <c r="N28" i="12"/>
  <c r="F29" i="16" s="1"/>
  <c r="F18" i="16" l="1"/>
  <c r="G36" i="16"/>
  <c r="G30" i="16"/>
  <c r="D17" i="10"/>
  <c r="G33" i="16"/>
  <c r="P19" i="12" l="1"/>
  <c r="P20" i="12"/>
  <c r="P21" i="12"/>
  <c r="P22" i="12"/>
  <c r="P23" i="12"/>
  <c r="P24" i="12"/>
  <c r="P25" i="12"/>
  <c r="P26" i="12"/>
  <c r="P27" i="12"/>
  <c r="P28" i="12"/>
  <c r="P18" i="12"/>
  <c r="O23" i="12"/>
  <c r="O24" i="12"/>
  <c r="O25" i="12"/>
  <c r="O26" i="12"/>
  <c r="O27" i="12"/>
  <c r="O28" i="12"/>
  <c r="O18" i="12"/>
  <c r="O19" i="12"/>
  <c r="O20" i="12"/>
  <c r="O21" i="12"/>
  <c r="O22" i="12"/>
  <c r="A34" i="12"/>
  <c r="A45" i="12" s="1"/>
  <c r="B34" i="12"/>
  <c r="B45" i="12" s="1"/>
  <c r="C34" i="12"/>
  <c r="C45" i="12" s="1"/>
  <c r="D34" i="12"/>
  <c r="D45" i="12" s="1"/>
  <c r="E34" i="12"/>
  <c r="E45" i="12" s="1"/>
  <c r="F34" i="12"/>
  <c r="F45" i="12" s="1"/>
  <c r="G34" i="12"/>
  <c r="G45" i="12" s="1"/>
  <c r="H34" i="12"/>
  <c r="H45" i="12" s="1"/>
  <c r="I34" i="12"/>
  <c r="I45" i="12" s="1"/>
  <c r="J34" i="12"/>
  <c r="J45" i="12" s="1"/>
  <c r="K34" i="12"/>
  <c r="K45" i="12" s="1"/>
  <c r="L34" i="12"/>
  <c r="L45" i="12" s="1"/>
  <c r="M34" i="12"/>
  <c r="M45" i="12" s="1"/>
  <c r="A33" i="12"/>
  <c r="A44" i="12" s="1"/>
  <c r="B33" i="12"/>
  <c r="B44" i="12" s="1"/>
  <c r="C33" i="12"/>
  <c r="C44" i="12" s="1"/>
  <c r="D33" i="12"/>
  <c r="D44" i="12" s="1"/>
  <c r="E33" i="12"/>
  <c r="E44" i="12" s="1"/>
  <c r="F33" i="12"/>
  <c r="F44" i="12" s="1"/>
  <c r="G33" i="12"/>
  <c r="G44" i="12" s="1"/>
  <c r="H33" i="12"/>
  <c r="H44" i="12" s="1"/>
  <c r="I33" i="12"/>
  <c r="I44" i="12" s="1"/>
  <c r="J33" i="12"/>
  <c r="J44" i="12" s="1"/>
  <c r="K33" i="12"/>
  <c r="K44" i="12" s="1"/>
  <c r="L33" i="12"/>
  <c r="L44" i="12" s="1"/>
  <c r="M33" i="12"/>
  <c r="M44" i="12" s="1"/>
  <c r="A32" i="12"/>
  <c r="A43" i="12" s="1"/>
  <c r="B32" i="12"/>
  <c r="B43" i="12" s="1"/>
  <c r="C32" i="12"/>
  <c r="C43" i="12" s="1"/>
  <c r="D32" i="12"/>
  <c r="D43" i="12" s="1"/>
  <c r="E32" i="12"/>
  <c r="E43" i="12" s="1"/>
  <c r="F32" i="12"/>
  <c r="F43" i="12" s="1"/>
  <c r="G32" i="12"/>
  <c r="G43" i="12" s="1"/>
  <c r="H32" i="12"/>
  <c r="H43" i="12" s="1"/>
  <c r="I32" i="12"/>
  <c r="I43" i="12" s="1"/>
  <c r="J32" i="12"/>
  <c r="J43" i="12" s="1"/>
  <c r="K32" i="12"/>
  <c r="K43" i="12" s="1"/>
  <c r="L32" i="12"/>
  <c r="L43" i="12" s="1"/>
  <c r="M32" i="12"/>
  <c r="M43" i="12" s="1"/>
  <c r="A31" i="12"/>
  <c r="A42" i="12" s="1"/>
  <c r="B31" i="12"/>
  <c r="B42" i="12" s="1"/>
  <c r="C31" i="12"/>
  <c r="C42" i="12" s="1"/>
  <c r="D31" i="12"/>
  <c r="D42" i="12" s="1"/>
  <c r="E31" i="12"/>
  <c r="E42" i="12" s="1"/>
  <c r="F31" i="12"/>
  <c r="F42" i="12" s="1"/>
  <c r="G31" i="12"/>
  <c r="G42" i="12" s="1"/>
  <c r="H31" i="12"/>
  <c r="H42" i="12" s="1"/>
  <c r="I31" i="12"/>
  <c r="I42" i="12" s="1"/>
  <c r="J31" i="12"/>
  <c r="J42" i="12" s="1"/>
  <c r="K31" i="12"/>
  <c r="K42" i="12" s="1"/>
  <c r="L31" i="12"/>
  <c r="L42" i="12" s="1"/>
  <c r="M31" i="12"/>
  <c r="M42" i="12" s="1"/>
  <c r="C30" i="12"/>
  <c r="C41" i="12" s="1"/>
  <c r="D30" i="12"/>
  <c r="D41" i="12" s="1"/>
  <c r="E30" i="12"/>
  <c r="E41" i="12" s="1"/>
  <c r="F30" i="12"/>
  <c r="F41" i="12" s="1"/>
  <c r="G30" i="12"/>
  <c r="G41" i="12" s="1"/>
  <c r="H30" i="12"/>
  <c r="H41" i="12" s="1"/>
  <c r="I30" i="12"/>
  <c r="I41" i="12" s="1"/>
  <c r="J30" i="12"/>
  <c r="J41" i="12" s="1"/>
  <c r="K30" i="12"/>
  <c r="K41" i="12" s="1"/>
  <c r="L30" i="12"/>
  <c r="L41" i="12" s="1"/>
  <c r="M30" i="12"/>
  <c r="M41" i="12" s="1"/>
  <c r="A30" i="12"/>
  <c r="A41" i="12" s="1"/>
  <c r="B30" i="12"/>
  <c r="B41" i="12" s="1"/>
  <c r="L54" i="27"/>
  <c r="I83" i="27"/>
  <c r="D83" i="27"/>
  <c r="C83" i="27"/>
  <c r="H82" i="27"/>
  <c r="D82" i="27"/>
  <c r="C82" i="27"/>
  <c r="D81" i="27"/>
  <c r="C81" i="27"/>
  <c r="I80" i="27"/>
  <c r="D80" i="27"/>
  <c r="C80" i="27"/>
  <c r="D79" i="27"/>
  <c r="C79" i="27"/>
  <c r="H78" i="27"/>
  <c r="D78" i="27"/>
  <c r="C78" i="27"/>
  <c r="H77" i="27"/>
  <c r="D77" i="27"/>
  <c r="C77" i="27"/>
  <c r="I76" i="27"/>
  <c r="D76" i="27"/>
  <c r="C76" i="27"/>
  <c r="D75" i="27"/>
  <c r="C75" i="27"/>
  <c r="H74" i="27"/>
  <c r="D74" i="27"/>
  <c r="C74" i="27"/>
  <c r="D73" i="27"/>
  <c r="C73" i="27"/>
  <c r="I72" i="27"/>
  <c r="D72" i="27"/>
  <c r="C72" i="27"/>
  <c r="D71" i="27"/>
  <c r="C71" i="27"/>
  <c r="H70" i="27"/>
  <c r="D70" i="27"/>
  <c r="C70" i="27"/>
  <c r="D69" i="27"/>
  <c r="C69" i="27"/>
  <c r="I68" i="27"/>
  <c r="D68" i="27"/>
  <c r="C68" i="27"/>
  <c r="D67" i="27"/>
  <c r="C67" i="27"/>
  <c r="H66" i="27"/>
  <c r="D66" i="27"/>
  <c r="C66" i="27"/>
  <c r="H65" i="27"/>
  <c r="D65" i="27"/>
  <c r="C65" i="27"/>
  <c r="I64" i="27"/>
  <c r="D64" i="27"/>
  <c r="C64" i="27"/>
  <c r="D63" i="27"/>
  <c r="C63" i="27"/>
  <c r="H62" i="27"/>
  <c r="D62" i="27"/>
  <c r="C62" i="27"/>
  <c r="H61" i="27"/>
  <c r="D61" i="27"/>
  <c r="C61" i="27"/>
  <c r="I60" i="27"/>
  <c r="D60" i="27"/>
  <c r="C60" i="27"/>
  <c r="F12" i="27" s="1"/>
  <c r="H54" i="27"/>
  <c r="F54" i="27"/>
  <c r="H53" i="27"/>
  <c r="F53" i="27"/>
  <c r="H52" i="27"/>
  <c r="F52" i="27"/>
  <c r="H51" i="27"/>
  <c r="F51" i="27"/>
  <c r="H50" i="27"/>
  <c r="F50" i="27"/>
  <c r="H49" i="27"/>
  <c r="F49" i="27"/>
  <c r="H48" i="27"/>
  <c r="F48" i="27"/>
  <c r="H47" i="27"/>
  <c r="F47" i="27"/>
  <c r="H46" i="27"/>
  <c r="F46" i="27"/>
  <c r="H45" i="27"/>
  <c r="F45" i="27"/>
  <c r="H44" i="27"/>
  <c r="F44" i="27"/>
  <c r="H43" i="27"/>
  <c r="F43" i="27"/>
  <c r="H42" i="27"/>
  <c r="F42" i="27"/>
  <c r="H41" i="27"/>
  <c r="F41" i="27"/>
  <c r="H40" i="27"/>
  <c r="F40" i="27"/>
  <c r="H39" i="27"/>
  <c r="F39" i="27"/>
  <c r="H38" i="27"/>
  <c r="F38" i="27"/>
  <c r="H37" i="27"/>
  <c r="F37" i="27"/>
  <c r="H36" i="27"/>
  <c r="F36" i="27"/>
  <c r="H35" i="27"/>
  <c r="F35" i="27"/>
  <c r="H34" i="27"/>
  <c r="F34" i="27"/>
  <c r="H33" i="27"/>
  <c r="F33" i="27"/>
  <c r="H32" i="27"/>
  <c r="F32" i="27"/>
  <c r="H31" i="27"/>
  <c r="F31" i="27"/>
  <c r="H30" i="27"/>
  <c r="F30" i="27"/>
  <c r="H29" i="27"/>
  <c r="F29" i="27"/>
  <c r="H28" i="27"/>
  <c r="F28" i="27"/>
  <c r="H27" i="27"/>
  <c r="F27" i="27"/>
  <c r="H26" i="27"/>
  <c r="F26" i="27"/>
  <c r="H25" i="27"/>
  <c r="F25" i="27"/>
  <c r="H24" i="27"/>
  <c r="F24" i="27"/>
  <c r="H23" i="27"/>
  <c r="F23" i="27"/>
  <c r="H22" i="27"/>
  <c r="F22" i="27"/>
  <c r="H21" i="27"/>
  <c r="F21" i="27"/>
  <c r="H20" i="27"/>
  <c r="F20" i="27"/>
  <c r="F8" i="27" s="1"/>
  <c r="H19" i="27"/>
  <c r="F19" i="27"/>
  <c r="G12" i="27"/>
  <c r="G10" i="27"/>
  <c r="F10" i="27"/>
  <c r="G8" i="27"/>
  <c r="Q23" i="12" l="1"/>
  <c r="G81" i="27"/>
  <c r="F60" i="27"/>
  <c r="F80" i="27"/>
  <c r="F72" i="27"/>
  <c r="H76" i="27"/>
  <c r="H60" i="27"/>
  <c r="G73" i="27"/>
  <c r="G72" i="27"/>
  <c r="G59" i="27"/>
  <c r="G60" i="27"/>
  <c r="G61" i="27"/>
  <c r="H64" i="27"/>
  <c r="F76" i="27"/>
  <c r="G76" i="27"/>
  <c r="G77" i="27"/>
  <c r="H80" i="27"/>
  <c r="H81" i="27"/>
  <c r="F68" i="27"/>
  <c r="G68" i="27"/>
  <c r="G69" i="27"/>
  <c r="H72" i="27"/>
  <c r="H73" i="27"/>
  <c r="F59" i="27"/>
  <c r="F64" i="27"/>
  <c r="G64" i="27"/>
  <c r="G65" i="27"/>
  <c r="H68" i="27"/>
  <c r="H69" i="27"/>
  <c r="G80" i="27"/>
  <c r="L59" i="27"/>
  <c r="F63" i="27"/>
  <c r="I66" i="27"/>
  <c r="I70" i="27"/>
  <c r="F75" i="27"/>
  <c r="F79" i="27"/>
  <c r="I61" i="27"/>
  <c r="F62" i="27"/>
  <c r="G63" i="27"/>
  <c r="I65" i="27"/>
  <c r="F66" i="27"/>
  <c r="G67" i="27"/>
  <c r="I69" i="27"/>
  <c r="F70" i="27"/>
  <c r="G71" i="27"/>
  <c r="I73" i="27"/>
  <c r="F74" i="27"/>
  <c r="G75" i="27"/>
  <c r="I77" i="27"/>
  <c r="F78" i="27"/>
  <c r="G79" i="27"/>
  <c r="I81" i="27"/>
  <c r="F82" i="27"/>
  <c r="G83" i="27"/>
  <c r="G13" i="27"/>
  <c r="H59" i="27"/>
  <c r="F61" i="27"/>
  <c r="G62" i="27"/>
  <c r="H63" i="27"/>
  <c r="F65" i="27"/>
  <c r="G66" i="27"/>
  <c r="H67" i="27"/>
  <c r="F69" i="27"/>
  <c r="G70" i="27"/>
  <c r="H71" i="27"/>
  <c r="F73" i="27"/>
  <c r="G74" i="27"/>
  <c r="H75" i="27"/>
  <c r="F77" i="27"/>
  <c r="G78" i="27"/>
  <c r="H79" i="27"/>
  <c r="F81" i="27"/>
  <c r="G82" i="27"/>
  <c r="H83" i="27"/>
  <c r="I62" i="27"/>
  <c r="F67" i="27"/>
  <c r="F71" i="27"/>
  <c r="I74" i="27"/>
  <c r="I78" i="27"/>
  <c r="I82" i="27"/>
  <c r="F83" i="27"/>
  <c r="I59" i="27"/>
  <c r="I63" i="27"/>
  <c r="I67" i="27"/>
  <c r="I71" i="27"/>
  <c r="I75" i="27"/>
  <c r="I79" i="27"/>
  <c r="F13" i="27" l="1"/>
  <c r="B49" i="8" l="1"/>
  <c r="B50" i="8"/>
  <c r="B51" i="8"/>
  <c r="B52" i="8"/>
  <c r="B53" i="8"/>
  <c r="B54" i="8"/>
  <c r="B55" i="8"/>
  <c r="B56" i="8"/>
  <c r="B57" i="8"/>
  <c r="B48" i="8"/>
  <c r="N230" i="26" l="1"/>
  <c r="N228" i="26"/>
  <c r="N226" i="26"/>
  <c r="N224" i="26"/>
  <c r="N222" i="26"/>
  <c r="L14" i="17"/>
  <c r="H14" i="17"/>
  <c r="J14" i="17"/>
  <c r="I14" i="17"/>
  <c r="E14" i="17"/>
  <c r="A197" i="26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186" i="26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N15" i="26"/>
  <c r="N14" i="26"/>
  <c r="N13" i="26"/>
  <c r="N12" i="26"/>
  <c r="N11" i="26"/>
  <c r="N21" i="26" l="1"/>
  <c r="N23" i="26"/>
  <c r="N25" i="26"/>
  <c r="N27" i="26"/>
  <c r="N29" i="26"/>
  <c r="N16" i="26"/>
  <c r="N18" i="26"/>
  <c r="N20" i="26"/>
  <c r="N33" i="26"/>
  <c r="N30" i="26"/>
  <c r="N34" i="26"/>
  <c r="N38" i="26"/>
  <c r="N39" i="26"/>
  <c r="N182" i="26"/>
  <c r="N186" i="26"/>
  <c r="N188" i="26"/>
  <c r="N198" i="26"/>
  <c r="N200" i="26"/>
  <c r="N202" i="26"/>
  <c r="N204" i="26"/>
  <c r="N206" i="26"/>
  <c r="N208" i="26"/>
  <c r="N210" i="26"/>
  <c r="N214" i="26"/>
  <c r="N215" i="26"/>
  <c r="N218" i="26"/>
  <c r="M14" i="17"/>
  <c r="N28" i="26"/>
  <c r="N241" i="26"/>
  <c r="N70" i="26"/>
  <c r="N74" i="26"/>
  <c r="N76" i="26"/>
  <c r="N77" i="26"/>
  <c r="N78" i="26"/>
  <c r="N81" i="26"/>
  <c r="N82" i="26"/>
  <c r="N89" i="26"/>
  <c r="N99" i="26"/>
  <c r="N104" i="26"/>
  <c r="N106" i="26"/>
  <c r="N107" i="26"/>
  <c r="N110" i="26"/>
  <c r="N111" i="26"/>
  <c r="N113" i="26"/>
  <c r="N114" i="26"/>
  <c r="N115" i="26"/>
  <c r="N118" i="26"/>
  <c r="N120" i="26"/>
  <c r="N121" i="26"/>
  <c r="N122" i="26"/>
  <c r="N125" i="26"/>
  <c r="N126" i="26"/>
  <c r="N128" i="26"/>
  <c r="N129" i="26"/>
  <c r="N130" i="26"/>
  <c r="N132" i="26"/>
  <c r="N133" i="26"/>
  <c r="N135" i="26"/>
  <c r="N136" i="26"/>
  <c r="N137" i="26"/>
  <c r="N140" i="26"/>
  <c r="N141" i="26"/>
  <c r="N143" i="26"/>
  <c r="N144" i="26"/>
  <c r="N147" i="26"/>
  <c r="N148" i="26"/>
  <c r="N150" i="26"/>
  <c r="N151" i="26"/>
  <c r="N152" i="26"/>
  <c r="N155" i="26"/>
  <c r="N157" i="26"/>
  <c r="N158" i="26"/>
  <c r="N159" i="26"/>
  <c r="N169" i="26"/>
  <c r="N177" i="26"/>
  <c r="N24" i="26"/>
  <c r="N172" i="26"/>
  <c r="N233" i="26"/>
  <c r="N237" i="26"/>
  <c r="N73" i="26"/>
  <c r="N19" i="26"/>
  <c r="N35" i="26"/>
  <c r="N83" i="26"/>
  <c r="N85" i="26"/>
  <c r="N173" i="26"/>
  <c r="N190" i="26"/>
  <c r="G14" i="17"/>
  <c r="N22" i="26"/>
  <c r="N32" i="26"/>
  <c r="N91" i="26"/>
  <c r="N92" i="26"/>
  <c r="N93" i="26"/>
  <c r="N95" i="26"/>
  <c r="N96" i="26"/>
  <c r="N98" i="26"/>
  <c r="N167" i="26"/>
  <c r="N180" i="26"/>
  <c r="N187" i="26"/>
  <c r="N189" i="26"/>
  <c r="N197" i="26"/>
  <c r="N37" i="26"/>
  <c r="N84" i="26"/>
  <c r="N88" i="26"/>
  <c r="N161" i="26"/>
  <c r="N165" i="26"/>
  <c r="N193" i="26"/>
  <c r="K14" i="17"/>
  <c r="N17" i="26"/>
  <c r="N26" i="26"/>
  <c r="N31" i="26"/>
  <c r="N40" i="26"/>
  <c r="N41" i="26"/>
  <c r="N44" i="26"/>
  <c r="N45" i="26"/>
  <c r="N47" i="26"/>
  <c r="N48" i="26"/>
  <c r="N51" i="26"/>
  <c r="N52" i="26"/>
  <c r="N54" i="26"/>
  <c r="N55" i="26"/>
  <c r="N56" i="26"/>
  <c r="N59" i="26"/>
  <c r="N61" i="26"/>
  <c r="N62" i="26"/>
  <c r="N63" i="26"/>
  <c r="N66" i="26"/>
  <c r="N67" i="26"/>
  <c r="N69" i="26"/>
  <c r="N100" i="26"/>
  <c r="N103" i="26"/>
  <c r="N163" i="26"/>
  <c r="N164" i="26"/>
  <c r="N171" i="26"/>
  <c r="N175" i="26"/>
  <c r="N183" i="26"/>
  <c r="N191" i="26"/>
  <c r="N192" i="26"/>
  <c r="N194" i="26"/>
  <c r="N196" i="26"/>
  <c r="N209" i="26"/>
  <c r="D14" i="17"/>
  <c r="N234" i="26"/>
  <c r="N238" i="26"/>
  <c r="N242" i="26"/>
  <c r="N212" i="26"/>
  <c r="N220" i="26"/>
  <c r="N236" i="26"/>
  <c r="N240" i="26"/>
  <c r="N201" i="26"/>
  <c r="N205" i="26"/>
  <c r="N207" i="26"/>
  <c r="N213" i="26"/>
  <c r="N217" i="26"/>
  <c r="N221" i="26"/>
  <c r="N223" i="26"/>
  <c r="N225" i="26"/>
  <c r="N227" i="26"/>
  <c r="N229" i="26"/>
  <c r="N231" i="26"/>
  <c r="N235" i="26"/>
  <c r="N239" i="26"/>
  <c r="N243" i="26"/>
  <c r="C14" i="17"/>
  <c r="N232" i="26"/>
  <c r="N53" i="26"/>
  <c r="N75" i="26"/>
  <c r="N112" i="26"/>
  <c r="N119" i="26"/>
  <c r="N127" i="26"/>
  <c r="N134" i="26"/>
  <c r="N142" i="26"/>
  <c r="N162" i="26"/>
  <c r="N170" i="26"/>
  <c r="N178" i="26"/>
  <c r="N244" i="26"/>
  <c r="N36" i="26"/>
  <c r="N42" i="26"/>
  <c r="N43" i="26"/>
  <c r="N49" i="26"/>
  <c r="N50" i="26"/>
  <c r="N57" i="26"/>
  <c r="N58" i="26"/>
  <c r="N64" i="26"/>
  <c r="N65" i="26"/>
  <c r="N71" i="26"/>
  <c r="N72" i="26"/>
  <c r="N79" i="26"/>
  <c r="N80" i="26"/>
  <c r="N86" i="26"/>
  <c r="N87" i="26"/>
  <c r="N94" i="26"/>
  <c r="N101" i="26"/>
  <c r="N102" i="26"/>
  <c r="N108" i="26"/>
  <c r="N109" i="26"/>
  <c r="N116" i="26"/>
  <c r="N117" i="26"/>
  <c r="N123" i="26"/>
  <c r="N124" i="26"/>
  <c r="N131" i="26"/>
  <c r="N138" i="26"/>
  <c r="N139" i="26"/>
  <c r="N145" i="26"/>
  <c r="N146" i="26"/>
  <c r="N153" i="26"/>
  <c r="N154" i="26"/>
  <c r="N160" i="26"/>
  <c r="N166" i="26"/>
  <c r="N174" i="26"/>
  <c r="N179" i="26"/>
  <c r="N185" i="26"/>
  <c r="N195" i="26"/>
  <c r="N199" i="26"/>
  <c r="N203" i="26"/>
  <c r="A209" i="26"/>
  <c r="N46" i="26"/>
  <c r="N60" i="26"/>
  <c r="N68" i="26"/>
  <c r="N90" i="26"/>
  <c r="N97" i="26"/>
  <c r="N105" i="26"/>
  <c r="N149" i="26"/>
  <c r="N156" i="26"/>
  <c r="N184" i="26"/>
  <c r="N168" i="26"/>
  <c r="N176" i="26"/>
  <c r="N181" i="26"/>
  <c r="N211" i="26"/>
  <c r="N216" i="26"/>
  <c r="N219" i="26"/>
  <c r="Q178" i="26" l="1"/>
  <c r="Q94" i="26"/>
  <c r="Q46" i="26"/>
  <c r="Q34" i="26"/>
  <c r="Q22" i="26"/>
  <c r="Q106" i="26"/>
  <c r="P14" i="17"/>
  <c r="Q166" i="26"/>
  <c r="Q154" i="26"/>
  <c r="Q70" i="26"/>
  <c r="Q58" i="26"/>
  <c r="Q118" i="26"/>
  <c r="N14" i="17"/>
  <c r="A210" i="26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Q82" i="26"/>
  <c r="Q142" i="26"/>
  <c r="Q130" i="26"/>
  <c r="R191" i="26" l="1"/>
  <c r="Q14" i="17"/>
  <c r="K18" i="25"/>
  <c r="K17" i="25"/>
  <c r="K16" i="25"/>
  <c r="K15" i="25"/>
  <c r="K14" i="25"/>
  <c r="K13" i="25"/>
  <c r="K12" i="25"/>
  <c r="K11" i="25"/>
  <c r="K10" i="25"/>
  <c r="K9" i="25"/>
  <c r="K8" i="25"/>
  <c r="B31" i="25" l="1"/>
  <c r="F12" i="25"/>
  <c r="E9" i="25"/>
  <c r="F8" i="25"/>
  <c r="F9" i="25"/>
  <c r="E10" i="25"/>
  <c r="F13" i="25"/>
  <c r="E14" i="25"/>
  <c r="E17" i="25"/>
  <c r="E18" i="25"/>
  <c r="E13" i="25"/>
  <c r="F16" i="25"/>
  <c r="F17" i="25"/>
  <c r="B21" i="25"/>
  <c r="E16" i="7" s="1"/>
  <c r="C21" i="25"/>
  <c r="B32" i="25"/>
  <c r="E7" i="25"/>
  <c r="F10" i="25"/>
  <c r="E11" i="25"/>
  <c r="F14" i="25"/>
  <c r="E15" i="25"/>
  <c r="F18" i="25"/>
  <c r="F7" i="25"/>
  <c r="E8" i="25"/>
  <c r="F11" i="25"/>
  <c r="E12" i="25"/>
  <c r="F15" i="25"/>
  <c r="E16" i="25"/>
  <c r="K7" i="25"/>
  <c r="B33" i="25" l="1"/>
  <c r="F21" i="25"/>
  <c r="E21" i="25"/>
  <c r="B33" i="17" l="1"/>
  <c r="R14" i="17"/>
  <c r="D42" i="17"/>
  <c r="F42" i="17"/>
  <c r="D43" i="17"/>
  <c r="F43" i="17"/>
  <c r="D44" i="17"/>
  <c r="E44" i="17"/>
  <c r="F44" i="17"/>
  <c r="G44" i="17"/>
  <c r="H44" i="17"/>
  <c r="I44" i="17"/>
  <c r="J44" i="17"/>
  <c r="K44" i="17"/>
  <c r="L44" i="17"/>
  <c r="M44" i="17"/>
  <c r="D46" i="17"/>
  <c r="F46" i="17"/>
  <c r="C21" i="17" l="1"/>
  <c r="J45" i="17"/>
  <c r="M45" i="17"/>
  <c r="I45" i="17"/>
  <c r="E45" i="17"/>
  <c r="F45" i="17"/>
  <c r="C40" i="17"/>
  <c r="C26" i="17"/>
  <c r="C27" i="17"/>
  <c r="C41" i="17"/>
  <c r="Q13" i="17"/>
  <c r="R13" i="17" s="1"/>
  <c r="M46" i="17"/>
  <c r="M32" i="17"/>
  <c r="L29" i="17"/>
  <c r="L43" i="17"/>
  <c r="H29" i="17"/>
  <c r="H43" i="17"/>
  <c r="L42" i="17"/>
  <c r="L28" i="17"/>
  <c r="H42" i="17"/>
  <c r="H28" i="17"/>
  <c r="I40" i="17"/>
  <c r="I26" i="17"/>
  <c r="I41" i="17"/>
  <c r="I27" i="17"/>
  <c r="M39" i="17"/>
  <c r="M25" i="17"/>
  <c r="E39" i="17"/>
  <c r="E25" i="17"/>
  <c r="I38" i="17"/>
  <c r="I24" i="17"/>
  <c r="M37" i="17"/>
  <c r="M23" i="17"/>
  <c r="E37" i="17"/>
  <c r="E23" i="17"/>
  <c r="I36" i="17"/>
  <c r="I22" i="17"/>
  <c r="M35" i="17"/>
  <c r="M21" i="17"/>
  <c r="E35" i="17"/>
  <c r="E21" i="17"/>
  <c r="C30" i="17"/>
  <c r="C44" i="17"/>
  <c r="C35" i="17"/>
  <c r="Q8" i="17"/>
  <c r="R8" i="17" s="1"/>
  <c r="H45" i="17"/>
  <c r="G29" i="17"/>
  <c r="G43" i="17"/>
  <c r="K28" i="17"/>
  <c r="K42" i="17"/>
  <c r="G42" i="17"/>
  <c r="G28" i="17"/>
  <c r="L40" i="17"/>
  <c r="L26" i="17"/>
  <c r="L41" i="17"/>
  <c r="L27" i="17"/>
  <c r="H38" i="17"/>
  <c r="H24" i="17"/>
  <c r="Q7" i="17"/>
  <c r="R7" i="17" s="1"/>
  <c r="C43" i="17"/>
  <c r="C29" i="17"/>
  <c r="Q16" i="17"/>
  <c r="R16" i="17" s="1"/>
  <c r="C38" i="17"/>
  <c r="C24" i="17"/>
  <c r="Q11" i="17"/>
  <c r="R11" i="17" s="1"/>
  <c r="K46" i="17"/>
  <c r="K32" i="17"/>
  <c r="G32" i="17"/>
  <c r="G46" i="17"/>
  <c r="K45" i="17"/>
  <c r="G45" i="17"/>
  <c r="N44" i="17"/>
  <c r="N30" i="17"/>
  <c r="N43" i="17"/>
  <c r="N29" i="17"/>
  <c r="O29" i="17"/>
  <c r="J43" i="17"/>
  <c r="J29" i="17"/>
  <c r="N28" i="17"/>
  <c r="N42" i="17"/>
  <c r="J42" i="17"/>
  <c r="J28" i="17"/>
  <c r="K40" i="17"/>
  <c r="K26" i="17"/>
  <c r="K41" i="17"/>
  <c r="K27" i="17"/>
  <c r="G40" i="17"/>
  <c r="G26" i="17"/>
  <c r="G41" i="17"/>
  <c r="G27" i="17"/>
  <c r="K39" i="17"/>
  <c r="K25" i="17"/>
  <c r="G39" i="17"/>
  <c r="G25" i="17"/>
  <c r="K38" i="17"/>
  <c r="K24" i="17"/>
  <c r="G38" i="17"/>
  <c r="G24" i="17"/>
  <c r="K37" i="17"/>
  <c r="K23" i="17"/>
  <c r="G37" i="17"/>
  <c r="G23" i="17"/>
  <c r="K36" i="17"/>
  <c r="K22" i="17"/>
  <c r="G36" i="17"/>
  <c r="G22" i="17"/>
  <c r="K35" i="17"/>
  <c r="K21" i="17"/>
  <c r="G35" i="17"/>
  <c r="G21" i="17"/>
  <c r="C45" i="17"/>
  <c r="C31" i="17"/>
  <c r="Q18" i="17"/>
  <c r="R18" i="17" s="1"/>
  <c r="C36" i="17"/>
  <c r="C22" i="17"/>
  <c r="Q9" i="17"/>
  <c r="R9" i="17" s="1"/>
  <c r="I46" i="17"/>
  <c r="I32" i="17"/>
  <c r="E46" i="17"/>
  <c r="E32" i="17"/>
  <c r="M40" i="17"/>
  <c r="M26" i="17"/>
  <c r="M41" i="17"/>
  <c r="M27" i="17"/>
  <c r="E40" i="17"/>
  <c r="E26" i="17"/>
  <c r="E41" i="17"/>
  <c r="E27" i="17"/>
  <c r="I39" i="17"/>
  <c r="I25" i="17"/>
  <c r="M38" i="17"/>
  <c r="M24" i="17"/>
  <c r="E38" i="17"/>
  <c r="E24" i="17"/>
  <c r="I37" i="17"/>
  <c r="I23" i="17"/>
  <c r="M36" i="17"/>
  <c r="M22" i="17"/>
  <c r="E36" i="17"/>
  <c r="E22" i="17"/>
  <c r="I35" i="17"/>
  <c r="I21" i="17"/>
  <c r="C39" i="17"/>
  <c r="C25" i="17"/>
  <c r="Q12" i="17"/>
  <c r="R12" i="17" s="1"/>
  <c r="L46" i="17"/>
  <c r="L32" i="17"/>
  <c r="H46" i="17"/>
  <c r="H32" i="17"/>
  <c r="L45" i="17"/>
  <c r="D45" i="17"/>
  <c r="K29" i="17"/>
  <c r="K43" i="17"/>
  <c r="H40" i="17"/>
  <c r="H26" i="17"/>
  <c r="H41" i="17"/>
  <c r="H27" i="17"/>
  <c r="D40" i="17"/>
  <c r="D26" i="17"/>
  <c r="D41" i="17"/>
  <c r="L39" i="17"/>
  <c r="L25" i="17"/>
  <c r="H39" i="17"/>
  <c r="H25" i="17"/>
  <c r="D39" i="17"/>
  <c r="D25" i="17"/>
  <c r="L38" i="17"/>
  <c r="L24" i="17"/>
  <c r="D38" i="17"/>
  <c r="D24" i="17"/>
  <c r="L37" i="17"/>
  <c r="L23" i="17"/>
  <c r="H37" i="17"/>
  <c r="H23" i="17"/>
  <c r="D37" i="17"/>
  <c r="D23" i="17"/>
  <c r="L36" i="17"/>
  <c r="L22" i="17"/>
  <c r="H36" i="17"/>
  <c r="H22" i="17"/>
  <c r="D36" i="17"/>
  <c r="D22" i="17"/>
  <c r="L35" i="17"/>
  <c r="L21" i="17"/>
  <c r="H35" i="17"/>
  <c r="H21" i="17"/>
  <c r="D35" i="17"/>
  <c r="D21" i="17"/>
  <c r="C32" i="17"/>
  <c r="C46" i="17"/>
  <c r="Q19" i="17"/>
  <c r="R19" i="17" s="1"/>
  <c r="C42" i="17"/>
  <c r="C28" i="17"/>
  <c r="Q15" i="17"/>
  <c r="R15" i="17" s="1"/>
  <c r="C23" i="17"/>
  <c r="C37" i="17"/>
  <c r="Q10" i="17"/>
  <c r="R10" i="17" s="1"/>
  <c r="N46" i="17"/>
  <c r="N32" i="17"/>
  <c r="J32" i="17"/>
  <c r="J46" i="17"/>
  <c r="N31" i="17"/>
  <c r="N45" i="17"/>
  <c r="M43" i="17"/>
  <c r="M29" i="17"/>
  <c r="I43" i="17"/>
  <c r="I29" i="17"/>
  <c r="E43" i="17"/>
  <c r="E29" i="17"/>
  <c r="M42" i="17"/>
  <c r="M28" i="17"/>
  <c r="I42" i="17"/>
  <c r="I28" i="17"/>
  <c r="E42" i="17"/>
  <c r="E28" i="17"/>
  <c r="N40" i="17"/>
  <c r="N26" i="17"/>
  <c r="N41" i="17"/>
  <c r="N27" i="17"/>
  <c r="J40" i="17"/>
  <c r="J26" i="17"/>
  <c r="J41" i="17"/>
  <c r="J27" i="17"/>
  <c r="F40" i="17"/>
  <c r="F26" i="17"/>
  <c r="F41" i="17"/>
  <c r="N39" i="17"/>
  <c r="N25" i="17"/>
  <c r="J39" i="17"/>
  <c r="J25" i="17"/>
  <c r="F39" i="17"/>
  <c r="F25" i="17"/>
  <c r="N38" i="17"/>
  <c r="N24" i="17"/>
  <c r="J38" i="17"/>
  <c r="J24" i="17"/>
  <c r="F38" i="17"/>
  <c r="F24" i="17"/>
  <c r="N37" i="17"/>
  <c r="N23" i="17"/>
  <c r="J37" i="17"/>
  <c r="J23" i="17"/>
  <c r="F37" i="17"/>
  <c r="F23" i="17"/>
  <c r="N36" i="17"/>
  <c r="N22" i="17"/>
  <c r="J36" i="17"/>
  <c r="J22" i="17"/>
  <c r="F36" i="17"/>
  <c r="F22" i="17"/>
  <c r="N35" i="17"/>
  <c r="N21" i="17"/>
  <c r="J35" i="17"/>
  <c r="J21" i="17"/>
  <c r="F35" i="17"/>
  <c r="F21" i="17"/>
  <c r="K30" i="17"/>
  <c r="K31" i="17"/>
  <c r="J31" i="17"/>
  <c r="J30" i="17"/>
  <c r="L30" i="17"/>
  <c r="L31" i="17"/>
  <c r="H30" i="17"/>
  <c r="H31" i="17"/>
  <c r="G30" i="17"/>
  <c r="G31" i="17"/>
  <c r="M30" i="17"/>
  <c r="M31" i="17"/>
  <c r="I30" i="17"/>
  <c r="I31" i="17"/>
  <c r="E31" i="17"/>
  <c r="E30" i="17"/>
  <c r="Q17" i="17"/>
  <c r="R17" i="17" l="1"/>
  <c r="B8" i="17" l="1"/>
  <c r="W19" i="24"/>
  <c r="AD71" i="24"/>
  <c r="AC71" i="24"/>
  <c r="X61" i="24"/>
  <c r="X62" i="24" s="1"/>
  <c r="X63" i="24" s="1"/>
  <c r="X64" i="24" s="1"/>
  <c r="X65" i="24" s="1"/>
  <c r="X66" i="24" s="1"/>
  <c r="X67" i="24" s="1"/>
  <c r="X68" i="24" s="1"/>
  <c r="X69" i="24" s="1"/>
  <c r="X70" i="24" s="1"/>
  <c r="X71" i="24" s="1"/>
  <c r="L61" i="24"/>
  <c r="L62" i="24" s="1"/>
  <c r="L63" i="24" s="1"/>
  <c r="L64" i="24" s="1"/>
  <c r="L65" i="24" s="1"/>
  <c r="L66" i="24" s="1"/>
  <c r="L67" i="24" s="1"/>
  <c r="L68" i="24" s="1"/>
  <c r="L69" i="24" s="1"/>
  <c r="L70" i="24" s="1"/>
  <c r="L71" i="24" s="1"/>
  <c r="R73" i="24"/>
  <c r="O73" i="24"/>
  <c r="AB52" i="24"/>
  <c r="AB51" i="24"/>
  <c r="Z50" i="24"/>
  <c r="AB49" i="24"/>
  <c r="Z48" i="24"/>
  <c r="AB47" i="24"/>
  <c r="Z46" i="24"/>
  <c r="AB45" i="24"/>
  <c r="L44" i="24"/>
  <c r="L45" i="24" s="1"/>
  <c r="L46" i="24" s="1"/>
  <c r="L47" i="24" s="1"/>
  <c r="L48" i="24" s="1"/>
  <c r="L49" i="24" s="1"/>
  <c r="L50" i="24" s="1"/>
  <c r="L51" i="24" s="1"/>
  <c r="L52" i="24" s="1"/>
  <c r="L53" i="24" s="1"/>
  <c r="Z44" i="24"/>
  <c r="X43" i="24"/>
  <c r="X44" i="24" s="1"/>
  <c r="X45" i="24" s="1"/>
  <c r="X46" i="24" s="1"/>
  <c r="X47" i="24" s="1"/>
  <c r="X48" i="24" s="1"/>
  <c r="X49" i="24" s="1"/>
  <c r="X50" i="24" s="1"/>
  <c r="X51" i="24" s="1"/>
  <c r="X52" i="24" s="1"/>
  <c r="X53" i="24" s="1"/>
  <c r="L43" i="24"/>
  <c r="Z43" i="24"/>
  <c r="AB34" i="24"/>
  <c r="AB33" i="24"/>
  <c r="AB32" i="24"/>
  <c r="AB31" i="24"/>
  <c r="AB30" i="24"/>
  <c r="AB29" i="24"/>
  <c r="AB28" i="24"/>
  <c r="AB27" i="24"/>
  <c r="AB26" i="24"/>
  <c r="X25" i="24"/>
  <c r="X26" i="24" s="1"/>
  <c r="X27" i="24" s="1"/>
  <c r="X28" i="24" s="1"/>
  <c r="X29" i="24" s="1"/>
  <c r="X30" i="24" s="1"/>
  <c r="X31" i="24" s="1"/>
  <c r="X32" i="24" s="1"/>
  <c r="X33" i="24" s="1"/>
  <c r="X34" i="24" s="1"/>
  <c r="X35" i="24" s="1"/>
  <c r="L25" i="24"/>
  <c r="L26" i="24" s="1"/>
  <c r="L27" i="24" s="1"/>
  <c r="L28" i="24" s="1"/>
  <c r="L29" i="24" s="1"/>
  <c r="L30" i="24" s="1"/>
  <c r="L31" i="24" s="1"/>
  <c r="L32" i="24" s="1"/>
  <c r="L33" i="24" s="1"/>
  <c r="L34" i="24" s="1"/>
  <c r="L35" i="24" s="1"/>
  <c r="AF23" i="24"/>
  <c r="AF41" i="24" s="1"/>
  <c r="AF59" i="24" s="1"/>
  <c r="AE23" i="24"/>
  <c r="AE41" i="24" s="1"/>
  <c r="AE59" i="24" s="1"/>
  <c r="U23" i="24"/>
  <c r="U41" i="24" s="1"/>
  <c r="U59" i="24" s="1"/>
  <c r="T23" i="24"/>
  <c r="T41" i="24" s="1"/>
  <c r="T59" i="24" s="1"/>
  <c r="P22" i="24"/>
  <c r="O22" i="24"/>
  <c r="N22" i="24"/>
  <c r="M22" i="24"/>
  <c r="M40" i="24" s="1"/>
  <c r="B22" i="24"/>
  <c r="B40" i="24" s="1"/>
  <c r="B58" i="24" s="1"/>
  <c r="AA13" i="24"/>
  <c r="X7" i="24"/>
  <c r="X8" i="24" s="1"/>
  <c r="X9" i="24" s="1"/>
  <c r="X10" i="24" s="1"/>
  <c r="X11" i="24" s="1"/>
  <c r="X12" i="24" s="1"/>
  <c r="X13" i="24" s="1"/>
  <c r="X14" i="24" s="1"/>
  <c r="X15" i="24" s="1"/>
  <c r="X16" i="24" s="1"/>
  <c r="X17" i="24" s="1"/>
  <c r="L7" i="24"/>
  <c r="L8" i="24" s="1"/>
  <c r="L9" i="24" s="1"/>
  <c r="L10" i="24" s="1"/>
  <c r="L11" i="24" s="1"/>
  <c r="L12" i="24" s="1"/>
  <c r="L13" i="24" s="1"/>
  <c r="L14" i="24" s="1"/>
  <c r="L15" i="24" s="1"/>
  <c r="L16" i="24" s="1"/>
  <c r="L17" i="24" s="1"/>
  <c r="B35" i="17" l="1"/>
  <c r="B21" i="17"/>
  <c r="B9" i="17"/>
  <c r="F73" i="24"/>
  <c r="J73" i="24"/>
  <c r="AA17" i="24"/>
  <c r="AD17" i="24"/>
  <c r="AB43" i="24"/>
  <c r="Z52" i="24"/>
  <c r="AA65" i="24"/>
  <c r="AD65" i="24"/>
  <c r="Y68" i="24"/>
  <c r="T55" i="24"/>
  <c r="H73" i="24"/>
  <c r="AC8" i="24"/>
  <c r="AE8" i="24"/>
  <c r="AB25" i="24"/>
  <c r="AB44" i="24"/>
  <c r="Z61" i="24"/>
  <c r="AC61" i="24"/>
  <c r="AB63" i="24"/>
  <c r="Y70" i="24"/>
  <c r="P55" i="24"/>
  <c r="D73" i="24"/>
  <c r="E73" i="24"/>
  <c r="I73" i="24"/>
  <c r="AA61" i="24"/>
  <c r="AB64" i="24"/>
  <c r="AA6" i="24"/>
  <c r="AC9" i="24"/>
  <c r="AA11" i="24"/>
  <c r="AD11" i="24"/>
  <c r="AA67" i="24"/>
  <c r="AE9" i="24"/>
  <c r="Y10" i="24"/>
  <c r="AF10" i="24"/>
  <c r="AC12" i="24"/>
  <c r="AD13" i="24"/>
  <c r="V65" i="24"/>
  <c r="AD67" i="24"/>
  <c r="P19" i="24"/>
  <c r="T19" i="24"/>
  <c r="Y8" i="24"/>
  <c r="K12" i="24"/>
  <c r="AA62" i="24"/>
  <c r="AD62" i="24"/>
  <c r="AB66" i="24"/>
  <c r="Y9" i="24"/>
  <c r="AF9" i="24"/>
  <c r="AC10" i="24"/>
  <c r="AD12" i="24"/>
  <c r="AE13" i="24"/>
  <c r="AE17" i="24"/>
  <c r="Z42" i="24"/>
  <c r="AA63" i="24"/>
  <c r="AD63" i="24"/>
  <c r="AB65" i="24"/>
  <c r="AD69" i="24"/>
  <c r="U19" i="24"/>
  <c r="Q55" i="24"/>
  <c r="V45" i="24"/>
  <c r="V63" i="24"/>
  <c r="Z67" i="24"/>
  <c r="O19" i="24"/>
  <c r="S19" i="24"/>
  <c r="Y7" i="24"/>
  <c r="AA7" i="24"/>
  <c r="AE10" i="24"/>
  <c r="AD10" i="24"/>
  <c r="AE11" i="24"/>
  <c r="Y12" i="24"/>
  <c r="V17" i="24"/>
  <c r="AF17" i="24"/>
  <c r="V28" i="24"/>
  <c r="O55" i="24"/>
  <c r="S55" i="24"/>
  <c r="V43" i="24"/>
  <c r="S73" i="24"/>
  <c r="Z62" i="24"/>
  <c r="AC62" i="24"/>
  <c r="AB62" i="24"/>
  <c r="Z64" i="24"/>
  <c r="AC64" i="24"/>
  <c r="Z66" i="24"/>
  <c r="AC66" i="24"/>
  <c r="Z68" i="24"/>
  <c r="AC68" i="24"/>
  <c r="AA69" i="24"/>
  <c r="AA70" i="24"/>
  <c r="AD70" i="24"/>
  <c r="V70" i="24"/>
  <c r="AC70" i="24"/>
  <c r="K8" i="24"/>
  <c r="Q19" i="24"/>
  <c r="V32" i="24"/>
  <c r="U55" i="24"/>
  <c r="AC63" i="24"/>
  <c r="AC67" i="24"/>
  <c r="N19" i="24"/>
  <c r="R19" i="24"/>
  <c r="AE7" i="24"/>
  <c r="AC7" i="24"/>
  <c r="AA8" i="24"/>
  <c r="AD8" i="24"/>
  <c r="AF8" i="24"/>
  <c r="E37" i="24"/>
  <c r="P37" i="24"/>
  <c r="T37" i="24"/>
  <c r="Z30" i="24"/>
  <c r="V60" i="24"/>
  <c r="AB60" i="24"/>
  <c r="AD61" i="24"/>
  <c r="Y62" i="24"/>
  <c r="Y64" i="24"/>
  <c r="Y66" i="24"/>
  <c r="AB67" i="24"/>
  <c r="AB68" i="24"/>
  <c r="Z69" i="24"/>
  <c r="AC11" i="24"/>
  <c r="V12" i="24"/>
  <c r="AC17" i="24"/>
  <c r="Q37" i="24"/>
  <c r="V51" i="24"/>
  <c r="V52" i="24"/>
  <c r="AC60" i="24"/>
  <c r="Z65" i="24"/>
  <c r="C19" i="24"/>
  <c r="V6" i="24"/>
  <c r="V14" i="24"/>
  <c r="V15" i="24"/>
  <c r="Z26" i="24"/>
  <c r="V30" i="24"/>
  <c r="V34" i="24"/>
  <c r="V44" i="24"/>
  <c r="V49" i="24"/>
  <c r="Z51" i="24"/>
  <c r="P73" i="24"/>
  <c r="AB73" i="24" s="1"/>
  <c r="T73" i="24"/>
  <c r="AB61" i="24"/>
  <c r="V62" i="24"/>
  <c r="AA64" i="24"/>
  <c r="AD64" i="24"/>
  <c r="V69" i="24"/>
  <c r="AC69" i="24"/>
  <c r="AB70" i="24"/>
  <c r="Z63" i="24"/>
  <c r="V8" i="24"/>
  <c r="V11" i="24"/>
  <c r="V13" i="24"/>
  <c r="M37" i="24"/>
  <c r="U37" i="24"/>
  <c r="V26" i="24"/>
  <c r="Z28" i="24"/>
  <c r="V29" i="24"/>
  <c r="Z32" i="24"/>
  <c r="V33" i="24"/>
  <c r="V46" i="24"/>
  <c r="V61" i="24"/>
  <c r="V73" i="24" s="1"/>
  <c r="AC65" i="24"/>
  <c r="M19" i="24"/>
  <c r="AD7" i="24"/>
  <c r="AA9" i="24"/>
  <c r="AD9" i="24"/>
  <c r="V9" i="24"/>
  <c r="V10" i="24"/>
  <c r="K11" i="24"/>
  <c r="AF11" i="24"/>
  <c r="AF12" i="24"/>
  <c r="AE12" i="24"/>
  <c r="AF13" i="24"/>
  <c r="O37" i="24"/>
  <c r="V25" i="24"/>
  <c r="V27" i="24"/>
  <c r="V31" i="24"/>
  <c r="Z34" i="24"/>
  <c r="V35" i="24"/>
  <c r="AB46" i="24"/>
  <c r="V47" i="24"/>
  <c r="Z49" i="24"/>
  <c r="V53" i="24"/>
  <c r="C73" i="24"/>
  <c r="G73" i="24"/>
  <c r="AC73" i="24" s="1"/>
  <c r="V67" i="24"/>
  <c r="AB69" i="24"/>
  <c r="Z70" i="24"/>
  <c r="N73" i="24"/>
  <c r="K6" i="24"/>
  <c r="S37" i="24"/>
  <c r="V48" i="24"/>
  <c r="C55" i="24"/>
  <c r="AC6" i="24"/>
  <c r="V7" i="24"/>
  <c r="K10" i="24"/>
  <c r="C37" i="24"/>
  <c r="V42" i="24"/>
  <c r="K60" i="24"/>
  <c r="B73" i="24"/>
  <c r="Y60" i="24"/>
  <c r="AA66" i="24"/>
  <c r="AD66" i="24"/>
  <c r="K68" i="24"/>
  <c r="E19" i="24"/>
  <c r="AD6" i="24"/>
  <c r="K7" i="24"/>
  <c r="AG7" i="24" s="1"/>
  <c r="AA10" i="24"/>
  <c r="V16" i="24"/>
  <c r="Z24" i="24"/>
  <c r="Z25" i="24"/>
  <c r="M73" i="24"/>
  <c r="Q73" i="24"/>
  <c r="U73" i="24"/>
  <c r="Y67" i="24"/>
  <c r="K67" i="24"/>
  <c r="Y69" i="24"/>
  <c r="K69" i="24"/>
  <c r="Y11" i="24"/>
  <c r="K66" i="24"/>
  <c r="K9" i="24"/>
  <c r="AA12" i="24"/>
  <c r="Y13" i="24"/>
  <c r="AB24" i="24"/>
  <c r="Y6" i="24"/>
  <c r="Y17" i="24"/>
  <c r="K17" i="24"/>
  <c r="N37" i="24"/>
  <c r="R37" i="24"/>
  <c r="V24" i="24"/>
  <c r="Z27" i="24"/>
  <c r="Z29" i="24"/>
  <c r="Z31" i="24"/>
  <c r="Z33" i="24"/>
  <c r="V68" i="24"/>
  <c r="V71" i="24"/>
  <c r="AG71" i="24" s="1"/>
  <c r="E55" i="24"/>
  <c r="N55" i="24"/>
  <c r="R55" i="24"/>
  <c r="Z45" i="24"/>
  <c r="AB48" i="24"/>
  <c r="V50" i="24"/>
  <c r="AA73" i="24"/>
  <c r="K62" i="24"/>
  <c r="Y63" i="24"/>
  <c r="K63" i="24"/>
  <c r="V64" i="24"/>
  <c r="AA68" i="24"/>
  <c r="AD68" i="24"/>
  <c r="K70" i="24"/>
  <c r="AG70" i="24" s="1"/>
  <c r="Z47" i="24"/>
  <c r="AB50" i="24"/>
  <c r="Y61" i="24"/>
  <c r="K61" i="24"/>
  <c r="K64" i="24"/>
  <c r="Y65" i="24"/>
  <c r="K65" i="24"/>
  <c r="V66" i="24"/>
  <c r="M55" i="24"/>
  <c r="Z60" i="24"/>
  <c r="AD60" i="24"/>
  <c r="AB42" i="24"/>
  <c r="AA60" i="24"/>
  <c r="B10" i="17" l="1"/>
  <c r="B36" i="17"/>
  <c r="B22" i="17"/>
  <c r="AD73" i="24"/>
  <c r="AG65" i="24"/>
  <c r="AG12" i="24"/>
  <c r="AB55" i="24"/>
  <c r="AG62" i="24"/>
  <c r="AG61" i="24"/>
  <c r="AG11" i="24"/>
  <c r="AG63" i="24"/>
  <c r="V55" i="24"/>
  <c r="AG9" i="24"/>
  <c r="Z73" i="24"/>
  <c r="AB37" i="24"/>
  <c r="AG17" i="24"/>
  <c r="AG10" i="24"/>
  <c r="AG8" i="24"/>
  <c r="V37" i="24"/>
  <c r="Z55" i="24"/>
  <c r="AG67" i="24"/>
  <c r="AG69" i="24"/>
  <c r="AG68" i="24"/>
  <c r="Y73" i="24"/>
  <c r="V19" i="24"/>
  <c r="AG60" i="24"/>
  <c r="K73" i="24"/>
  <c r="AG73" i="24" s="1"/>
  <c r="AG66" i="24"/>
  <c r="Z37" i="24"/>
  <c r="AG64" i="24"/>
  <c r="AG6" i="24"/>
  <c r="AF16" i="24"/>
  <c r="AE16" i="24"/>
  <c r="AD16" i="24"/>
  <c r="AC16" i="24"/>
  <c r="AA16" i="24"/>
  <c r="B11" i="17" l="1"/>
  <c r="B37" i="17"/>
  <c r="B23" i="17"/>
  <c r="Y16" i="24"/>
  <c r="K16" i="24"/>
  <c r="AG16" i="24" s="1"/>
  <c r="B12" i="17" l="1"/>
  <c r="B38" i="17"/>
  <c r="B24" i="17"/>
  <c r="AF15" i="24"/>
  <c r="AE15" i="24"/>
  <c r="AD15" i="24"/>
  <c r="AC15" i="24"/>
  <c r="AA15" i="24"/>
  <c r="B13" i="17" l="1"/>
  <c r="B39" i="17"/>
  <c r="B25" i="17"/>
  <c r="Y15" i="24"/>
  <c r="K15" i="24"/>
  <c r="AG15" i="24" s="1"/>
  <c r="B14" i="17" l="1"/>
  <c r="B40" i="17"/>
  <c r="B26" i="17"/>
  <c r="F19" i="24"/>
  <c r="AC14" i="24"/>
  <c r="B15" i="17" l="1"/>
  <c r="B41" i="17"/>
  <c r="B27" i="17"/>
  <c r="AD14" i="24"/>
  <c r="H19" i="24"/>
  <c r="AD19" i="24" s="1"/>
  <c r="AE14" i="24"/>
  <c r="I19" i="24"/>
  <c r="AE19" i="24" s="1"/>
  <c r="AF14" i="24"/>
  <c r="J19" i="24"/>
  <c r="AF19" i="24" s="1"/>
  <c r="AC13" i="24"/>
  <c r="G19" i="24"/>
  <c r="AC19" i="24" s="1"/>
  <c r="K13" i="24"/>
  <c r="B16" i="17" l="1"/>
  <c r="B42" i="17"/>
  <c r="B28" i="17"/>
  <c r="Y14" i="24"/>
  <c r="K14" i="24"/>
  <c r="AG14" i="24" s="1"/>
  <c r="B19" i="24"/>
  <c r="Y19" i="24" s="1"/>
  <c r="AA14" i="24"/>
  <c r="D19" i="24"/>
  <c r="AA19" i="24" s="1"/>
  <c r="AG13" i="24"/>
  <c r="B17" i="17" l="1"/>
  <c r="B43" i="17"/>
  <c r="B29" i="17"/>
  <c r="K19" i="24"/>
  <c r="AG19" i="24" s="1"/>
  <c r="AA32" i="24"/>
  <c r="AC32" i="24"/>
  <c r="AD32" i="24"/>
  <c r="AE32" i="24"/>
  <c r="AA33" i="24"/>
  <c r="AC33" i="24"/>
  <c r="AD33" i="24"/>
  <c r="AE33" i="24"/>
  <c r="AA34" i="24"/>
  <c r="AC34" i="24"/>
  <c r="AD34" i="24"/>
  <c r="AE34" i="24"/>
  <c r="B18" i="17" l="1"/>
  <c r="B44" i="17"/>
  <c r="B30" i="17"/>
  <c r="Y34" i="24"/>
  <c r="J34" i="24"/>
  <c r="AF34" i="24" s="1"/>
  <c r="J35" i="24"/>
  <c r="K35" i="24" s="1"/>
  <c r="AG35" i="24" s="1"/>
  <c r="Y32" i="24"/>
  <c r="J32" i="24"/>
  <c r="AF32" i="24" s="1"/>
  <c r="Y33" i="24"/>
  <c r="J33" i="24"/>
  <c r="AF33" i="24" s="1"/>
  <c r="B19" i="17" l="1"/>
  <c r="B45" i="17"/>
  <c r="B31" i="17"/>
  <c r="K32" i="24"/>
  <c r="AG32" i="24" s="1"/>
  <c r="K34" i="24"/>
  <c r="AG34" i="24" s="1"/>
  <c r="K33" i="24"/>
  <c r="AG33" i="24" s="1"/>
  <c r="B46" i="17" l="1"/>
  <c r="B32" i="17"/>
  <c r="AE31" i="24" l="1"/>
  <c r="AD31" i="24"/>
  <c r="AC31" i="24"/>
  <c r="AA31" i="24"/>
  <c r="AE30" i="24" l="1"/>
  <c r="AD30" i="24"/>
  <c r="AC30" i="24"/>
  <c r="AA30" i="24"/>
  <c r="Y31" i="24" l="1"/>
  <c r="J31" i="24"/>
  <c r="AF31" i="24" s="1"/>
  <c r="K31" i="24" l="1"/>
  <c r="AG31" i="24" s="1"/>
  <c r="AF29" i="24"/>
  <c r="AE29" i="24"/>
  <c r="AD29" i="24"/>
  <c r="AC29" i="24"/>
  <c r="AA29" i="24"/>
  <c r="Y29" i="24" l="1"/>
  <c r="AF28" i="24" l="1"/>
  <c r="AE28" i="24"/>
  <c r="AD28" i="24"/>
  <c r="AC28" i="24"/>
  <c r="AA28" i="24"/>
  <c r="Y30" i="24" l="1"/>
  <c r="J30" i="24"/>
  <c r="AF30" i="24" s="1"/>
  <c r="Y28" i="24"/>
  <c r="K29" i="24"/>
  <c r="AG29" i="24" s="1"/>
  <c r="K30" i="24" l="1"/>
  <c r="AG30" i="24" s="1"/>
  <c r="AF27" i="24"/>
  <c r="AE27" i="24"/>
  <c r="AD27" i="24"/>
  <c r="AC27" i="24"/>
  <c r="AA27" i="24" l="1"/>
  <c r="Y27" i="24" l="1"/>
  <c r="K27" i="24"/>
  <c r="AG27" i="24" s="1"/>
  <c r="K28" i="24"/>
  <c r="AG28" i="24" s="1"/>
  <c r="AA45" i="24"/>
  <c r="AC45" i="24"/>
  <c r="AD45" i="24"/>
  <c r="AA46" i="24"/>
  <c r="AC46" i="24"/>
  <c r="AD46" i="24"/>
  <c r="AA47" i="24"/>
  <c r="AC47" i="24"/>
  <c r="AD47" i="24"/>
  <c r="AA48" i="24"/>
  <c r="AC48" i="24"/>
  <c r="AD48" i="24"/>
  <c r="AA49" i="24"/>
  <c r="AC49" i="24"/>
  <c r="AD49" i="24"/>
  <c r="AA50" i="24"/>
  <c r="AC50" i="24"/>
  <c r="AD50" i="24"/>
  <c r="AA51" i="24"/>
  <c r="AC51" i="24"/>
  <c r="AD51" i="24"/>
  <c r="AA52" i="24"/>
  <c r="AC52" i="24"/>
  <c r="AD52" i="24"/>
  <c r="AF26" i="24"/>
  <c r="AE26" i="24"/>
  <c r="AD26" i="24"/>
  <c r="AC26" i="24"/>
  <c r="AA26" i="24"/>
  <c r="K53" i="24" l="1"/>
  <c r="AG53" i="24" s="1"/>
  <c r="Y45" i="24"/>
  <c r="K45" i="24"/>
  <c r="AG45" i="24" s="1"/>
  <c r="Y46" i="24"/>
  <c r="K46" i="24"/>
  <c r="AG46" i="24" s="1"/>
  <c r="Y51" i="24"/>
  <c r="K51" i="24"/>
  <c r="AG51" i="24" s="1"/>
  <c r="Y47" i="24"/>
  <c r="K47" i="24"/>
  <c r="AG47" i="24" s="1"/>
  <c r="Y49" i="24"/>
  <c r="K49" i="24"/>
  <c r="AG49" i="24" s="1"/>
  <c r="Y50" i="24"/>
  <c r="K50" i="24"/>
  <c r="AG50" i="24" s="1"/>
  <c r="Y52" i="24"/>
  <c r="K52" i="24"/>
  <c r="AG52" i="24" s="1"/>
  <c r="Y48" i="24"/>
  <c r="K48" i="24"/>
  <c r="AG48" i="24" s="1"/>
  <c r="AD44" i="24"/>
  <c r="AA44" i="24"/>
  <c r="AC44" i="24"/>
  <c r="AF25" i="24" l="1"/>
  <c r="AE25" i="24"/>
  <c r="AD25" i="24"/>
  <c r="AC25" i="24"/>
  <c r="AA25" i="24"/>
  <c r="Y44" i="24" l="1"/>
  <c r="K44" i="24"/>
  <c r="AG44" i="24" s="1"/>
  <c r="AA43" i="24"/>
  <c r="AC43" i="24"/>
  <c r="AD43" i="24"/>
  <c r="Y26" i="24" l="1"/>
  <c r="K26" i="24"/>
  <c r="AG26" i="24" s="1"/>
  <c r="Y43" i="24" l="1"/>
  <c r="K43" i="24"/>
  <c r="AG43" i="24" s="1"/>
  <c r="Y25" i="24" l="1"/>
  <c r="K25" i="24"/>
  <c r="AG25" i="24" s="1"/>
  <c r="J55" i="24" l="1"/>
  <c r="F37" i="24" l="1"/>
  <c r="F55" i="24"/>
  <c r="I55" i="24"/>
  <c r="AF24" i="24" l="1"/>
  <c r="J37" i="24"/>
  <c r="AF37" i="24" s="1"/>
  <c r="G37" i="24"/>
  <c r="AC37" i="24" s="1"/>
  <c r="AC24" i="24"/>
  <c r="G55" i="24"/>
  <c r="AC55" i="24" s="1"/>
  <c r="AC42" i="24"/>
  <c r="AD24" i="24"/>
  <c r="H37" i="24"/>
  <c r="AD37" i="24" s="1"/>
  <c r="D37" i="24"/>
  <c r="AA37" i="24" s="1"/>
  <c r="AA24" i="24"/>
  <c r="AD42" i="24"/>
  <c r="H55" i="24"/>
  <c r="AD55" i="24" s="1"/>
  <c r="Y24" i="24"/>
  <c r="K24" i="24"/>
  <c r="B37" i="24"/>
  <c r="Y37" i="24" s="1"/>
  <c r="D55" i="24"/>
  <c r="AA55" i="24" s="1"/>
  <c r="AA42" i="24"/>
  <c r="I37" i="24"/>
  <c r="AE37" i="24" s="1"/>
  <c r="AE24" i="24"/>
  <c r="AG24" i="24" l="1"/>
  <c r="K37" i="24"/>
  <c r="AG37" i="24" s="1"/>
  <c r="Y42" i="24" l="1"/>
  <c r="K42" i="24"/>
  <c r="B55" i="24"/>
  <c r="Y55" i="24" s="1"/>
  <c r="K55" i="24" l="1"/>
  <c r="AG55" i="24" s="1"/>
  <c r="AG42" i="24"/>
  <c r="F49" i="8" l="1"/>
  <c r="F57" i="8"/>
  <c r="G50" i="8"/>
  <c r="G54" i="8"/>
  <c r="H51" i="8"/>
  <c r="H55" i="8"/>
  <c r="D57" i="8"/>
  <c r="E55" i="8"/>
  <c r="C55" i="8"/>
  <c r="C56" i="8"/>
  <c r="D54" i="8"/>
  <c r="E56" i="8"/>
  <c r="F50" i="8"/>
  <c r="G55" i="8"/>
  <c r="C54" i="8"/>
  <c r="D56" i="8"/>
  <c r="E54" i="8"/>
  <c r="F48" i="8"/>
  <c r="F56" i="8"/>
  <c r="G49" i="8"/>
  <c r="G57" i="8"/>
  <c r="H50" i="8"/>
  <c r="H54" i="8"/>
  <c r="F54" i="8"/>
  <c r="G51" i="8"/>
  <c r="H48" i="8"/>
  <c r="H56" i="8"/>
  <c r="C57" i="8"/>
  <c r="D55" i="8"/>
  <c r="E57" i="8"/>
  <c r="F51" i="8"/>
  <c r="F55" i="8"/>
  <c r="G48" i="8"/>
  <c r="G56" i="8"/>
  <c r="H49" i="8"/>
  <c r="H57" i="8"/>
  <c r="J45" i="1"/>
  <c r="G5" i="23" l="1"/>
  <c r="G6" i="23"/>
  <c r="G7" i="23"/>
  <c r="G8" i="23"/>
  <c r="G9" i="23"/>
  <c r="G10" i="23"/>
  <c r="G11" i="23"/>
  <c r="G12" i="23"/>
  <c r="G13" i="23"/>
  <c r="G14" i="23"/>
  <c r="G15" i="23"/>
  <c r="G4" i="23"/>
  <c r="C16" i="23" l="1"/>
  <c r="B36" i="8" l="1"/>
  <c r="B37" i="8"/>
  <c r="B38" i="8"/>
  <c r="B39" i="8"/>
  <c r="B40" i="8"/>
  <c r="B41" i="8"/>
  <c r="B42" i="8"/>
  <c r="B43" i="8"/>
  <c r="B44" i="8"/>
  <c r="B35" i="8"/>
  <c r="Y855" i="22" l="1"/>
  <c r="Y854" i="22"/>
  <c r="Y853" i="22"/>
  <c r="Y852" i="22"/>
  <c r="Y851" i="22"/>
  <c r="Y850" i="22"/>
  <c r="Y849" i="22"/>
  <c r="Y848" i="22"/>
  <c r="Y847" i="22"/>
  <c r="Y846" i="22"/>
  <c r="Y845" i="22"/>
  <c r="Y844" i="22"/>
  <c r="Y843" i="22"/>
  <c r="Y842" i="22"/>
  <c r="Y841" i="22"/>
  <c r="Y840" i="22"/>
  <c r="Y839" i="22"/>
  <c r="Y838" i="22"/>
  <c r="Y837" i="22"/>
  <c r="Y836" i="22"/>
  <c r="Y835" i="22"/>
  <c r="Y834" i="22"/>
  <c r="Y833" i="22"/>
  <c r="Y832" i="22"/>
  <c r="Y831" i="22"/>
  <c r="Y830" i="22"/>
  <c r="Y829" i="22"/>
  <c r="Y828" i="22"/>
  <c r="Y827" i="22"/>
  <c r="Y826" i="22"/>
  <c r="Y825" i="22"/>
  <c r="Y824" i="22"/>
  <c r="Y823" i="22"/>
  <c r="Y822" i="22"/>
  <c r="Y821" i="22"/>
  <c r="Y820" i="22"/>
  <c r="Y819" i="22"/>
  <c r="Y818" i="22"/>
  <c r="Y817" i="22"/>
  <c r="Y816" i="22"/>
  <c r="Y815" i="22"/>
  <c r="Y814" i="22"/>
  <c r="Y813" i="22"/>
  <c r="Y812" i="22"/>
  <c r="Y811" i="22"/>
  <c r="Y810" i="22"/>
  <c r="Y809" i="22"/>
  <c r="Y808" i="22"/>
  <c r="Y807" i="22"/>
  <c r="Y806" i="22"/>
  <c r="Y805" i="22"/>
  <c r="Y804" i="22"/>
  <c r="Y803" i="22"/>
  <c r="Y802" i="22"/>
  <c r="Y801" i="22"/>
  <c r="Y800" i="22"/>
  <c r="Y799" i="22"/>
  <c r="Y798" i="22"/>
  <c r="Y797" i="22"/>
  <c r="Y796" i="22"/>
  <c r="Y795" i="22"/>
  <c r="Y794" i="22"/>
  <c r="Y793" i="22"/>
  <c r="Y792" i="22"/>
  <c r="Y791" i="22"/>
  <c r="Y790" i="22"/>
  <c r="Y789" i="22"/>
  <c r="Y788" i="22"/>
  <c r="Y787" i="22"/>
  <c r="Y786" i="22"/>
  <c r="Y785" i="22"/>
  <c r="Y784" i="22"/>
  <c r="Y783" i="22"/>
  <c r="Y782" i="22"/>
  <c r="Y781" i="22"/>
  <c r="Y780" i="22"/>
  <c r="Y779" i="22"/>
  <c r="Y778" i="22"/>
  <c r="Y777" i="22"/>
  <c r="Y776" i="22"/>
  <c r="Y775" i="22"/>
  <c r="Y774" i="22"/>
  <c r="Y773" i="22"/>
  <c r="Y772" i="22"/>
  <c r="Y771" i="22"/>
  <c r="Y770" i="22"/>
  <c r="Y769" i="22"/>
  <c r="Y768" i="22"/>
  <c r="Y767" i="22"/>
  <c r="Y766" i="22"/>
  <c r="Y765" i="22"/>
  <c r="Y764" i="22"/>
  <c r="Y763" i="22"/>
  <c r="Y762" i="22"/>
  <c r="Y761" i="22"/>
  <c r="Y760" i="22"/>
  <c r="Y759" i="22"/>
  <c r="Y758" i="22"/>
  <c r="Y757" i="22"/>
  <c r="Y756" i="22"/>
  <c r="Y755" i="22"/>
  <c r="Y754" i="22"/>
  <c r="Y753" i="22"/>
  <c r="Y752" i="22"/>
  <c r="Y751" i="22"/>
  <c r="Y750" i="22"/>
  <c r="Y749" i="22"/>
  <c r="Y748" i="22"/>
  <c r="Y747" i="22"/>
  <c r="Y746" i="22"/>
  <c r="Y745" i="22"/>
  <c r="Y744" i="22"/>
  <c r="Y743" i="22"/>
  <c r="Y742" i="22"/>
  <c r="Y741" i="22"/>
  <c r="Y740" i="22"/>
  <c r="Y739" i="22"/>
  <c r="Y738" i="22"/>
  <c r="Y737" i="22"/>
  <c r="Y736" i="22"/>
  <c r="Y735" i="22"/>
  <c r="Y734" i="22"/>
  <c r="Y733" i="22"/>
  <c r="Y732" i="22"/>
  <c r="Y731" i="22"/>
  <c r="Y730" i="22"/>
  <c r="Y729" i="22"/>
  <c r="Y728" i="22"/>
  <c r="Y727" i="22"/>
  <c r="Y726" i="22"/>
  <c r="Y725" i="22"/>
  <c r="Y724" i="22"/>
  <c r="Y723" i="22"/>
  <c r="Y722" i="22"/>
  <c r="Y721" i="22"/>
  <c r="Y720" i="22"/>
  <c r="Y719" i="22"/>
  <c r="Y718" i="22"/>
  <c r="Y717" i="22"/>
  <c r="Y716" i="22"/>
  <c r="Y715" i="22"/>
  <c r="Y714" i="22"/>
  <c r="Y713" i="22"/>
  <c r="Y712" i="22"/>
  <c r="Y711" i="22"/>
  <c r="Y710" i="22"/>
  <c r="Y709" i="22"/>
  <c r="Y708" i="22"/>
  <c r="Y707" i="22"/>
  <c r="Y706" i="22"/>
  <c r="Y705" i="22"/>
  <c r="Y704" i="22"/>
  <c r="Y703" i="22"/>
  <c r="Y702" i="22"/>
  <c r="Y701" i="22"/>
  <c r="Y700" i="22"/>
  <c r="Y699" i="22"/>
  <c r="Y698" i="22"/>
  <c r="Y697" i="22"/>
  <c r="Y696" i="22"/>
  <c r="Y695" i="22"/>
  <c r="Y694" i="22"/>
  <c r="Y693" i="22"/>
  <c r="Y692" i="22"/>
  <c r="Y691" i="22"/>
  <c r="Y690" i="22"/>
  <c r="Y689" i="22"/>
  <c r="Y688" i="22"/>
  <c r="Y687" i="22"/>
  <c r="Y686" i="22"/>
  <c r="Y685" i="22"/>
  <c r="Y684" i="22"/>
  <c r="Y683" i="22"/>
  <c r="Y682" i="22"/>
  <c r="Y681" i="22"/>
  <c r="Y680" i="22"/>
  <c r="Y679" i="22"/>
  <c r="Y678" i="22"/>
  <c r="Y677" i="22"/>
  <c r="Y676" i="22"/>
  <c r="Y675" i="22"/>
  <c r="Y674" i="22"/>
  <c r="Y673" i="22"/>
  <c r="Y672" i="22"/>
  <c r="Y671" i="22"/>
  <c r="Y670" i="22"/>
  <c r="Y669" i="22"/>
  <c r="Y668" i="22"/>
  <c r="Y667" i="22"/>
  <c r="Y666" i="22"/>
  <c r="Y665" i="22"/>
  <c r="Y664" i="22"/>
  <c r="Y663" i="22"/>
  <c r="Y662" i="22"/>
  <c r="Y661" i="22"/>
  <c r="Y660" i="22"/>
  <c r="Y659" i="22"/>
  <c r="Y658" i="22"/>
  <c r="Y657" i="22"/>
  <c r="Y656" i="22"/>
  <c r="Y655" i="22"/>
  <c r="Y654" i="22"/>
  <c r="Y653" i="22"/>
  <c r="Y652" i="22"/>
  <c r="Y651" i="22"/>
  <c r="Y650" i="22"/>
  <c r="Y649" i="22"/>
  <c r="Y648" i="22"/>
  <c r="Y647" i="22"/>
  <c r="Y646" i="22"/>
  <c r="Y645" i="22"/>
  <c r="Y644" i="22"/>
  <c r="Y643" i="22"/>
  <c r="Y642" i="22"/>
  <c r="Y641" i="22"/>
  <c r="Y640" i="22"/>
  <c r="Y639" i="22"/>
  <c r="Y638" i="22"/>
  <c r="Y637" i="22"/>
  <c r="Y636" i="22"/>
  <c r="Y635" i="22"/>
  <c r="Y634" i="22"/>
  <c r="Y633" i="22"/>
  <c r="Y632" i="22"/>
  <c r="Y631" i="22"/>
  <c r="Y630" i="22"/>
  <c r="Y629" i="22"/>
  <c r="Y628" i="22"/>
  <c r="Y627" i="22"/>
  <c r="Y626" i="22"/>
  <c r="Y625" i="22"/>
  <c r="Y624" i="22"/>
  <c r="Y623" i="22"/>
  <c r="Y622" i="22"/>
  <c r="Y621" i="22"/>
  <c r="Y620" i="22"/>
  <c r="Y619" i="22"/>
  <c r="Y618" i="22"/>
  <c r="Y617" i="22"/>
  <c r="Y616" i="22"/>
  <c r="Y615" i="22"/>
  <c r="Y614" i="22"/>
  <c r="Y613" i="22"/>
  <c r="Y612" i="22"/>
  <c r="Y611" i="22"/>
  <c r="Y610" i="22"/>
  <c r="Y609" i="22"/>
  <c r="Y608" i="22"/>
  <c r="Y607" i="22"/>
  <c r="Y606" i="22"/>
  <c r="Y605" i="22"/>
  <c r="Y604" i="22"/>
  <c r="Y603" i="22"/>
  <c r="Y602" i="22"/>
  <c r="Y601" i="22"/>
  <c r="Y600" i="22"/>
  <c r="Y599" i="22"/>
  <c r="Y598" i="22"/>
  <c r="Y597" i="22"/>
  <c r="Y596" i="22"/>
  <c r="Y595" i="22"/>
  <c r="Y594" i="22"/>
  <c r="Y593" i="22"/>
  <c r="Y592" i="22"/>
  <c r="Y591" i="22"/>
  <c r="Y590" i="22"/>
  <c r="Y589" i="22"/>
  <c r="Y588" i="22"/>
  <c r="Y587" i="22"/>
  <c r="Y586" i="22"/>
  <c r="Y585" i="22"/>
  <c r="Y584" i="22"/>
  <c r="Y583" i="22"/>
  <c r="Y582" i="22"/>
  <c r="Y581" i="22"/>
  <c r="Y580" i="22"/>
  <c r="Y579" i="22"/>
  <c r="Y578" i="22"/>
  <c r="Y577" i="22"/>
  <c r="Y576" i="22"/>
  <c r="Y575" i="22"/>
  <c r="Y574" i="22"/>
  <c r="Y573" i="22"/>
  <c r="Y572" i="22"/>
  <c r="Y571" i="22"/>
  <c r="Y570" i="22"/>
  <c r="Y569" i="22"/>
  <c r="Y568" i="22"/>
  <c r="Y567" i="22"/>
  <c r="Y566" i="22"/>
  <c r="Y565" i="22"/>
  <c r="Y564" i="22"/>
  <c r="Y563" i="22"/>
  <c r="Y562" i="22"/>
  <c r="Y561" i="22"/>
  <c r="Y560" i="22"/>
  <c r="Y559" i="22"/>
  <c r="Y558" i="22"/>
  <c r="Y557" i="22"/>
  <c r="Y556" i="22"/>
  <c r="Y555" i="22"/>
  <c r="Y554" i="22"/>
  <c r="Y553" i="22"/>
  <c r="Y552" i="22"/>
  <c r="Y551" i="22"/>
  <c r="Y550" i="22"/>
  <c r="Y549" i="22"/>
  <c r="Y548" i="22"/>
  <c r="Y547" i="22"/>
  <c r="Y546" i="22"/>
  <c r="Y545" i="22"/>
  <c r="Y544" i="22"/>
  <c r="Y543" i="22"/>
  <c r="Y542" i="22"/>
  <c r="Y541" i="22"/>
  <c r="Y540" i="22"/>
  <c r="Y539" i="22"/>
  <c r="Y538" i="22"/>
  <c r="Y537" i="22"/>
  <c r="Y536" i="22"/>
  <c r="Y535" i="22"/>
  <c r="Y534" i="22"/>
  <c r="Y533" i="22"/>
  <c r="Y532" i="22"/>
  <c r="Y531" i="22"/>
  <c r="Y530" i="22"/>
  <c r="Y529" i="22"/>
  <c r="Y528" i="22"/>
  <c r="Y527" i="22"/>
  <c r="Y526" i="22"/>
  <c r="Y525" i="22"/>
  <c r="Y524" i="22"/>
  <c r="Y523" i="22"/>
  <c r="Y522" i="22"/>
  <c r="Y521" i="22"/>
  <c r="Y520" i="22"/>
  <c r="Y519" i="22"/>
  <c r="Y518" i="22"/>
  <c r="Y517" i="22"/>
  <c r="Y516" i="22"/>
  <c r="Y515" i="22"/>
  <c r="Y514" i="22"/>
  <c r="Y513" i="22"/>
  <c r="Y512" i="22"/>
  <c r="Y511" i="22"/>
  <c r="Y510" i="22"/>
  <c r="Y509" i="22"/>
  <c r="Y508" i="22"/>
  <c r="Y507" i="22"/>
  <c r="Y506" i="22"/>
  <c r="Y505" i="22"/>
  <c r="Y504" i="22"/>
  <c r="Y503" i="22"/>
  <c r="Y502" i="22"/>
  <c r="Y501" i="22"/>
  <c r="Y500" i="22"/>
  <c r="Y499" i="22"/>
  <c r="Y498" i="22"/>
  <c r="Y497" i="22"/>
  <c r="Y496" i="22"/>
  <c r="Y495" i="22"/>
  <c r="Y494" i="22"/>
  <c r="Y493" i="22"/>
  <c r="Y492" i="22"/>
  <c r="Y491" i="22"/>
  <c r="Y490" i="22"/>
  <c r="Y489" i="22"/>
  <c r="Y488" i="22"/>
  <c r="Y487" i="22"/>
  <c r="Y486" i="22"/>
  <c r="Y485" i="22"/>
  <c r="Y484" i="22"/>
  <c r="Y483" i="22"/>
  <c r="Y482" i="22"/>
  <c r="Y481" i="22"/>
  <c r="Y480" i="22"/>
  <c r="Y479" i="22"/>
  <c r="Y478" i="22"/>
  <c r="Y477" i="22"/>
  <c r="Y476" i="22"/>
  <c r="Y475" i="22"/>
  <c r="Y474" i="22"/>
  <c r="A303" i="22"/>
  <c r="A302" i="22"/>
  <c r="A314" i="22" s="1"/>
  <c r="A326" i="22" s="1"/>
  <c r="A338" i="22" s="1"/>
  <c r="A350" i="22" s="1"/>
  <c r="A362" i="22" s="1"/>
  <c r="A374" i="22" s="1"/>
  <c r="A386" i="22" s="1"/>
  <c r="A398" i="22" s="1"/>
  <c r="A410" i="22" s="1"/>
  <c r="A422" i="22" s="1"/>
  <c r="A434" i="22" s="1"/>
  <c r="A446" i="22" s="1"/>
  <c r="A458" i="22" s="1"/>
  <c r="A470" i="22" s="1"/>
  <c r="A482" i="22" s="1"/>
  <c r="A494" i="22" s="1"/>
  <c r="A506" i="22" s="1"/>
  <c r="A518" i="22" s="1"/>
  <c r="A530" i="22" s="1"/>
  <c r="A542" i="22" s="1"/>
  <c r="A554" i="22" s="1"/>
  <c r="A566" i="22" s="1"/>
  <c r="A578" i="22" s="1"/>
  <c r="A590" i="22" s="1"/>
  <c r="A602" i="22" s="1"/>
  <c r="A614" i="22" s="1"/>
  <c r="A626" i="22" s="1"/>
  <c r="A638" i="22" s="1"/>
  <c r="A650" i="22" s="1"/>
  <c r="A662" i="22" s="1"/>
  <c r="A674" i="22" s="1"/>
  <c r="A686" i="22" s="1"/>
  <c r="A698" i="22" s="1"/>
  <c r="A710" i="22" s="1"/>
  <c r="A722" i="22" s="1"/>
  <c r="A734" i="22" s="1"/>
  <c r="A301" i="22"/>
  <c r="A313" i="22" s="1"/>
  <c r="A325" i="22" s="1"/>
  <c r="A337" i="22" s="1"/>
  <c r="A349" i="22" s="1"/>
  <c r="A361" i="22" s="1"/>
  <c r="A373" i="22" s="1"/>
  <c r="A385" i="22" s="1"/>
  <c r="A397" i="22" s="1"/>
  <c r="A409" i="22" s="1"/>
  <c r="A421" i="22" s="1"/>
  <c r="A433" i="22" s="1"/>
  <c r="A445" i="22" s="1"/>
  <c r="A457" i="22" s="1"/>
  <c r="A469" i="22" s="1"/>
  <c r="A481" i="22" s="1"/>
  <c r="A493" i="22" s="1"/>
  <c r="A505" i="22" s="1"/>
  <c r="A517" i="22" s="1"/>
  <c r="A529" i="22" s="1"/>
  <c r="A541" i="22" s="1"/>
  <c r="A553" i="22" s="1"/>
  <c r="A565" i="22" s="1"/>
  <c r="A577" i="22" s="1"/>
  <c r="A589" i="22" s="1"/>
  <c r="A601" i="22" s="1"/>
  <c r="A613" i="22" s="1"/>
  <c r="A625" i="22" s="1"/>
  <c r="A637" i="22" s="1"/>
  <c r="A649" i="22" s="1"/>
  <c r="A661" i="22" s="1"/>
  <c r="A673" i="22" s="1"/>
  <c r="A685" i="22" s="1"/>
  <c r="A697" i="22" s="1"/>
  <c r="A709" i="22" s="1"/>
  <c r="A721" i="22" s="1"/>
  <c r="A733" i="22" s="1"/>
  <c r="A300" i="22"/>
  <c r="A312" i="22" s="1"/>
  <c r="A324" i="22" s="1"/>
  <c r="A336" i="22" s="1"/>
  <c r="A348" i="22" s="1"/>
  <c r="A360" i="22" s="1"/>
  <c r="A372" i="22" s="1"/>
  <c r="A384" i="22" s="1"/>
  <c r="A396" i="22" s="1"/>
  <c r="A408" i="22" s="1"/>
  <c r="A420" i="22" s="1"/>
  <c r="A432" i="22" s="1"/>
  <c r="A444" i="22" s="1"/>
  <c r="A456" i="22" s="1"/>
  <c r="A468" i="22" s="1"/>
  <c r="A480" i="22" s="1"/>
  <c r="A492" i="22" s="1"/>
  <c r="A504" i="22" s="1"/>
  <c r="A516" i="22" s="1"/>
  <c r="A528" i="22" s="1"/>
  <c r="A540" i="22" s="1"/>
  <c r="A552" i="22" s="1"/>
  <c r="A564" i="22" s="1"/>
  <c r="A576" i="22" s="1"/>
  <c r="A588" i="22" s="1"/>
  <c r="A600" i="22" s="1"/>
  <c r="A612" i="22" s="1"/>
  <c r="A624" i="22" s="1"/>
  <c r="A636" i="22" s="1"/>
  <c r="A648" i="22" s="1"/>
  <c r="A660" i="22" s="1"/>
  <c r="A672" i="22" s="1"/>
  <c r="A684" i="22" s="1"/>
  <c r="A696" i="22" s="1"/>
  <c r="A708" i="22" s="1"/>
  <c r="A720" i="22" s="1"/>
  <c r="A732" i="22" s="1"/>
  <c r="A299" i="22"/>
  <c r="A311" i="22" s="1"/>
  <c r="A323" i="22" s="1"/>
  <c r="A335" i="22" s="1"/>
  <c r="A347" i="22" s="1"/>
  <c r="A359" i="22" s="1"/>
  <c r="A371" i="22" s="1"/>
  <c r="A383" i="22" s="1"/>
  <c r="A395" i="22" s="1"/>
  <c r="A407" i="22" s="1"/>
  <c r="A419" i="22" s="1"/>
  <c r="A431" i="22" s="1"/>
  <c r="A443" i="22" s="1"/>
  <c r="A455" i="22" s="1"/>
  <c r="A467" i="22" s="1"/>
  <c r="A479" i="22" s="1"/>
  <c r="A491" i="22" s="1"/>
  <c r="A503" i="22" s="1"/>
  <c r="A515" i="22" s="1"/>
  <c r="A527" i="22" s="1"/>
  <c r="A539" i="22" s="1"/>
  <c r="A551" i="22" s="1"/>
  <c r="A563" i="22" s="1"/>
  <c r="A575" i="22" s="1"/>
  <c r="A587" i="22" s="1"/>
  <c r="A599" i="22" s="1"/>
  <c r="A611" i="22" s="1"/>
  <c r="A623" i="22" s="1"/>
  <c r="A635" i="22" s="1"/>
  <c r="A647" i="22" s="1"/>
  <c r="A659" i="22" s="1"/>
  <c r="A671" i="22" s="1"/>
  <c r="A683" i="22" s="1"/>
  <c r="A695" i="22" s="1"/>
  <c r="A707" i="22" s="1"/>
  <c r="A719" i="22" s="1"/>
  <c r="A731" i="22" s="1"/>
  <c r="A298" i="22"/>
  <c r="A310" i="22" s="1"/>
  <c r="A322" i="22" s="1"/>
  <c r="A334" i="22" s="1"/>
  <c r="A346" i="22" s="1"/>
  <c r="A358" i="22" s="1"/>
  <c r="A370" i="22" s="1"/>
  <c r="A382" i="22" s="1"/>
  <c r="A394" i="22" s="1"/>
  <c r="A406" i="22" s="1"/>
  <c r="A418" i="22" s="1"/>
  <c r="A430" i="22" s="1"/>
  <c r="A442" i="22" s="1"/>
  <c r="A454" i="22" s="1"/>
  <c r="A466" i="22" s="1"/>
  <c r="A478" i="22" s="1"/>
  <c r="A490" i="22" s="1"/>
  <c r="A502" i="22" s="1"/>
  <c r="A514" i="22" s="1"/>
  <c r="A526" i="22" s="1"/>
  <c r="A538" i="22" s="1"/>
  <c r="A550" i="22" s="1"/>
  <c r="A562" i="22" s="1"/>
  <c r="A574" i="22" s="1"/>
  <c r="A586" i="22" s="1"/>
  <c r="A598" i="22" s="1"/>
  <c r="A610" i="22" s="1"/>
  <c r="A622" i="22" s="1"/>
  <c r="A634" i="22" s="1"/>
  <c r="A646" i="22" s="1"/>
  <c r="A658" i="22" s="1"/>
  <c r="A670" i="22" s="1"/>
  <c r="A682" i="22" s="1"/>
  <c r="A694" i="22" s="1"/>
  <c r="A706" i="22" s="1"/>
  <c r="A718" i="22" s="1"/>
  <c r="A730" i="22" s="1"/>
  <c r="A297" i="22"/>
  <c r="A309" i="22" s="1"/>
  <c r="A321" i="22" s="1"/>
  <c r="A333" i="22" s="1"/>
  <c r="A345" i="22" s="1"/>
  <c r="A357" i="22" s="1"/>
  <c r="A369" i="22" s="1"/>
  <c r="A381" i="22" s="1"/>
  <c r="A393" i="22" s="1"/>
  <c r="A405" i="22" s="1"/>
  <c r="A417" i="22" s="1"/>
  <c r="A429" i="22" s="1"/>
  <c r="A441" i="22" s="1"/>
  <c r="A453" i="22" s="1"/>
  <c r="A465" i="22" s="1"/>
  <c r="A477" i="22" s="1"/>
  <c r="A489" i="22" s="1"/>
  <c r="A501" i="22" s="1"/>
  <c r="A513" i="22" s="1"/>
  <c r="A525" i="22" s="1"/>
  <c r="A537" i="22" s="1"/>
  <c r="A549" i="22" s="1"/>
  <c r="A561" i="22" s="1"/>
  <c r="A573" i="22" s="1"/>
  <c r="A585" i="22" s="1"/>
  <c r="A597" i="22" s="1"/>
  <c r="A609" i="22" s="1"/>
  <c r="A621" i="22" s="1"/>
  <c r="A633" i="22" s="1"/>
  <c r="A645" i="22" s="1"/>
  <c r="A657" i="22" s="1"/>
  <c r="A669" i="22" s="1"/>
  <c r="A681" i="22" s="1"/>
  <c r="A693" i="22" s="1"/>
  <c r="A705" i="22" s="1"/>
  <c r="A717" i="22" s="1"/>
  <c r="A729" i="22" s="1"/>
  <c r="A296" i="22"/>
  <c r="A308" i="22" s="1"/>
  <c r="A320" i="22" s="1"/>
  <c r="A332" i="22" s="1"/>
  <c r="A344" i="22" s="1"/>
  <c r="A356" i="22" s="1"/>
  <c r="A368" i="22" s="1"/>
  <c r="A380" i="22" s="1"/>
  <c r="A392" i="22" s="1"/>
  <c r="A404" i="22" s="1"/>
  <c r="A416" i="22" s="1"/>
  <c r="A428" i="22" s="1"/>
  <c r="A440" i="22" s="1"/>
  <c r="A452" i="22" s="1"/>
  <c r="A464" i="22" s="1"/>
  <c r="A476" i="22" s="1"/>
  <c r="A488" i="22" s="1"/>
  <c r="A500" i="22" s="1"/>
  <c r="A512" i="22" s="1"/>
  <c r="A524" i="22" s="1"/>
  <c r="A536" i="22" s="1"/>
  <c r="A548" i="22" s="1"/>
  <c r="A560" i="22" s="1"/>
  <c r="A572" i="22" s="1"/>
  <c r="A584" i="22" s="1"/>
  <c r="A596" i="22" s="1"/>
  <c r="A608" i="22" s="1"/>
  <c r="A620" i="22" s="1"/>
  <c r="A632" i="22" s="1"/>
  <c r="A644" i="22" s="1"/>
  <c r="A656" i="22" s="1"/>
  <c r="A668" i="22" s="1"/>
  <c r="A680" i="22" s="1"/>
  <c r="A692" i="22" s="1"/>
  <c r="A704" i="22" s="1"/>
  <c r="A716" i="22" s="1"/>
  <c r="A728" i="22" s="1"/>
  <c r="A295" i="22"/>
  <c r="A307" i="22" s="1"/>
  <c r="A319" i="22" s="1"/>
  <c r="A331" i="22" s="1"/>
  <c r="A343" i="22" s="1"/>
  <c r="A355" i="22" s="1"/>
  <c r="A367" i="22" s="1"/>
  <c r="A379" i="22" s="1"/>
  <c r="A391" i="22" s="1"/>
  <c r="A403" i="22" s="1"/>
  <c r="A415" i="22" s="1"/>
  <c r="A427" i="22" s="1"/>
  <c r="A439" i="22" s="1"/>
  <c r="A451" i="22" s="1"/>
  <c r="A463" i="22" s="1"/>
  <c r="A475" i="22" s="1"/>
  <c r="A487" i="22" s="1"/>
  <c r="A499" i="22" s="1"/>
  <c r="A511" i="22" s="1"/>
  <c r="A523" i="22" s="1"/>
  <c r="A535" i="22" s="1"/>
  <c r="A547" i="22" s="1"/>
  <c r="A559" i="22" s="1"/>
  <c r="A571" i="22" s="1"/>
  <c r="A583" i="22" s="1"/>
  <c r="A595" i="22" s="1"/>
  <c r="A607" i="22" s="1"/>
  <c r="A619" i="22" s="1"/>
  <c r="A631" i="22" s="1"/>
  <c r="A643" i="22" s="1"/>
  <c r="A655" i="22" s="1"/>
  <c r="A667" i="22" s="1"/>
  <c r="A679" i="22" s="1"/>
  <c r="A691" i="22" s="1"/>
  <c r="A703" i="22" s="1"/>
  <c r="A715" i="22" s="1"/>
  <c r="A727" i="22" s="1"/>
  <c r="A294" i="22"/>
  <c r="A306" i="22" s="1"/>
  <c r="A318" i="22" s="1"/>
  <c r="A330" i="22" s="1"/>
  <c r="A342" i="22" s="1"/>
  <c r="A354" i="22" s="1"/>
  <c r="A366" i="22" s="1"/>
  <c r="A378" i="22" s="1"/>
  <c r="A390" i="22" s="1"/>
  <c r="A402" i="22" s="1"/>
  <c r="A414" i="22" s="1"/>
  <c r="A426" i="22" s="1"/>
  <c r="A438" i="22" s="1"/>
  <c r="A450" i="22" s="1"/>
  <c r="A462" i="22" s="1"/>
  <c r="A474" i="22" s="1"/>
  <c r="A486" i="22" s="1"/>
  <c r="A498" i="22" s="1"/>
  <c r="A510" i="22" s="1"/>
  <c r="A522" i="22" s="1"/>
  <c r="A534" i="22" s="1"/>
  <c r="A546" i="22" s="1"/>
  <c r="A558" i="22" s="1"/>
  <c r="A570" i="22" s="1"/>
  <c r="A582" i="22" s="1"/>
  <c r="A594" i="22" s="1"/>
  <c r="A606" i="22" s="1"/>
  <c r="A618" i="22" s="1"/>
  <c r="A630" i="22" s="1"/>
  <c r="A642" i="22" s="1"/>
  <c r="A654" i="22" s="1"/>
  <c r="A666" i="22" s="1"/>
  <c r="A678" i="22" s="1"/>
  <c r="A690" i="22" s="1"/>
  <c r="A702" i="22" s="1"/>
  <c r="A714" i="22" s="1"/>
  <c r="A726" i="22" s="1"/>
  <c r="A293" i="22"/>
  <c r="A305" i="22" s="1"/>
  <c r="A317" i="22" s="1"/>
  <c r="A329" i="22" s="1"/>
  <c r="A341" i="22" s="1"/>
  <c r="A353" i="22" s="1"/>
  <c r="A365" i="22" s="1"/>
  <c r="A377" i="22" s="1"/>
  <c r="A389" i="22" s="1"/>
  <c r="A401" i="22" s="1"/>
  <c r="A413" i="22" s="1"/>
  <c r="A425" i="22" s="1"/>
  <c r="A437" i="22" s="1"/>
  <c r="A449" i="22" s="1"/>
  <c r="A461" i="22" s="1"/>
  <c r="A473" i="22" s="1"/>
  <c r="A485" i="22" s="1"/>
  <c r="A497" i="22" s="1"/>
  <c r="A509" i="22" s="1"/>
  <c r="A521" i="22" s="1"/>
  <c r="A533" i="22" s="1"/>
  <c r="A545" i="22" s="1"/>
  <c r="A557" i="22" s="1"/>
  <c r="A569" i="22" s="1"/>
  <c r="A581" i="22" s="1"/>
  <c r="A593" i="22" s="1"/>
  <c r="A605" i="22" s="1"/>
  <c r="A617" i="22" s="1"/>
  <c r="A629" i="22" s="1"/>
  <c r="A641" i="22" s="1"/>
  <c r="A653" i="22" s="1"/>
  <c r="A665" i="22" s="1"/>
  <c r="A677" i="22" s="1"/>
  <c r="A689" i="22" s="1"/>
  <c r="A701" i="22" s="1"/>
  <c r="A713" i="22" s="1"/>
  <c r="A725" i="22" s="1"/>
  <c r="A292" i="22"/>
  <c r="A304" i="22" s="1"/>
  <c r="A316" i="22" s="1"/>
  <c r="A328" i="22" s="1"/>
  <c r="A340" i="22" s="1"/>
  <c r="A352" i="22" s="1"/>
  <c r="A364" i="22" s="1"/>
  <c r="A376" i="22" s="1"/>
  <c r="A388" i="22" s="1"/>
  <c r="A400" i="22" s="1"/>
  <c r="A412" i="22" s="1"/>
  <c r="A424" i="22" s="1"/>
  <c r="A436" i="22" s="1"/>
  <c r="A448" i="22" s="1"/>
  <c r="A460" i="22" s="1"/>
  <c r="A472" i="22" s="1"/>
  <c r="A484" i="22" s="1"/>
  <c r="A496" i="22" s="1"/>
  <c r="A508" i="22" s="1"/>
  <c r="A520" i="22" s="1"/>
  <c r="A532" i="22" s="1"/>
  <c r="A544" i="22" s="1"/>
  <c r="A556" i="22" s="1"/>
  <c r="A568" i="22" s="1"/>
  <c r="A580" i="22" s="1"/>
  <c r="A592" i="22" s="1"/>
  <c r="A604" i="22" s="1"/>
  <c r="A616" i="22" s="1"/>
  <c r="A628" i="22" s="1"/>
  <c r="A640" i="22" s="1"/>
  <c r="A652" i="22" s="1"/>
  <c r="A664" i="22" s="1"/>
  <c r="A676" i="22" s="1"/>
  <c r="A688" i="22" s="1"/>
  <c r="A700" i="22" s="1"/>
  <c r="A712" i="22" s="1"/>
  <c r="A724" i="22" s="1"/>
  <c r="AB291" i="22"/>
  <c r="AB279" i="22"/>
  <c r="AB267" i="22"/>
  <c r="AB255" i="22"/>
  <c r="AB243" i="22"/>
  <c r="AB231" i="22"/>
  <c r="AB219" i="22"/>
  <c r="AB207" i="22"/>
  <c r="AB195" i="22"/>
  <c r="AB183" i="22"/>
  <c r="AB171" i="22"/>
  <c r="AB159" i="22"/>
  <c r="G159" i="22"/>
  <c r="G157" i="22"/>
  <c r="G155" i="22"/>
  <c r="G153" i="22"/>
  <c r="G151" i="22"/>
  <c r="G149" i="22"/>
  <c r="AB147" i="22"/>
  <c r="G146" i="22"/>
  <c r="G144" i="22"/>
  <c r="G140" i="22"/>
  <c r="G138" i="22"/>
  <c r="AB135" i="22"/>
  <c r="AB123" i="22"/>
  <c r="G122" i="22"/>
  <c r="AB111" i="22"/>
  <c r="AB99" i="22"/>
  <c r="G95" i="22"/>
  <c r="D94" i="22"/>
  <c r="AB87" i="22"/>
  <c r="G84" i="22"/>
  <c r="G80" i="22"/>
  <c r="G76" i="22"/>
  <c r="AB75" i="22"/>
  <c r="F86" i="22"/>
  <c r="G73" i="22"/>
  <c r="F82" i="22"/>
  <c r="D71" i="22"/>
  <c r="G70" i="22"/>
  <c r="G68" i="22"/>
  <c r="AB63" i="22"/>
  <c r="AB51" i="22"/>
  <c r="G50" i="22"/>
  <c r="D50" i="22"/>
  <c r="G46" i="22"/>
  <c r="D46" i="22"/>
  <c r="G42" i="22"/>
  <c r="D42" i="22"/>
  <c r="AB39" i="22"/>
  <c r="AB27" i="22"/>
  <c r="G26" i="22"/>
  <c r="G22" i="22"/>
  <c r="G18" i="22"/>
  <c r="AB15" i="22"/>
  <c r="F16" i="22"/>
  <c r="F15" i="22"/>
  <c r="S552" i="22" l="1"/>
  <c r="F554" i="22"/>
  <c r="S554" i="22"/>
  <c r="F560" i="22"/>
  <c r="S560" i="22"/>
  <c r="F562" i="22"/>
  <c r="S562" i="22"/>
  <c r="F564" i="22"/>
  <c r="S564" i="22"/>
  <c r="T564" i="22" s="1"/>
  <c r="F566" i="22"/>
  <c r="S566" i="22"/>
  <c r="C891" i="22"/>
  <c r="I891" i="22"/>
  <c r="O891" i="22"/>
  <c r="F568" i="22"/>
  <c r="S568" i="22"/>
  <c r="F570" i="22"/>
  <c r="S570" i="22"/>
  <c r="F572" i="22"/>
  <c r="S572" i="22"/>
  <c r="F574" i="22"/>
  <c r="S574" i="22"/>
  <c r="F576" i="22"/>
  <c r="S576" i="22"/>
  <c r="F578" i="22"/>
  <c r="S578" i="22"/>
  <c r="C892" i="22"/>
  <c r="I892" i="22"/>
  <c r="O892" i="22"/>
  <c r="F580" i="22"/>
  <c r="S580" i="22"/>
  <c r="F582" i="22"/>
  <c r="S582" i="22"/>
  <c r="F584" i="22"/>
  <c r="S584" i="22"/>
  <c r="F586" i="22"/>
  <c r="S586" i="22"/>
  <c r="F588" i="22"/>
  <c r="S588" i="22"/>
  <c r="F590" i="22"/>
  <c r="S590" i="22"/>
  <c r="C893" i="22"/>
  <c r="I893" i="22"/>
  <c r="O893" i="22"/>
  <c r="F592" i="22"/>
  <c r="S592" i="22"/>
  <c r="F594" i="22"/>
  <c r="S594" i="22"/>
  <c r="F596" i="22"/>
  <c r="S596" i="22"/>
  <c r="F598" i="22"/>
  <c r="S598" i="22"/>
  <c r="F600" i="22"/>
  <c r="S600" i="22"/>
  <c r="F602" i="22"/>
  <c r="S602" i="22"/>
  <c r="C894" i="22"/>
  <c r="F604" i="22"/>
  <c r="S604" i="22"/>
  <c r="F606" i="22"/>
  <c r="S606" i="22"/>
  <c r="F608" i="22"/>
  <c r="S608" i="22"/>
  <c r="F610" i="22"/>
  <c r="S610" i="22"/>
  <c r="F612" i="22"/>
  <c r="S612" i="22"/>
  <c r="F614" i="22"/>
  <c r="S614" i="22"/>
  <c r="C895" i="22"/>
  <c r="I895" i="22"/>
  <c r="O895" i="22"/>
  <c r="F616" i="22"/>
  <c r="S616" i="22"/>
  <c r="F618" i="22"/>
  <c r="S618" i="22"/>
  <c r="F620" i="22"/>
  <c r="S620" i="22"/>
  <c r="F622" i="22"/>
  <c r="S622" i="22"/>
  <c r="F624" i="22"/>
  <c r="S624" i="22"/>
  <c r="F626" i="22"/>
  <c r="S626" i="22"/>
  <c r="C896" i="22"/>
  <c r="I896" i="22"/>
  <c r="O896" i="22"/>
  <c r="F628" i="22"/>
  <c r="S628" i="22"/>
  <c r="F630" i="22"/>
  <c r="S630" i="22"/>
  <c r="F632" i="22"/>
  <c r="S632" i="22"/>
  <c r="F634" i="22"/>
  <c r="S634" i="22"/>
  <c r="F636" i="22"/>
  <c r="S636" i="22"/>
  <c r="F638" i="22"/>
  <c r="S638" i="22"/>
  <c r="C897" i="22"/>
  <c r="I897" i="22"/>
  <c r="O897" i="22"/>
  <c r="F640" i="22"/>
  <c r="S640" i="22"/>
  <c r="F642" i="22"/>
  <c r="S642" i="22"/>
  <c r="F644" i="22"/>
  <c r="S644" i="22"/>
  <c r="F646" i="22"/>
  <c r="S646" i="22"/>
  <c r="S658" i="22"/>
  <c r="F660" i="22"/>
  <c r="F662" i="22"/>
  <c r="S662" i="22"/>
  <c r="C899" i="22"/>
  <c r="I899" i="22"/>
  <c r="O899" i="22"/>
  <c r="F664" i="22"/>
  <c r="S664" i="22"/>
  <c r="F666" i="22"/>
  <c r="S666" i="22"/>
  <c r="F668" i="22"/>
  <c r="S668" i="22"/>
  <c r="F670" i="22"/>
  <c r="S670" i="22"/>
  <c r="F672" i="22"/>
  <c r="S672" i="22"/>
  <c r="F674" i="22"/>
  <c r="S674" i="22"/>
  <c r="C900" i="22"/>
  <c r="I900" i="22"/>
  <c r="O900" i="22"/>
  <c r="F830" i="22"/>
  <c r="F846" i="22"/>
  <c r="S846" i="22"/>
  <c r="S848" i="22"/>
  <c r="F854" i="22"/>
  <c r="S854" i="22"/>
  <c r="D17" i="22"/>
  <c r="D21" i="22"/>
  <c r="D25" i="22"/>
  <c r="D117" i="22"/>
  <c r="G94" i="22"/>
  <c r="G98" i="22"/>
  <c r="G112" i="22"/>
  <c r="G116" i="22"/>
  <c r="D156" i="22"/>
  <c r="D158" i="22"/>
  <c r="F75" i="22"/>
  <c r="D113" i="22"/>
  <c r="D128" i="22"/>
  <c r="D132" i="22"/>
  <c r="G21" i="22"/>
  <c r="I21" i="22" s="1"/>
  <c r="G25" i="22"/>
  <c r="G41" i="22"/>
  <c r="G45" i="22"/>
  <c r="I45" i="22" s="1"/>
  <c r="G49" i="22"/>
  <c r="I49" i="22" s="1"/>
  <c r="G67" i="22"/>
  <c r="D103" i="22"/>
  <c r="D107" i="22"/>
  <c r="D111" i="22"/>
  <c r="D118" i="22"/>
  <c r="G119" i="22"/>
  <c r="F676" i="22"/>
  <c r="S676" i="22"/>
  <c r="F678" i="22"/>
  <c r="S678" i="22"/>
  <c r="F680" i="22"/>
  <c r="S680" i="22"/>
  <c r="F682" i="22"/>
  <c r="S682" i="22"/>
  <c r="F684" i="22"/>
  <c r="S684" i="22"/>
  <c r="D40" i="22"/>
  <c r="D48" i="22"/>
  <c r="D66" i="22"/>
  <c r="D69" i="22"/>
  <c r="D115" i="22"/>
  <c r="G16" i="22"/>
  <c r="D19" i="22"/>
  <c r="G20" i="22"/>
  <c r="I20" i="22" s="1"/>
  <c r="D23" i="22"/>
  <c r="G24" i="22"/>
  <c r="D27" i="22"/>
  <c r="F51" i="22"/>
  <c r="G44" i="22"/>
  <c r="G48" i="22"/>
  <c r="F66" i="22"/>
  <c r="F70" i="22"/>
  <c r="F74" i="22"/>
  <c r="G64" i="22"/>
  <c r="F77" i="22"/>
  <c r="D74" i="22"/>
  <c r="D77" i="22"/>
  <c r="D81" i="22"/>
  <c r="D85" i="22"/>
  <c r="D88" i="22"/>
  <c r="D92" i="22"/>
  <c r="G93" i="22"/>
  <c r="G96" i="22"/>
  <c r="I96" i="22" s="1"/>
  <c r="D102" i="22"/>
  <c r="G103" i="22"/>
  <c r="G107" i="22"/>
  <c r="G111" i="22"/>
  <c r="I111" i="22" s="1"/>
  <c r="G113" i="22"/>
  <c r="I113" i="22" s="1"/>
  <c r="G121" i="22"/>
  <c r="I121" i="22" s="1"/>
  <c r="D123" i="22"/>
  <c r="G131" i="22"/>
  <c r="I131" i="22" s="1"/>
  <c r="G135" i="22"/>
  <c r="I135" i="22" s="1"/>
  <c r="D155" i="22"/>
  <c r="F17" i="22"/>
  <c r="F28" i="22"/>
  <c r="D44" i="22"/>
  <c r="D63" i="22"/>
  <c r="D153" i="22"/>
  <c r="G5" i="22"/>
  <c r="I5" i="22" s="1"/>
  <c r="G6" i="22"/>
  <c r="I6" i="22" s="1"/>
  <c r="G7" i="22"/>
  <c r="G9" i="22"/>
  <c r="G10" i="22"/>
  <c r="G11" i="22"/>
  <c r="AC20" i="22" s="1"/>
  <c r="AD20" i="22" s="1"/>
  <c r="G12" i="22"/>
  <c r="G13" i="22"/>
  <c r="G14" i="22"/>
  <c r="G15" i="22"/>
  <c r="I15" i="22" s="1"/>
  <c r="G19" i="22"/>
  <c r="G23" i="22"/>
  <c r="G27" i="22"/>
  <c r="I27" i="22" s="1"/>
  <c r="M27" i="22" s="1"/>
  <c r="G43" i="22"/>
  <c r="I43" i="22" s="1"/>
  <c r="G47" i="22"/>
  <c r="G51" i="22"/>
  <c r="G56" i="22"/>
  <c r="I56" i="22" s="1"/>
  <c r="G60" i="22"/>
  <c r="I60" i="22" s="1"/>
  <c r="G65" i="22"/>
  <c r="G72" i="22"/>
  <c r="F99" i="22"/>
  <c r="G90" i="22"/>
  <c r="G114" i="22"/>
  <c r="G118" i="22"/>
  <c r="G120" i="22"/>
  <c r="I120" i="22" s="1"/>
  <c r="G142" i="22"/>
  <c r="I142" i="22" s="1"/>
  <c r="D152" i="22"/>
  <c r="K859" i="22"/>
  <c r="C860" i="22"/>
  <c r="D867" i="22"/>
  <c r="G870" i="22"/>
  <c r="AC317" i="22"/>
  <c r="AD317" i="22" s="1"/>
  <c r="AC339" i="22"/>
  <c r="AD339" i="22" s="1"/>
  <c r="B891" i="22"/>
  <c r="B892" i="22"/>
  <c r="B893" i="22"/>
  <c r="B894" i="22"/>
  <c r="B895" i="22"/>
  <c r="G895" i="22"/>
  <c r="B896" i="22"/>
  <c r="G896" i="22"/>
  <c r="B897" i="22"/>
  <c r="G897" i="22"/>
  <c r="B898" i="22"/>
  <c r="B903" i="22"/>
  <c r="I119" i="22"/>
  <c r="AC209" i="22"/>
  <c r="AD209" i="22" s="1"/>
  <c r="D18" i="22"/>
  <c r="D45" i="22"/>
  <c r="D47" i="22"/>
  <c r="D49" i="22"/>
  <c r="D51" i="22"/>
  <c r="D61" i="22"/>
  <c r="G66" i="22"/>
  <c r="I66" i="22" s="1"/>
  <c r="F83" i="22"/>
  <c r="D5" i="22"/>
  <c r="D6" i="22"/>
  <c r="D9" i="22"/>
  <c r="D10" i="22"/>
  <c r="D13" i="22"/>
  <c r="D14" i="22"/>
  <c r="F50" i="22"/>
  <c r="F64" i="22"/>
  <c r="F68" i="22"/>
  <c r="F72" i="22"/>
  <c r="D65" i="22"/>
  <c r="F78" i="22"/>
  <c r="G71" i="22"/>
  <c r="I71" i="22" s="1"/>
  <c r="M71" i="22" s="1"/>
  <c r="N71" i="22" s="1"/>
  <c r="D73" i="22"/>
  <c r="G74" i="22"/>
  <c r="F100" i="22"/>
  <c r="D90" i="22"/>
  <c r="F123" i="22"/>
  <c r="G136" i="22"/>
  <c r="I136" i="22" s="1"/>
  <c r="D157" i="22"/>
  <c r="G127" i="22"/>
  <c r="D127" i="22"/>
  <c r="D16" i="22"/>
  <c r="G17" i="22"/>
  <c r="D20" i="22"/>
  <c r="D22" i="22"/>
  <c r="D24" i="22"/>
  <c r="D26" i="22"/>
  <c r="F41" i="22"/>
  <c r="F45" i="22"/>
  <c r="F49" i="22"/>
  <c r="G40" i="22"/>
  <c r="D41" i="22"/>
  <c r="D43" i="22"/>
  <c r="I64" i="22"/>
  <c r="D67" i="22"/>
  <c r="D70" i="22"/>
  <c r="D121" i="22"/>
  <c r="F18" i="22"/>
  <c r="F20" i="22"/>
  <c r="F21" i="22"/>
  <c r="F22" i="22"/>
  <c r="F24" i="22"/>
  <c r="F25" i="22"/>
  <c r="F26" i="22"/>
  <c r="F39" i="22"/>
  <c r="F43" i="22"/>
  <c r="F47" i="22"/>
  <c r="G54" i="22"/>
  <c r="G58" i="22"/>
  <c r="I58" i="22" s="1"/>
  <c r="G62" i="22"/>
  <c r="F79" i="22"/>
  <c r="G69" i="22"/>
  <c r="I69" i="22" s="1"/>
  <c r="G92" i="22"/>
  <c r="I92" i="22" s="1"/>
  <c r="F126" i="22"/>
  <c r="D130" i="22"/>
  <c r="G75" i="22"/>
  <c r="D76" i="22"/>
  <c r="I80" i="22"/>
  <c r="I84" i="22"/>
  <c r="G88" i="22"/>
  <c r="G91" i="22"/>
  <c r="I91" i="22" s="1"/>
  <c r="D96" i="22"/>
  <c r="G99" i="22"/>
  <c r="D100" i="22"/>
  <c r="G101" i="22"/>
  <c r="I101" i="22" s="1"/>
  <c r="D104" i="22"/>
  <c r="G105" i="22"/>
  <c r="I105" i="22" s="1"/>
  <c r="D108" i="22"/>
  <c r="G109" i="22"/>
  <c r="I109" i="22" s="1"/>
  <c r="F122" i="22"/>
  <c r="F124" i="22"/>
  <c r="D114" i="22"/>
  <c r="G117" i="22"/>
  <c r="I117" i="22" s="1"/>
  <c r="D119" i="22"/>
  <c r="D122" i="22"/>
  <c r="D124" i="22"/>
  <c r="G125" i="22"/>
  <c r="I125" i="22" s="1"/>
  <c r="D131" i="22"/>
  <c r="D135" i="22"/>
  <c r="D137" i="22"/>
  <c r="D145" i="22"/>
  <c r="D148" i="22"/>
  <c r="D151" i="22"/>
  <c r="D154" i="22"/>
  <c r="D159" i="22"/>
  <c r="D161" i="22"/>
  <c r="D165" i="22"/>
  <c r="D169" i="22"/>
  <c r="D75" i="22"/>
  <c r="G78" i="22"/>
  <c r="I78" i="22" s="1"/>
  <c r="G82" i="22"/>
  <c r="I82" i="22" s="1"/>
  <c r="G86" i="22"/>
  <c r="I86" i="22" s="1"/>
  <c r="G89" i="22"/>
  <c r="G97" i="22"/>
  <c r="I97" i="22" s="1"/>
  <c r="G100" i="22"/>
  <c r="G115" i="22"/>
  <c r="I115" i="22" s="1"/>
  <c r="F130" i="22"/>
  <c r="G123" i="22"/>
  <c r="I123" i="22" s="1"/>
  <c r="G124" i="22"/>
  <c r="I124" i="22" s="1"/>
  <c r="G129" i="22"/>
  <c r="I129" i="22" s="1"/>
  <c r="G133" i="22"/>
  <c r="I133" i="22" s="1"/>
  <c r="F184" i="22"/>
  <c r="S215" i="22"/>
  <c r="X215" i="22" s="1"/>
  <c r="AC210" i="22"/>
  <c r="AD210" i="22" s="1"/>
  <c r="I867" i="22"/>
  <c r="O867" i="22"/>
  <c r="AC295" i="22"/>
  <c r="AD295" i="22" s="1"/>
  <c r="D869" i="22"/>
  <c r="K869" i="22"/>
  <c r="P869" i="22"/>
  <c r="S304" i="22"/>
  <c r="X304" i="22" s="1"/>
  <c r="F315" i="22"/>
  <c r="F317" i="22"/>
  <c r="M871" i="22"/>
  <c r="R871" i="22" s="1"/>
  <c r="F329" i="22"/>
  <c r="F331" i="22"/>
  <c r="F335" i="22"/>
  <c r="F339" i="22"/>
  <c r="S347" i="22"/>
  <c r="X347" i="22" s="1"/>
  <c r="S351" i="22"/>
  <c r="X351" i="22" s="1"/>
  <c r="F379" i="22"/>
  <c r="F395" i="22"/>
  <c r="F427" i="22"/>
  <c r="F443" i="22"/>
  <c r="F469" i="22"/>
  <c r="F473" i="22"/>
  <c r="S473" i="22"/>
  <c r="F485" i="22"/>
  <c r="S485" i="22"/>
  <c r="F487" i="22"/>
  <c r="S487" i="22"/>
  <c r="F489" i="22"/>
  <c r="F503" i="22"/>
  <c r="F507" i="22"/>
  <c r="F511" i="22"/>
  <c r="F515" i="22"/>
  <c r="F517" i="22"/>
  <c r="F519" i="22"/>
  <c r="F521" i="22"/>
  <c r="F527" i="22"/>
  <c r="S531" i="22"/>
  <c r="F533" i="22"/>
  <c r="F535" i="22"/>
  <c r="F539" i="22"/>
  <c r="F541" i="22"/>
  <c r="S707" i="22"/>
  <c r="S709" i="22"/>
  <c r="S711" i="22"/>
  <c r="F713" i="22"/>
  <c r="S713" i="22"/>
  <c r="S717" i="22"/>
  <c r="S719" i="22"/>
  <c r="S721" i="22"/>
  <c r="F725" i="22"/>
  <c r="S725" i="22"/>
  <c r="F737" i="22"/>
  <c r="S739" i="22"/>
  <c r="F769" i="22"/>
  <c r="S771" i="22"/>
  <c r="S778" i="22"/>
  <c r="F785" i="22"/>
  <c r="S787" i="22"/>
  <c r="F801" i="22"/>
  <c r="F817" i="22"/>
  <c r="F827" i="22"/>
  <c r="D4" i="22"/>
  <c r="F457" i="22"/>
  <c r="S196" i="22"/>
  <c r="X196" i="22" s="1"/>
  <c r="S198" i="22"/>
  <c r="X198" i="22" s="1"/>
  <c r="S200" i="22"/>
  <c r="X200" i="22" s="1"/>
  <c r="AC234" i="22"/>
  <c r="AD234" i="22" s="1"/>
  <c r="S275" i="22"/>
  <c r="X275" i="22" s="1"/>
  <c r="AC282" i="22"/>
  <c r="AD282" i="22" s="1"/>
  <c r="AC284" i="22"/>
  <c r="AD284" i="22" s="1"/>
  <c r="F543" i="22"/>
  <c r="F373" i="22"/>
  <c r="F322" i="22"/>
  <c r="S322" i="22"/>
  <c r="X322" i="22" s="1"/>
  <c r="F324" i="22"/>
  <c r="S324" i="22"/>
  <c r="X324" i="22" s="1"/>
  <c r="F326" i="22"/>
  <c r="F328" i="22"/>
  <c r="F330" i="22"/>
  <c r="S329" i="22"/>
  <c r="X329" i="22" s="1"/>
  <c r="F332" i="22"/>
  <c r="F333" i="22"/>
  <c r="F336" i="22"/>
  <c r="F337" i="22"/>
  <c r="F352" i="22"/>
  <c r="S352" i="22"/>
  <c r="X352" i="22" s="1"/>
  <c r="C874" i="22"/>
  <c r="F364" i="22"/>
  <c r="S360" i="22"/>
  <c r="F368" i="22"/>
  <c r="F370" i="22"/>
  <c r="F380" i="22"/>
  <c r="F382" i="22"/>
  <c r="F384" i="22"/>
  <c r="F386" i="22"/>
  <c r="F388" i="22"/>
  <c r="F396" i="22"/>
  <c r="F398" i="22"/>
  <c r="F400" i="22"/>
  <c r="F402" i="22"/>
  <c r="F404" i="22"/>
  <c r="F412" i="22"/>
  <c r="F414" i="22"/>
  <c r="F416" i="22"/>
  <c r="F418" i="22"/>
  <c r="F420" i="22"/>
  <c r="F428" i="22"/>
  <c r="F430" i="22"/>
  <c r="F432" i="22"/>
  <c r="F434" i="22"/>
  <c r="F436" i="22"/>
  <c r="F444" i="22"/>
  <c r="F446" i="22"/>
  <c r="F448" i="22"/>
  <c r="F450" i="22"/>
  <c r="F452" i="22"/>
  <c r="F460" i="22"/>
  <c r="F462" i="22"/>
  <c r="F464" i="22"/>
  <c r="F466" i="22"/>
  <c r="F468" i="22"/>
  <c r="F500" i="22"/>
  <c r="F532" i="22"/>
  <c r="D891" i="22"/>
  <c r="D892" i="22"/>
  <c r="D893" i="22"/>
  <c r="AC250" i="22"/>
  <c r="AD250" i="22" s="1"/>
  <c r="I865" i="22"/>
  <c r="O865" i="22"/>
  <c r="S258" i="22"/>
  <c r="X258" i="22" s="1"/>
  <c r="AC269" i="22"/>
  <c r="AD269" i="22" s="1"/>
  <c r="D861" i="22"/>
  <c r="S222" i="22"/>
  <c r="X222" i="22" s="1"/>
  <c r="AC233" i="22"/>
  <c r="AD233" i="22" s="1"/>
  <c r="AC241" i="22"/>
  <c r="AD241" i="22" s="1"/>
  <c r="AC258" i="22"/>
  <c r="AD258" i="22" s="1"/>
  <c r="AC316" i="22"/>
  <c r="AD316" i="22" s="1"/>
  <c r="AC328" i="22"/>
  <c r="AD328" i="22" s="1"/>
  <c r="AC340" i="22"/>
  <c r="AD340" i="22" s="1"/>
  <c r="K877" i="22"/>
  <c r="P877" i="22"/>
  <c r="K881" i="22"/>
  <c r="P881" i="22"/>
  <c r="F476" i="22"/>
  <c r="F555" i="22"/>
  <c r="F557" i="22"/>
  <c r="F559" i="22"/>
  <c r="S559" i="22"/>
  <c r="F561" i="22"/>
  <c r="S561" i="22"/>
  <c r="F563" i="22"/>
  <c r="F686" i="22"/>
  <c r="S686" i="22"/>
  <c r="C901" i="22"/>
  <c r="I901" i="22"/>
  <c r="O901" i="22"/>
  <c r="F688" i="22"/>
  <c r="S688" i="22"/>
  <c r="F690" i="22"/>
  <c r="S690" i="22"/>
  <c r="F692" i="22"/>
  <c r="S692" i="22"/>
  <c r="F694" i="22"/>
  <c r="S694" i="22"/>
  <c r="F696" i="22"/>
  <c r="F698" i="22"/>
  <c r="C902" i="22"/>
  <c r="F700" i="22"/>
  <c r="F702" i="22"/>
  <c r="F704" i="22"/>
  <c r="F706" i="22"/>
  <c r="S706" i="22"/>
  <c r="F708" i="22"/>
  <c r="S708" i="22"/>
  <c r="F710" i="22"/>
  <c r="S710" i="22"/>
  <c r="F712" i="22"/>
  <c r="S712" i="22"/>
  <c r="S752" i="22"/>
  <c r="F782" i="22"/>
  <c r="S784" i="22"/>
  <c r="S799" i="22"/>
  <c r="S831" i="22"/>
  <c r="D894" i="22"/>
  <c r="D895" i="22"/>
  <c r="D896" i="22"/>
  <c r="D897" i="22"/>
  <c r="D898" i="22"/>
  <c r="D899" i="22"/>
  <c r="K899" i="22"/>
  <c r="P899" i="22"/>
  <c r="D900" i="22"/>
  <c r="K900" i="22"/>
  <c r="P900" i="22"/>
  <c r="D901" i="22"/>
  <c r="K901" i="22"/>
  <c r="P901" i="22"/>
  <c r="S563" i="22"/>
  <c r="F565" i="22"/>
  <c r="S565" i="22"/>
  <c r="F567" i="22"/>
  <c r="M891" i="22"/>
  <c r="R891" i="22" s="1"/>
  <c r="F569" i="22"/>
  <c r="S569" i="22"/>
  <c r="F571" i="22"/>
  <c r="S571" i="22"/>
  <c r="F573" i="22"/>
  <c r="S573" i="22"/>
  <c r="F575" i="22"/>
  <c r="S575" i="22"/>
  <c r="T575" i="22" s="1"/>
  <c r="F577" i="22"/>
  <c r="S577" i="22"/>
  <c r="T577" i="22" s="1"/>
  <c r="F579" i="22"/>
  <c r="M892" i="22"/>
  <c r="N892" i="22" s="1"/>
  <c r="F581" i="22"/>
  <c r="S581" i="22"/>
  <c r="T581" i="22" s="1"/>
  <c r="F583" i="22"/>
  <c r="S583" i="22"/>
  <c r="F585" i="22"/>
  <c r="S585" i="22"/>
  <c r="T585" i="22" s="1"/>
  <c r="F587" i="22"/>
  <c r="S587" i="22"/>
  <c r="T587" i="22" s="1"/>
  <c r="F589" i="22"/>
  <c r="S589" i="22"/>
  <c r="T589" i="22" s="1"/>
  <c r="F591" i="22"/>
  <c r="M893" i="22"/>
  <c r="N893" i="22" s="1"/>
  <c r="F593" i="22"/>
  <c r="S593" i="22"/>
  <c r="T593" i="22" s="1"/>
  <c r="F595" i="22"/>
  <c r="S595" i="22"/>
  <c r="T595" i="22" s="1"/>
  <c r="F597" i="22"/>
  <c r="S597" i="22"/>
  <c r="T597" i="22" s="1"/>
  <c r="F599" i="22"/>
  <c r="S599" i="22"/>
  <c r="T599" i="22" s="1"/>
  <c r="F601" i="22"/>
  <c r="S601" i="22"/>
  <c r="T601" i="22" s="1"/>
  <c r="F603" i="22"/>
  <c r="F605" i="22"/>
  <c r="S605" i="22"/>
  <c r="F607" i="22"/>
  <c r="S607" i="22"/>
  <c r="F609" i="22"/>
  <c r="S609" i="22"/>
  <c r="F611" i="22"/>
  <c r="S611" i="22"/>
  <c r="F613" i="22"/>
  <c r="S613" i="22"/>
  <c r="F615" i="22"/>
  <c r="M895" i="22"/>
  <c r="R895" i="22" s="1"/>
  <c r="F617" i="22"/>
  <c r="S617" i="22"/>
  <c r="F619" i="22"/>
  <c r="S619" i="22"/>
  <c r="T619" i="22" s="1"/>
  <c r="F621" i="22"/>
  <c r="S621" i="22"/>
  <c r="T621" i="22" s="1"/>
  <c r="F623" i="22"/>
  <c r="S623" i="22"/>
  <c r="T623" i="22" s="1"/>
  <c r="F625" i="22"/>
  <c r="S625" i="22"/>
  <c r="T625" i="22" s="1"/>
  <c r="F627" i="22"/>
  <c r="M896" i="22"/>
  <c r="N896" i="22" s="1"/>
  <c r="F629" i="22"/>
  <c r="S629" i="22"/>
  <c r="T629" i="22" s="1"/>
  <c r="F631" i="22"/>
  <c r="S631" i="22"/>
  <c r="T631" i="22" s="1"/>
  <c r="F633" i="22"/>
  <c r="S633" i="22"/>
  <c r="T633" i="22" s="1"/>
  <c r="F635" i="22"/>
  <c r="S635" i="22"/>
  <c r="T635" i="22" s="1"/>
  <c r="F637" i="22"/>
  <c r="S637" i="22"/>
  <c r="T637" i="22" s="1"/>
  <c r="F639" i="22"/>
  <c r="M897" i="22"/>
  <c r="R897" i="22" s="1"/>
  <c r="F641" i="22"/>
  <c r="S641" i="22"/>
  <c r="T641" i="22" s="1"/>
  <c r="F643" i="22"/>
  <c r="S643" i="22"/>
  <c r="T643" i="22" s="1"/>
  <c r="F645" i="22"/>
  <c r="S645" i="22"/>
  <c r="T645" i="22" s="1"/>
  <c r="S731" i="22"/>
  <c r="S826" i="22"/>
  <c r="S835" i="22"/>
  <c r="I99" i="22"/>
  <c r="D55" i="22"/>
  <c r="D59" i="22"/>
  <c r="D79" i="22"/>
  <c r="D87" i="22"/>
  <c r="I95" i="22"/>
  <c r="I107" i="22"/>
  <c r="M107" i="22" s="1"/>
  <c r="D110" i="22"/>
  <c r="D141" i="22"/>
  <c r="D163" i="22"/>
  <c r="D167" i="22"/>
  <c r="D171" i="22"/>
  <c r="D8" i="22"/>
  <c r="D30" i="22"/>
  <c r="D34" i="22"/>
  <c r="D38" i="22"/>
  <c r="D52" i="22"/>
  <c r="D60" i="22"/>
  <c r="D28" i="22"/>
  <c r="D32" i="22"/>
  <c r="D36" i="22"/>
  <c r="V68" i="22"/>
  <c r="I103" i="22"/>
  <c r="D106" i="22"/>
  <c r="D126" i="22"/>
  <c r="D143" i="22"/>
  <c r="V75" i="22"/>
  <c r="D134" i="22"/>
  <c r="D139" i="22"/>
  <c r="D147" i="22"/>
  <c r="D150" i="22"/>
  <c r="D54" i="22"/>
  <c r="D58" i="22"/>
  <c r="D62" i="22"/>
  <c r="V66" i="22"/>
  <c r="D83" i="22"/>
  <c r="I93" i="22"/>
  <c r="D29" i="22"/>
  <c r="D33" i="22"/>
  <c r="D37" i="22"/>
  <c r="V70" i="22"/>
  <c r="V72" i="22"/>
  <c r="V74" i="22"/>
  <c r="D56" i="22"/>
  <c r="I76" i="22"/>
  <c r="D31" i="22"/>
  <c r="D35" i="22"/>
  <c r="D39" i="22"/>
  <c r="D53" i="22"/>
  <c r="D57" i="22"/>
  <c r="V76" i="22"/>
  <c r="AC315" i="22"/>
  <c r="AD315" i="22" s="1"/>
  <c r="F389" i="22"/>
  <c r="E878" i="22"/>
  <c r="F411" i="22"/>
  <c r="F453" i="22"/>
  <c r="F548" i="22"/>
  <c r="F185" i="22"/>
  <c r="F193" i="22"/>
  <c r="I861" i="22"/>
  <c r="O861" i="22"/>
  <c r="AC217" i="22"/>
  <c r="AD217" i="22" s="1"/>
  <c r="AC226" i="22"/>
  <c r="AD226" i="22" s="1"/>
  <c r="I863" i="22"/>
  <c r="O863" i="22"/>
  <c r="F234" i="22"/>
  <c r="S234" i="22"/>
  <c r="X234" i="22" s="1"/>
  <c r="S251" i="22"/>
  <c r="X251" i="22" s="1"/>
  <c r="D865" i="22"/>
  <c r="AC260" i="22"/>
  <c r="AD260" i="22" s="1"/>
  <c r="AC262" i="22"/>
  <c r="AD262" i="22" s="1"/>
  <c r="AC273" i="22"/>
  <c r="AD273" i="22" s="1"/>
  <c r="S281" i="22"/>
  <c r="X281" i="22" s="1"/>
  <c r="S287" i="22"/>
  <c r="T287" i="22" s="1"/>
  <c r="F294" i="22"/>
  <c r="S296" i="22"/>
  <c r="X296" i="22" s="1"/>
  <c r="S300" i="22"/>
  <c r="X300" i="22" s="1"/>
  <c r="S302" i="22"/>
  <c r="X302" i="22" s="1"/>
  <c r="AC304" i="22"/>
  <c r="AD304" i="22" s="1"/>
  <c r="AC308" i="22"/>
  <c r="AD308" i="22" s="1"/>
  <c r="F313" i="22"/>
  <c r="F314" i="22"/>
  <c r="C870" i="22"/>
  <c r="I870" i="22"/>
  <c r="O870" i="22"/>
  <c r="F319" i="22"/>
  <c r="F321" i="22"/>
  <c r="S326" i="22"/>
  <c r="X326" i="22" s="1"/>
  <c r="B871" i="22"/>
  <c r="AC324" i="22"/>
  <c r="AD324" i="22" s="1"/>
  <c r="AC332" i="22"/>
  <c r="AD332" i="22" s="1"/>
  <c r="AC336" i="22"/>
  <c r="AD336" i="22" s="1"/>
  <c r="AC338" i="22"/>
  <c r="AD338" i="22" s="1"/>
  <c r="F340" i="22"/>
  <c r="S342" i="22"/>
  <c r="X342" i="22" s="1"/>
  <c r="S346" i="22"/>
  <c r="X346" i="22" s="1"/>
  <c r="S350" i="22"/>
  <c r="X350" i="22" s="1"/>
  <c r="F353" i="22"/>
  <c r="F372" i="22"/>
  <c r="F374" i="22"/>
  <c r="F383" i="22"/>
  <c r="K876" i="22"/>
  <c r="P876" i="22"/>
  <c r="F377" i="22"/>
  <c r="F390" i="22"/>
  <c r="F392" i="22"/>
  <c r="E877" i="22"/>
  <c r="F399" i="22"/>
  <c r="F393" i="22"/>
  <c r="F406" i="22"/>
  <c r="F408" i="22"/>
  <c r="F415" i="22"/>
  <c r="F409" i="22"/>
  <c r="F422" i="22"/>
  <c r="F424" i="22"/>
  <c r="F431" i="22"/>
  <c r="K880" i="22"/>
  <c r="P880" i="22"/>
  <c r="F425" i="22"/>
  <c r="F438" i="22"/>
  <c r="F440" i="22"/>
  <c r="E881" i="22"/>
  <c r="F447" i="22"/>
  <c r="F441" i="22"/>
  <c r="F454" i="22"/>
  <c r="F456" i="22"/>
  <c r="F463" i="22"/>
  <c r="F470" i="22"/>
  <c r="F472" i="22"/>
  <c r="F474" i="22"/>
  <c r="F478" i="22"/>
  <c r="F482" i="22"/>
  <c r="S482" i="22"/>
  <c r="F491" i="22"/>
  <c r="F495" i="22"/>
  <c r="F508" i="22"/>
  <c r="F523" i="22"/>
  <c r="F525" i="22"/>
  <c r="F529" i="22"/>
  <c r="F540" i="22"/>
  <c r="F545" i="22"/>
  <c r="F547" i="22"/>
  <c r="F549" i="22"/>
  <c r="F551" i="22"/>
  <c r="F556" i="22"/>
  <c r="S556" i="22"/>
  <c r="F558" i="22"/>
  <c r="S558" i="22"/>
  <c r="F552" i="22"/>
  <c r="S209" i="22"/>
  <c r="X209" i="22" s="1"/>
  <c r="AC286" i="22"/>
  <c r="AD286" i="22" s="1"/>
  <c r="F405" i="22"/>
  <c r="F437" i="22"/>
  <c r="F481" i="22"/>
  <c r="AC191" i="22"/>
  <c r="AD191" i="22" s="1"/>
  <c r="S203" i="22"/>
  <c r="S210" i="22"/>
  <c r="X210" i="22" s="1"/>
  <c r="AC221" i="22"/>
  <c r="AD221" i="22" s="1"/>
  <c r="S227" i="22"/>
  <c r="D863" i="22"/>
  <c r="AC236" i="22"/>
  <c r="AD236" i="22" s="1"/>
  <c r="AC238" i="22"/>
  <c r="AD238" i="22" s="1"/>
  <c r="AC247" i="22"/>
  <c r="AD247" i="22" s="1"/>
  <c r="AC251" i="22"/>
  <c r="AD251" i="22" s="1"/>
  <c r="S257" i="22"/>
  <c r="X257" i="22" s="1"/>
  <c r="S263" i="22"/>
  <c r="X263" i="22" s="1"/>
  <c r="S270" i="22"/>
  <c r="X270" i="22" s="1"/>
  <c r="S268" i="22"/>
  <c r="X268" i="22" s="1"/>
  <c r="AC281" i="22"/>
  <c r="AD281" i="22" s="1"/>
  <c r="AC289" i="22"/>
  <c r="AD289" i="22" s="1"/>
  <c r="AC312" i="22"/>
  <c r="AD312" i="22" s="1"/>
  <c r="AC314" i="22"/>
  <c r="AD314" i="22" s="1"/>
  <c r="D870" i="22"/>
  <c r="F316" i="22"/>
  <c r="S316" i="22"/>
  <c r="X316" i="22" s="1"/>
  <c r="F323" i="22"/>
  <c r="F325" i="22"/>
  <c r="C871" i="22"/>
  <c r="E872" i="22"/>
  <c r="K872" i="22"/>
  <c r="P872" i="22"/>
  <c r="F334" i="22"/>
  <c r="F338" i="22"/>
  <c r="C873" i="22"/>
  <c r="F371" i="22"/>
  <c r="F376" i="22"/>
  <c r="F378" i="22"/>
  <c r="E876" i="22"/>
  <c r="F387" i="22"/>
  <c r="F381" i="22"/>
  <c r="F394" i="22"/>
  <c r="F403" i="22"/>
  <c r="F397" i="22"/>
  <c r="F410" i="22"/>
  <c r="F419" i="22"/>
  <c r="K879" i="22"/>
  <c r="P879" i="22"/>
  <c r="F413" i="22"/>
  <c r="F426" i="22"/>
  <c r="E880" i="22"/>
  <c r="F435" i="22"/>
  <c r="F429" i="22"/>
  <c r="F442" i="22"/>
  <c r="F451" i="22"/>
  <c r="F445" i="22"/>
  <c r="F458" i="22"/>
  <c r="F465" i="22"/>
  <c r="F467" i="22"/>
  <c r="K883" i="22"/>
  <c r="P883" i="22"/>
  <c r="F461" i="22"/>
  <c r="F475" i="22"/>
  <c r="F479" i="22"/>
  <c r="S483" i="22"/>
  <c r="F486" i="22"/>
  <c r="S486" i="22"/>
  <c r="F493" i="22"/>
  <c r="F497" i="22"/>
  <c r="F499" i="22"/>
  <c r="F501" i="22"/>
  <c r="F505" i="22"/>
  <c r="F516" i="22"/>
  <c r="F531" i="22"/>
  <c r="F537" i="22"/>
  <c r="F553" i="22"/>
  <c r="S553" i="22"/>
  <c r="G891" i="22"/>
  <c r="G892" i="22"/>
  <c r="G893" i="22"/>
  <c r="G894" i="22"/>
  <c r="S220" i="22"/>
  <c r="X220" i="22" s="1"/>
  <c r="F421" i="22"/>
  <c r="E882" i="22"/>
  <c r="F459" i="22"/>
  <c r="F192" i="22"/>
  <c r="S194" i="22"/>
  <c r="X194" i="22" s="1"/>
  <c r="AC199" i="22"/>
  <c r="AD199" i="22" s="1"/>
  <c r="AC203" i="22"/>
  <c r="AD203" i="22" s="1"/>
  <c r="AC212" i="22"/>
  <c r="AD212" i="22" s="1"/>
  <c r="AC214" i="22"/>
  <c r="AD214" i="22" s="1"/>
  <c r="AC225" i="22"/>
  <c r="AD225" i="22" s="1"/>
  <c r="S233" i="22"/>
  <c r="X233" i="22" s="1"/>
  <c r="S239" i="22"/>
  <c r="T239" i="22" s="1"/>
  <c r="S246" i="22"/>
  <c r="X246" i="22" s="1"/>
  <c r="S244" i="22"/>
  <c r="AC257" i="22"/>
  <c r="AD257" i="22" s="1"/>
  <c r="AC265" i="22"/>
  <c r="AD265" i="22" s="1"/>
  <c r="AC274" i="22"/>
  <c r="AD274" i="22" s="1"/>
  <c r="F282" i="22"/>
  <c r="S282" i="22"/>
  <c r="X282" i="22" s="1"/>
  <c r="S299" i="22"/>
  <c r="X299" i="22" s="1"/>
  <c r="S301" i="22"/>
  <c r="X301" i="22" s="1"/>
  <c r="C869" i="22"/>
  <c r="I869" i="22"/>
  <c r="O869" i="22"/>
  <c r="F305" i="22"/>
  <c r="AC306" i="22"/>
  <c r="AD306" i="22" s="1"/>
  <c r="F309" i="22"/>
  <c r="AC310" i="22"/>
  <c r="AD310" i="22" s="1"/>
  <c r="F318" i="22"/>
  <c r="S318" i="22"/>
  <c r="X318" i="22" s="1"/>
  <c r="F320" i="22"/>
  <c r="S320" i="22"/>
  <c r="X320" i="22" s="1"/>
  <c r="S336" i="22"/>
  <c r="F356" i="22"/>
  <c r="S356" i="22"/>
  <c r="X356" i="22" s="1"/>
  <c r="S362" i="22"/>
  <c r="G874" i="22"/>
  <c r="F375" i="22"/>
  <c r="F369" i="22"/>
  <c r="F391" i="22"/>
  <c r="F385" i="22"/>
  <c r="F407" i="22"/>
  <c r="K878" i="22"/>
  <c r="P878" i="22"/>
  <c r="F401" i="22"/>
  <c r="E879" i="22"/>
  <c r="F423" i="22"/>
  <c r="F417" i="22"/>
  <c r="F439" i="22"/>
  <c r="F433" i="22"/>
  <c r="F455" i="22"/>
  <c r="K882" i="22"/>
  <c r="P882" i="22"/>
  <c r="F449" i="22"/>
  <c r="E883" i="22"/>
  <c r="F471" i="22"/>
  <c r="F480" i="22"/>
  <c r="F484" i="22"/>
  <c r="S484" i="22"/>
  <c r="F477" i="22"/>
  <c r="S488" i="22"/>
  <c r="F509" i="22"/>
  <c r="F513" i="22"/>
  <c r="F524" i="22"/>
  <c r="S544" i="22"/>
  <c r="F546" i="22"/>
  <c r="F550" i="22"/>
  <c r="B890" i="22"/>
  <c r="F544" i="22"/>
  <c r="M890" i="22"/>
  <c r="R890" i="22" s="1"/>
  <c r="S555" i="22"/>
  <c r="S557" i="22"/>
  <c r="P874" i="22"/>
  <c r="C875" i="22"/>
  <c r="G875" i="22"/>
  <c r="S379" i="22"/>
  <c r="S383" i="22"/>
  <c r="X383" i="22" s="1"/>
  <c r="B876" i="22"/>
  <c r="S386" i="22"/>
  <c r="X386" i="22" s="1"/>
  <c r="S391" i="22"/>
  <c r="T391" i="22" s="1"/>
  <c r="S395" i="22"/>
  <c r="T395" i="22" s="1"/>
  <c r="B877" i="22"/>
  <c r="S398" i="22"/>
  <c r="X398" i="22" s="1"/>
  <c r="S403" i="22"/>
  <c r="T403" i="22" s="1"/>
  <c r="S407" i="22"/>
  <c r="X407" i="22" s="1"/>
  <c r="B878" i="22"/>
  <c r="S410" i="22"/>
  <c r="X410" i="22" s="1"/>
  <c r="S415" i="22"/>
  <c r="S419" i="22"/>
  <c r="X419" i="22" s="1"/>
  <c r="B879" i="22"/>
  <c r="S422" i="22"/>
  <c r="X422" i="22" s="1"/>
  <c r="S427" i="22"/>
  <c r="T427" i="22" s="1"/>
  <c r="S431" i="22"/>
  <c r="T431" i="22" s="1"/>
  <c r="B880" i="22"/>
  <c r="S434" i="22"/>
  <c r="X434" i="22" s="1"/>
  <c r="S439" i="22"/>
  <c r="T439" i="22" s="1"/>
  <c r="S443" i="22"/>
  <c r="X443" i="22" s="1"/>
  <c r="B881" i="22"/>
  <c r="S446" i="22"/>
  <c r="X446" i="22" s="1"/>
  <c r="S451" i="22"/>
  <c r="T451" i="22" s="1"/>
  <c r="S455" i="22"/>
  <c r="T455" i="22" s="1"/>
  <c r="B882" i="22"/>
  <c r="S458" i="22"/>
  <c r="X458" i="22" s="1"/>
  <c r="S463" i="22"/>
  <c r="S467" i="22"/>
  <c r="T467" i="22" s="1"/>
  <c r="B883" i="22"/>
  <c r="S470" i="22"/>
  <c r="T470" i="22" s="1"/>
  <c r="F490" i="22"/>
  <c r="D885" i="22"/>
  <c r="I885" i="22"/>
  <c r="O885" i="22"/>
  <c r="S500" i="22"/>
  <c r="F502" i="22"/>
  <c r="S508" i="22"/>
  <c r="F510" i="22"/>
  <c r="S516" i="22"/>
  <c r="F518" i="22"/>
  <c r="S524" i="22"/>
  <c r="F526" i="22"/>
  <c r="F534" i="22"/>
  <c r="F542" i="22"/>
  <c r="C890" i="22"/>
  <c r="G890" i="22"/>
  <c r="S567" i="22"/>
  <c r="S579" i="22"/>
  <c r="S591" i="22"/>
  <c r="I894" i="22"/>
  <c r="O894" i="22"/>
  <c r="S730" i="22"/>
  <c r="F753" i="22"/>
  <c r="S800" i="22"/>
  <c r="F833" i="22"/>
  <c r="C876" i="22"/>
  <c r="G876" i="22"/>
  <c r="C877" i="22"/>
  <c r="G877" i="22"/>
  <c r="C878" i="22"/>
  <c r="G878" i="22"/>
  <c r="C879" i="22"/>
  <c r="G879" i="22"/>
  <c r="C880" i="22"/>
  <c r="G880" i="22"/>
  <c r="C881" i="22"/>
  <c r="G881" i="22"/>
  <c r="C882" i="22"/>
  <c r="G882" i="22"/>
  <c r="E884" i="22"/>
  <c r="K884" i="22"/>
  <c r="P884" i="22"/>
  <c r="F494" i="22"/>
  <c r="E885" i="22"/>
  <c r="K885" i="22"/>
  <c r="P885" i="22"/>
  <c r="F496" i="22"/>
  <c r="F498" i="22"/>
  <c r="F504" i="22"/>
  <c r="F512" i="22"/>
  <c r="F520" i="22"/>
  <c r="F528" i="22"/>
  <c r="F536" i="22"/>
  <c r="D890" i="22"/>
  <c r="I890" i="22"/>
  <c r="O890" i="22"/>
  <c r="S695" i="22"/>
  <c r="S715" i="22"/>
  <c r="S736" i="22"/>
  <c r="S816" i="22"/>
  <c r="E875" i="22"/>
  <c r="K875" i="22"/>
  <c r="P875" i="22"/>
  <c r="S381" i="22"/>
  <c r="X381" i="22" s="1"/>
  <c r="S385" i="22"/>
  <c r="D876" i="22"/>
  <c r="I876" i="22"/>
  <c r="O876" i="22"/>
  <c r="S389" i="22"/>
  <c r="X389" i="22" s="1"/>
  <c r="S393" i="22"/>
  <c r="S397" i="22"/>
  <c r="X397" i="22" s="1"/>
  <c r="D877" i="22"/>
  <c r="I877" i="22"/>
  <c r="O877" i="22"/>
  <c r="S401" i="22"/>
  <c r="X401" i="22" s="1"/>
  <c r="S405" i="22"/>
  <c r="X405" i="22" s="1"/>
  <c r="S409" i="22"/>
  <c r="D878" i="22"/>
  <c r="I878" i="22"/>
  <c r="O878" i="22"/>
  <c r="S413" i="22"/>
  <c r="S417" i="22"/>
  <c r="S421" i="22"/>
  <c r="X421" i="22" s="1"/>
  <c r="D879" i="22"/>
  <c r="I879" i="22"/>
  <c r="O879" i="22"/>
  <c r="S425" i="22"/>
  <c r="X425" i="22" s="1"/>
  <c r="S429" i="22"/>
  <c r="X429" i="22" s="1"/>
  <c r="S433" i="22"/>
  <c r="D880" i="22"/>
  <c r="I880" i="22"/>
  <c r="O880" i="22"/>
  <c r="S437" i="22"/>
  <c r="S441" i="22"/>
  <c r="S445" i="22"/>
  <c r="X445" i="22" s="1"/>
  <c r="D881" i="22"/>
  <c r="I881" i="22"/>
  <c r="O881" i="22"/>
  <c r="S449" i="22"/>
  <c r="X449" i="22" s="1"/>
  <c r="S453" i="22"/>
  <c r="X453" i="22" s="1"/>
  <c r="S457" i="22"/>
  <c r="D882" i="22"/>
  <c r="I882" i="22"/>
  <c r="O882" i="22"/>
  <c r="S461" i="22"/>
  <c r="S465" i="22"/>
  <c r="S469" i="22"/>
  <c r="S481" i="22"/>
  <c r="F488" i="22"/>
  <c r="S489" i="22"/>
  <c r="F492" i="22"/>
  <c r="S493" i="22"/>
  <c r="T493" i="22" s="1"/>
  <c r="F483" i="22"/>
  <c r="S497" i="22"/>
  <c r="S504" i="22"/>
  <c r="F506" i="22"/>
  <c r="S512" i="22"/>
  <c r="F514" i="22"/>
  <c r="K887" i="22"/>
  <c r="S520" i="22"/>
  <c r="F522" i="22"/>
  <c r="S528" i="22"/>
  <c r="F530" i="22"/>
  <c r="F538" i="22"/>
  <c r="E889" i="22"/>
  <c r="M894" i="22"/>
  <c r="R894" i="22" s="1"/>
  <c r="S603" i="22"/>
  <c r="T603" i="22" s="1"/>
  <c r="B904" i="22"/>
  <c r="S727" i="22"/>
  <c r="S729" i="22"/>
  <c r="F733" i="22"/>
  <c r="S733" i="22"/>
  <c r="S723" i="22"/>
  <c r="S819" i="22"/>
  <c r="S832" i="22"/>
  <c r="S615" i="22"/>
  <c r="S627" i="22"/>
  <c r="S639" i="22"/>
  <c r="I898" i="22"/>
  <c r="O898" i="22"/>
  <c r="D902" i="22"/>
  <c r="K902" i="22"/>
  <c r="P902" i="22"/>
  <c r="S714" i="22"/>
  <c r="F716" i="22"/>
  <c r="S716" i="22"/>
  <c r="S718" i="22"/>
  <c r="F720" i="22"/>
  <c r="S720" i="22"/>
  <c r="S722" i="22"/>
  <c r="C904" i="22"/>
  <c r="F724" i="22"/>
  <c r="S724" i="22"/>
  <c r="F727" i="22"/>
  <c r="F732" i="22"/>
  <c r="S732" i="22"/>
  <c r="F735" i="22"/>
  <c r="M905" i="22"/>
  <c r="R905" i="22" s="1"/>
  <c r="F743" i="22"/>
  <c r="S791" i="22"/>
  <c r="F852" i="22"/>
  <c r="F649" i="22"/>
  <c r="S659" i="22"/>
  <c r="F665" i="22"/>
  <c r="S665" i="22"/>
  <c r="F667" i="22"/>
  <c r="S667" i="22"/>
  <c r="F669" i="22"/>
  <c r="S669" i="22"/>
  <c r="F671" i="22"/>
  <c r="S671" i="22"/>
  <c r="T671" i="22" s="1"/>
  <c r="F673" i="22"/>
  <c r="S673" i="22"/>
  <c r="F677" i="22"/>
  <c r="S677" i="22"/>
  <c r="F679" i="22"/>
  <c r="S679" i="22"/>
  <c r="F681" i="22"/>
  <c r="S681" i="22"/>
  <c r="F683" i="22"/>
  <c r="S683" i="22"/>
  <c r="F685" i="22"/>
  <c r="S685" i="22"/>
  <c r="F689" i="22"/>
  <c r="S689" i="22"/>
  <c r="F691" i="22"/>
  <c r="S691" i="22"/>
  <c r="F693" i="22"/>
  <c r="S693" i="22"/>
  <c r="F695" i="22"/>
  <c r="F697" i="22"/>
  <c r="F701" i="22"/>
  <c r="F703" i="22"/>
  <c r="F705" i="22"/>
  <c r="K903" i="22"/>
  <c r="P903" i="22"/>
  <c r="S726" i="22"/>
  <c r="F729" i="22"/>
  <c r="S734" i="22"/>
  <c r="B905" i="22"/>
  <c r="S735" i="22"/>
  <c r="T735" i="22" s="1"/>
  <c r="F763" i="22"/>
  <c r="S762" i="22"/>
  <c r="S755" i="22"/>
  <c r="F766" i="22"/>
  <c r="S767" i="22"/>
  <c r="S775" i="22"/>
  <c r="S768" i="22"/>
  <c r="F811" i="22"/>
  <c r="S810" i="22"/>
  <c r="S803" i="22"/>
  <c r="F814" i="22"/>
  <c r="M903" i="22"/>
  <c r="R903" i="22" s="1"/>
  <c r="S647" i="22"/>
  <c r="S648" i="22"/>
  <c r="S649" i="22"/>
  <c r="S650" i="22"/>
  <c r="S652" i="22"/>
  <c r="S653" i="22"/>
  <c r="S654" i="22"/>
  <c r="S655" i="22"/>
  <c r="S656" i="22"/>
  <c r="F715" i="22"/>
  <c r="F717" i="22"/>
  <c r="F719" i="22"/>
  <c r="F721" i="22"/>
  <c r="F723" i="22"/>
  <c r="M904" i="22"/>
  <c r="F728" i="22"/>
  <c r="S728" i="22"/>
  <c r="T728" i="22" s="1"/>
  <c r="F731" i="22"/>
  <c r="F736" i="22"/>
  <c r="S746" i="22"/>
  <c r="F750" i="22"/>
  <c r="S794" i="22"/>
  <c r="F798" i="22"/>
  <c r="I12" i="22"/>
  <c r="I7" i="22"/>
  <c r="I9" i="22"/>
  <c r="I10" i="22"/>
  <c r="I13" i="22"/>
  <c r="I54" i="22"/>
  <c r="I62" i="22"/>
  <c r="G4" i="22"/>
  <c r="G8" i="22"/>
  <c r="I22" i="22"/>
  <c r="I24" i="22"/>
  <c r="I47" i="22"/>
  <c r="V77" i="22"/>
  <c r="V65" i="22"/>
  <c r="V81" i="22"/>
  <c r="V69" i="22"/>
  <c r="V83" i="22"/>
  <c r="V71" i="22"/>
  <c r="V85" i="22"/>
  <c r="V73" i="22"/>
  <c r="G106" i="22"/>
  <c r="F117" i="22"/>
  <c r="G110" i="22"/>
  <c r="F121" i="22"/>
  <c r="I118" i="22"/>
  <c r="F137" i="22"/>
  <c r="G126" i="22"/>
  <c r="F152" i="22"/>
  <c r="G141" i="22"/>
  <c r="G152" i="22"/>
  <c r="I153" i="22"/>
  <c r="S189" i="22"/>
  <c r="X189" i="22" s="1"/>
  <c r="F203" i="22"/>
  <c r="F202" i="22"/>
  <c r="F210" i="22"/>
  <c r="F206" i="22"/>
  <c r="AC201" i="22"/>
  <c r="AD201" i="22" s="1"/>
  <c r="F204" i="22"/>
  <c r="D12" i="22"/>
  <c r="I17" i="22"/>
  <c r="I19" i="22"/>
  <c r="I23" i="22"/>
  <c r="I25" i="22"/>
  <c r="F40" i="22"/>
  <c r="F42" i="22"/>
  <c r="F44" i="22"/>
  <c r="F46" i="22"/>
  <c r="F48" i="22"/>
  <c r="I40" i="22"/>
  <c r="I42" i="22"/>
  <c r="M42" i="22" s="1"/>
  <c r="I44" i="22"/>
  <c r="I46" i="22"/>
  <c r="M46" i="22" s="1"/>
  <c r="I48" i="22"/>
  <c r="I50" i="22"/>
  <c r="M50" i="22" s="1"/>
  <c r="F63" i="22"/>
  <c r="F65" i="22"/>
  <c r="F67" i="22"/>
  <c r="I68" i="22"/>
  <c r="F69" i="22"/>
  <c r="I70" i="22"/>
  <c r="F71" i="22"/>
  <c r="I72" i="22"/>
  <c r="F73" i="22"/>
  <c r="I74" i="22"/>
  <c r="I75" i="22"/>
  <c r="I90" i="22"/>
  <c r="I94" i="22"/>
  <c r="M94" i="22" s="1"/>
  <c r="I98" i="22"/>
  <c r="I100" i="22"/>
  <c r="G104" i="22"/>
  <c r="F115" i="22"/>
  <c r="G108" i="22"/>
  <c r="F119" i="22"/>
  <c r="I114" i="22"/>
  <c r="I122" i="22"/>
  <c r="F134" i="22"/>
  <c r="F139" i="22"/>
  <c r="G128" i="22"/>
  <c r="F143" i="22"/>
  <c r="G132" i="22"/>
  <c r="F148" i="22"/>
  <c r="G137" i="22"/>
  <c r="I138" i="22"/>
  <c r="F156" i="22"/>
  <c r="G145" i="22"/>
  <c r="I146" i="22"/>
  <c r="F159" i="22"/>
  <c r="G148" i="22"/>
  <c r="I149" i="22"/>
  <c r="G156" i="22"/>
  <c r="I157" i="22"/>
  <c r="AC183" i="22"/>
  <c r="AD183" i="22" s="1"/>
  <c r="S186" i="22"/>
  <c r="X186" i="22" s="1"/>
  <c r="F187" i="22"/>
  <c r="S183" i="22"/>
  <c r="X183" i="22" s="1"/>
  <c r="E860" i="22"/>
  <c r="F195" i="22"/>
  <c r="AC195" i="22"/>
  <c r="AD195" i="22" s="1"/>
  <c r="F189" i="22"/>
  <c r="AC202" i="22"/>
  <c r="AD202" i="22" s="1"/>
  <c r="AC194" i="22"/>
  <c r="AD194" i="22" s="1"/>
  <c r="S206" i="22"/>
  <c r="B861" i="22"/>
  <c r="F196" i="22"/>
  <c r="M861" i="22"/>
  <c r="S207" i="22"/>
  <c r="S204" i="22"/>
  <c r="F218" i="22"/>
  <c r="S218" i="22"/>
  <c r="C862" i="22"/>
  <c r="S213" i="22"/>
  <c r="F227" i="22"/>
  <c r="F226" i="22"/>
  <c r="AC218" i="22"/>
  <c r="AD218" i="22" s="1"/>
  <c r="S230" i="22"/>
  <c r="B863" i="22"/>
  <c r="F220" i="22"/>
  <c r="M863" i="22"/>
  <c r="S231" i="22"/>
  <c r="F230" i="22"/>
  <c r="S228" i="22"/>
  <c r="F242" i="22"/>
  <c r="S242" i="22"/>
  <c r="C864" i="22"/>
  <c r="AC243" i="22"/>
  <c r="AD243" i="22" s="1"/>
  <c r="S237" i="22"/>
  <c r="F251" i="22"/>
  <c r="F250" i="22"/>
  <c r="AC242" i="22"/>
  <c r="AD242" i="22" s="1"/>
  <c r="S254" i="22"/>
  <c r="B865" i="22"/>
  <c r="F244" i="22"/>
  <c r="M865" i="22"/>
  <c r="S255" i="22"/>
  <c r="S252" i="22"/>
  <c r="F266" i="22"/>
  <c r="S266" i="22"/>
  <c r="C866" i="22"/>
  <c r="S261" i="22"/>
  <c r="F275" i="22"/>
  <c r="F274" i="22"/>
  <c r="AC266" i="22"/>
  <c r="AD266" i="22" s="1"/>
  <c r="S278" i="22"/>
  <c r="B867" i="22"/>
  <c r="F268" i="22"/>
  <c r="M867" i="22"/>
  <c r="S279" i="22"/>
  <c r="F278" i="22"/>
  <c r="S276" i="22"/>
  <c r="F290" i="22"/>
  <c r="S290" i="22"/>
  <c r="C868" i="22"/>
  <c r="AC293" i="22"/>
  <c r="AD293" i="22" s="1"/>
  <c r="AC291" i="22"/>
  <c r="AD291" i="22" s="1"/>
  <c r="AC292" i="22"/>
  <c r="AD292" i="22" s="1"/>
  <c r="S285" i="22"/>
  <c r="F299" i="22"/>
  <c r="AC290" i="22"/>
  <c r="AD290" i="22" s="1"/>
  <c r="F302" i="22"/>
  <c r="E869" i="22"/>
  <c r="F303" i="22"/>
  <c r="F307" i="22"/>
  <c r="F311" i="22"/>
  <c r="AC330" i="22"/>
  <c r="AD330" i="22" s="1"/>
  <c r="AC321" i="22"/>
  <c r="AD321" i="22" s="1"/>
  <c r="AC334" i="22"/>
  <c r="AD334" i="22" s="1"/>
  <c r="AC325" i="22"/>
  <c r="AD325" i="22" s="1"/>
  <c r="S340" i="22"/>
  <c r="S331" i="22"/>
  <c r="S344" i="22"/>
  <c r="S335" i="22"/>
  <c r="S348" i="22"/>
  <c r="S339" i="22"/>
  <c r="E873" i="22"/>
  <c r="F350" i="22"/>
  <c r="F349" i="22"/>
  <c r="F351" i="22"/>
  <c r="E874" i="22"/>
  <c r="F363" i="22"/>
  <c r="F362" i="22"/>
  <c r="F360" i="22"/>
  <c r="S371" i="22"/>
  <c r="S368" i="22"/>
  <c r="S370" i="22"/>
  <c r="S372" i="22"/>
  <c r="S374" i="22"/>
  <c r="S376" i="22"/>
  <c r="S378" i="22"/>
  <c r="S380" i="22"/>
  <c r="S382" i="22"/>
  <c r="S384" i="22"/>
  <c r="S388" i="22"/>
  <c r="S390" i="22"/>
  <c r="S392" i="22"/>
  <c r="S394" i="22"/>
  <c r="S396" i="22"/>
  <c r="S400" i="22"/>
  <c r="S402" i="22"/>
  <c r="S404" i="22"/>
  <c r="S406" i="22"/>
  <c r="S408" i="22"/>
  <c r="S412" i="22"/>
  <c r="S414" i="22"/>
  <c r="S416" i="22"/>
  <c r="S418" i="22"/>
  <c r="S420" i="22"/>
  <c r="S424" i="22"/>
  <c r="S426" i="22"/>
  <c r="S428" i="22"/>
  <c r="S430" i="22"/>
  <c r="S432" i="22"/>
  <c r="S436" i="22"/>
  <c r="S438" i="22"/>
  <c r="S440" i="22"/>
  <c r="S442" i="22"/>
  <c r="S444" i="22"/>
  <c r="S448" i="22"/>
  <c r="S450" i="22"/>
  <c r="S452" i="22"/>
  <c r="S454" i="22"/>
  <c r="S456" i="22"/>
  <c r="D883" i="22"/>
  <c r="I883" i="22"/>
  <c r="O883" i="22"/>
  <c r="S460" i="22"/>
  <c r="S462" i="22"/>
  <c r="T462" i="22" s="1"/>
  <c r="S490" i="22"/>
  <c r="S492" i="22"/>
  <c r="S494" i="22"/>
  <c r="B885" i="22"/>
  <c r="M885" i="22"/>
  <c r="S496" i="22"/>
  <c r="S498" i="22"/>
  <c r="S502" i="22"/>
  <c r="S506" i="22"/>
  <c r="G886" i="22"/>
  <c r="S510" i="22"/>
  <c r="S501" i="22"/>
  <c r="S514" i="22"/>
  <c r="S505" i="22"/>
  <c r="S518" i="22"/>
  <c r="S517" i="22"/>
  <c r="G887" i="22"/>
  <c r="S509" i="22"/>
  <c r="S522" i="22"/>
  <c r="T522" i="22" s="1"/>
  <c r="S521" i="22"/>
  <c r="S513" i="22"/>
  <c r="S523" i="22"/>
  <c r="S536" i="22"/>
  <c r="S539" i="22"/>
  <c r="D7" i="22"/>
  <c r="F19" i="22"/>
  <c r="D11" i="22"/>
  <c r="F23" i="22"/>
  <c r="D15" i="22"/>
  <c r="F27" i="22"/>
  <c r="F29" i="22"/>
  <c r="F31" i="22"/>
  <c r="F33" i="22"/>
  <c r="F35" i="22"/>
  <c r="F37" i="22"/>
  <c r="G29" i="22"/>
  <c r="G31" i="22"/>
  <c r="G33" i="22"/>
  <c r="G35" i="22"/>
  <c r="G37" i="22"/>
  <c r="G39" i="22"/>
  <c r="F52" i="22"/>
  <c r="F54" i="22"/>
  <c r="F56" i="22"/>
  <c r="F58" i="22"/>
  <c r="F60" i="22"/>
  <c r="F62" i="22"/>
  <c r="G52" i="22"/>
  <c r="D64" i="22"/>
  <c r="I65" i="22"/>
  <c r="I67" i="22"/>
  <c r="D68" i="22"/>
  <c r="D72" i="22"/>
  <c r="I73" i="22"/>
  <c r="F76" i="22"/>
  <c r="D101" i="22"/>
  <c r="F103" i="22"/>
  <c r="D105" i="22"/>
  <c r="F107" i="22"/>
  <c r="D109" i="22"/>
  <c r="F111" i="22"/>
  <c r="I116" i="22"/>
  <c r="F128" i="22"/>
  <c r="D125" i="22"/>
  <c r="I127" i="22"/>
  <c r="F127" i="22"/>
  <c r="D129" i="22"/>
  <c r="F131" i="22"/>
  <c r="D133" i="22"/>
  <c r="F135" i="22"/>
  <c r="F150" i="22"/>
  <c r="G139" i="22"/>
  <c r="I140" i="22"/>
  <c r="F158" i="22"/>
  <c r="G147" i="22"/>
  <c r="G150" i="22"/>
  <c r="I151" i="22"/>
  <c r="G158" i="22"/>
  <c r="I159" i="22"/>
  <c r="AC187" i="22"/>
  <c r="AD187" i="22" s="1"/>
  <c r="S190" i="22"/>
  <c r="X190" i="22" s="1"/>
  <c r="S185" i="22"/>
  <c r="X185" i="22" s="1"/>
  <c r="F199" i="22"/>
  <c r="F198" i="22"/>
  <c r="S199" i="22"/>
  <c r="AC206" i="22"/>
  <c r="AD206" i="22" s="1"/>
  <c r="AC208" i="22"/>
  <c r="AD208" i="22" s="1"/>
  <c r="F214" i="22"/>
  <c r="S214" i="22"/>
  <c r="AC205" i="22"/>
  <c r="AD205" i="22" s="1"/>
  <c r="F223" i="22"/>
  <c r="F222" i="22"/>
  <c r="S223" i="22"/>
  <c r="S226" i="22"/>
  <c r="AC227" i="22"/>
  <c r="AD227" i="22" s="1"/>
  <c r="F217" i="22"/>
  <c r="AC230" i="22"/>
  <c r="AD230" i="22" s="1"/>
  <c r="AC232" i="22"/>
  <c r="AD232" i="22" s="1"/>
  <c r="S224" i="22"/>
  <c r="F238" i="22"/>
  <c r="S238" i="22"/>
  <c r="AC229" i="22"/>
  <c r="AD229" i="22" s="1"/>
  <c r="F247" i="22"/>
  <c r="F246" i="22"/>
  <c r="S247" i="22"/>
  <c r="S250" i="22"/>
  <c r="F241" i="22"/>
  <c r="AC254" i="22"/>
  <c r="AD254" i="22" s="1"/>
  <c r="AC256" i="22"/>
  <c r="AD256" i="22" s="1"/>
  <c r="S248" i="22"/>
  <c r="F262" i="22"/>
  <c r="S262" i="22"/>
  <c r="AC253" i="22"/>
  <c r="AD253" i="22" s="1"/>
  <c r="F271" i="22"/>
  <c r="F270" i="22"/>
  <c r="S271" i="22"/>
  <c r="S274" i="22"/>
  <c r="AC275" i="22"/>
  <c r="AD275" i="22" s="1"/>
  <c r="F265" i="22"/>
  <c r="AC278" i="22"/>
  <c r="AD278" i="22" s="1"/>
  <c r="AC280" i="22"/>
  <c r="AD280" i="22" s="1"/>
  <c r="S272" i="22"/>
  <c r="F286" i="22"/>
  <c r="S286" i="22"/>
  <c r="AC277" i="22"/>
  <c r="AD277" i="22" s="1"/>
  <c r="F295" i="22"/>
  <c r="S295" i="22"/>
  <c r="F298" i="22"/>
  <c r="AC298" i="22"/>
  <c r="AD298" i="22" s="1"/>
  <c r="F289" i="22"/>
  <c r="F304" i="22"/>
  <c r="F308" i="22"/>
  <c r="F312" i="22"/>
  <c r="K871" i="22"/>
  <c r="P871" i="22"/>
  <c r="AC329" i="22"/>
  <c r="AD329" i="22" s="1"/>
  <c r="AC320" i="22"/>
  <c r="AD320" i="22" s="1"/>
  <c r="AC333" i="22"/>
  <c r="AD333" i="22" s="1"/>
  <c r="AC337" i="22"/>
  <c r="AD337" i="22" s="1"/>
  <c r="D872" i="22"/>
  <c r="I872" i="22"/>
  <c r="O872" i="22"/>
  <c r="S328" i="22"/>
  <c r="S341" i="22"/>
  <c r="S332" i="22"/>
  <c r="S345" i="22"/>
  <c r="S349" i="22"/>
  <c r="F354" i="22"/>
  <c r="S354" i="22"/>
  <c r="F355" i="22"/>
  <c r="S366" i="22"/>
  <c r="F367" i="22"/>
  <c r="F366" i="22"/>
  <c r="S367" i="22"/>
  <c r="D875" i="22"/>
  <c r="I875" i="22"/>
  <c r="O875" i="22"/>
  <c r="S364" i="22"/>
  <c r="S464" i="22"/>
  <c r="D884" i="22"/>
  <c r="I884" i="22"/>
  <c r="O884" i="22"/>
  <c r="S472" i="22"/>
  <c r="S519" i="22"/>
  <c r="S532" i="22"/>
  <c r="S535" i="22"/>
  <c r="I16" i="22"/>
  <c r="I18" i="22"/>
  <c r="I26" i="22"/>
  <c r="I41" i="22"/>
  <c r="I51" i="22"/>
  <c r="V79" i="22"/>
  <c r="V67" i="22"/>
  <c r="G102" i="22"/>
  <c r="F113" i="22"/>
  <c r="F141" i="22"/>
  <c r="G130" i="22"/>
  <c r="F145" i="22"/>
  <c r="G134" i="22"/>
  <c r="F183" i="22"/>
  <c r="AC186" i="22"/>
  <c r="AD186" i="22" s="1"/>
  <c r="F219" i="22"/>
  <c r="E862" i="22"/>
  <c r="F213" i="22"/>
  <c r="F228" i="22"/>
  <c r="E864" i="22"/>
  <c r="F243" i="22"/>
  <c r="F237" i="22"/>
  <c r="F258" i="22"/>
  <c r="F254" i="22"/>
  <c r="AC249" i="22"/>
  <c r="AD249" i="22" s="1"/>
  <c r="F252" i="22"/>
  <c r="E866" i="22"/>
  <c r="F267" i="22"/>
  <c r="F261" i="22"/>
  <c r="F276" i="22"/>
  <c r="E868" i="22"/>
  <c r="F291" i="22"/>
  <c r="F285" i="22"/>
  <c r="AC301" i="22"/>
  <c r="AD301" i="22" s="1"/>
  <c r="AC299" i="22"/>
  <c r="AD299" i="22" s="1"/>
  <c r="AC300" i="22"/>
  <c r="AD300" i="22" s="1"/>
  <c r="AC319" i="22"/>
  <c r="AD319" i="22" s="1"/>
  <c r="AC323" i="22"/>
  <c r="AD323" i="22" s="1"/>
  <c r="S333" i="22"/>
  <c r="S337" i="22"/>
  <c r="M876" i="22"/>
  <c r="S387" i="22"/>
  <c r="M877" i="22"/>
  <c r="S399" i="22"/>
  <c r="S411" i="22"/>
  <c r="M878" i="22"/>
  <c r="M879" i="22"/>
  <c r="S423" i="22"/>
  <c r="M880" i="22"/>
  <c r="S435" i="22"/>
  <c r="M881" i="22"/>
  <c r="S447" i="22"/>
  <c r="M882" i="22"/>
  <c r="S459" i="22"/>
  <c r="M883" i="22"/>
  <c r="S471" i="22"/>
  <c r="S466" i="22"/>
  <c r="S474" i="22"/>
  <c r="S475" i="22"/>
  <c r="S476" i="22"/>
  <c r="S477" i="22"/>
  <c r="S478" i="22"/>
  <c r="S479" i="22"/>
  <c r="S480" i="22"/>
  <c r="S491" i="22"/>
  <c r="S495" i="22"/>
  <c r="S499" i="22"/>
  <c r="S503" i="22"/>
  <c r="S507" i="22"/>
  <c r="S511" i="22"/>
  <c r="S515" i="22"/>
  <c r="AC26" i="22"/>
  <c r="AD26" i="22" s="1"/>
  <c r="F30" i="22"/>
  <c r="F32" i="22"/>
  <c r="F34" i="22"/>
  <c r="F36" i="22"/>
  <c r="F38" i="22"/>
  <c r="G28" i="22"/>
  <c r="G30" i="22"/>
  <c r="G32" i="22"/>
  <c r="G34" i="22"/>
  <c r="G36" i="22"/>
  <c r="G38" i="22"/>
  <c r="F53" i="22"/>
  <c r="F55" i="22"/>
  <c r="F57" i="22"/>
  <c r="F59" i="22"/>
  <c r="F61" i="22"/>
  <c r="G53" i="22"/>
  <c r="G55" i="22"/>
  <c r="G57" i="22"/>
  <c r="G59" i="22"/>
  <c r="G61" i="22"/>
  <c r="G63" i="22"/>
  <c r="F81" i="22"/>
  <c r="F80" i="22"/>
  <c r="F85" i="22"/>
  <c r="F84" i="22"/>
  <c r="G77" i="22"/>
  <c r="F88" i="22"/>
  <c r="F90" i="22"/>
  <c r="F89" i="22"/>
  <c r="G79" i="22"/>
  <c r="F92" i="22"/>
  <c r="F91" i="22"/>
  <c r="G81" i="22"/>
  <c r="F94" i="22"/>
  <c r="F93" i="22"/>
  <c r="G83" i="22"/>
  <c r="F96" i="22"/>
  <c r="F95" i="22"/>
  <c r="G85" i="22"/>
  <c r="F98" i="22"/>
  <c r="F97" i="22"/>
  <c r="G87" i="22"/>
  <c r="F102" i="22"/>
  <c r="F104" i="22"/>
  <c r="F106" i="22"/>
  <c r="F108" i="22"/>
  <c r="F110" i="22"/>
  <c r="F101" i="22"/>
  <c r="F105" i="22"/>
  <c r="F109" i="22"/>
  <c r="I112" i="22"/>
  <c r="F132" i="22"/>
  <c r="F125" i="22"/>
  <c r="F129" i="22"/>
  <c r="F133" i="22"/>
  <c r="F154" i="22"/>
  <c r="G143" i="22"/>
  <c r="I144" i="22"/>
  <c r="G154" i="22"/>
  <c r="I155" i="22"/>
  <c r="F188" i="22"/>
  <c r="F191" i="22"/>
  <c r="S195" i="22"/>
  <c r="AC198" i="22"/>
  <c r="AD198" i="22" s="1"/>
  <c r="AC190" i="22"/>
  <c r="AD190" i="22" s="1"/>
  <c r="S202" i="22"/>
  <c r="S193" i="22"/>
  <c r="X193" i="22" s="1"/>
  <c r="AC197" i="22"/>
  <c r="AD197" i="22" s="1"/>
  <c r="F200" i="22"/>
  <c r="S211" i="22"/>
  <c r="AC213" i="22"/>
  <c r="AD213" i="22" s="1"/>
  <c r="AC216" i="22"/>
  <c r="AD216" i="22" s="1"/>
  <c r="AC219" i="22"/>
  <c r="AD219" i="22" s="1"/>
  <c r="F209" i="22"/>
  <c r="S219" i="22"/>
  <c r="AC222" i="22"/>
  <c r="AD222" i="22" s="1"/>
  <c r="AC223" i="22"/>
  <c r="AD223" i="22" s="1"/>
  <c r="S217" i="22"/>
  <c r="F224" i="22"/>
  <c r="S235" i="22"/>
  <c r="AC237" i="22"/>
  <c r="AD237" i="22" s="1"/>
  <c r="AC240" i="22"/>
  <c r="AD240" i="22" s="1"/>
  <c r="F233" i="22"/>
  <c r="S243" i="22"/>
  <c r="AC246" i="22"/>
  <c r="AD246" i="22" s="1"/>
  <c r="S241" i="22"/>
  <c r="AC245" i="22"/>
  <c r="AD245" i="22" s="1"/>
  <c r="F248" i="22"/>
  <c r="S259" i="22"/>
  <c r="AC261" i="22"/>
  <c r="AD261" i="22" s="1"/>
  <c r="AC264" i="22"/>
  <c r="AD264" i="22" s="1"/>
  <c r="AC267" i="22"/>
  <c r="AD267" i="22" s="1"/>
  <c r="F257" i="22"/>
  <c r="S267" i="22"/>
  <c r="AC270" i="22"/>
  <c r="AD270" i="22" s="1"/>
  <c r="AC271" i="22"/>
  <c r="AD271" i="22" s="1"/>
  <c r="S265" i="22"/>
  <c r="F272" i="22"/>
  <c r="S283" i="22"/>
  <c r="AC285" i="22"/>
  <c r="AD285" i="22" s="1"/>
  <c r="AC288" i="22"/>
  <c r="AD288" i="22" s="1"/>
  <c r="F281" i="22"/>
  <c r="S292" i="22"/>
  <c r="S291" i="22"/>
  <c r="AC297" i="22"/>
  <c r="AD297" i="22" s="1"/>
  <c r="AC296" i="22"/>
  <c r="AD296" i="22" s="1"/>
  <c r="S289" i="22"/>
  <c r="F306" i="22"/>
  <c r="F310" i="22"/>
  <c r="A315" i="22"/>
  <c r="AB303" i="22"/>
  <c r="G871" i="22"/>
  <c r="AC327" i="22"/>
  <c r="AD327" i="22" s="1"/>
  <c r="AC318" i="22"/>
  <c r="AD318" i="22" s="1"/>
  <c r="AC331" i="22"/>
  <c r="AD331" i="22" s="1"/>
  <c r="AC322" i="22"/>
  <c r="AD322" i="22" s="1"/>
  <c r="AC335" i="22"/>
  <c r="AD335" i="22" s="1"/>
  <c r="AC326" i="22"/>
  <c r="AD326" i="22" s="1"/>
  <c r="B872" i="22"/>
  <c r="M872" i="22"/>
  <c r="S330" i="22"/>
  <c r="S343" i="22"/>
  <c r="S334" i="22"/>
  <c r="S338" i="22"/>
  <c r="F347" i="22"/>
  <c r="S358" i="22"/>
  <c r="S353" i="22"/>
  <c r="F359" i="22"/>
  <c r="F358" i="22"/>
  <c r="S355" i="22"/>
  <c r="B875" i="22"/>
  <c r="M875" i="22"/>
  <c r="S375" i="22"/>
  <c r="S468" i="22"/>
  <c r="B884" i="22"/>
  <c r="M884" i="22"/>
  <c r="S527" i="22"/>
  <c r="S540" i="22"/>
  <c r="S543" i="22"/>
  <c r="S545" i="22"/>
  <c r="S546" i="22"/>
  <c r="S547" i="22"/>
  <c r="S548" i="22"/>
  <c r="S549" i="22"/>
  <c r="S550" i="22"/>
  <c r="S551" i="22"/>
  <c r="S526" i="22"/>
  <c r="S530" i="22"/>
  <c r="G888" i="22"/>
  <c r="S534" i="22"/>
  <c r="S525" i="22"/>
  <c r="S538" i="22"/>
  <c r="S529" i="22"/>
  <c r="S542" i="22"/>
  <c r="G889" i="22"/>
  <c r="S533" i="22"/>
  <c r="S537" i="22"/>
  <c r="S541" i="22"/>
  <c r="M898" i="22"/>
  <c r="S651" i="22"/>
  <c r="G899" i="22"/>
  <c r="G900" i="22"/>
  <c r="G901" i="22"/>
  <c r="G902" i="22"/>
  <c r="C905" i="22"/>
  <c r="F739" i="22"/>
  <c r="F747" i="22"/>
  <c r="S748" i="22"/>
  <c r="S743" i="22"/>
  <c r="S740" i="22"/>
  <c r="S747" i="22"/>
  <c r="S744" i="22"/>
  <c r="F843" i="22"/>
  <c r="S844" i="22"/>
  <c r="S842" i="22"/>
  <c r="D78" i="22"/>
  <c r="V78" i="22"/>
  <c r="D80" i="22"/>
  <c r="V80" i="22"/>
  <c r="D82" i="22"/>
  <c r="V82" i="22"/>
  <c r="D84" i="22"/>
  <c r="V84" i="22"/>
  <c r="D86" i="22"/>
  <c r="V86" i="22"/>
  <c r="V87" i="22"/>
  <c r="I88" i="22"/>
  <c r="D89" i="22"/>
  <c r="D91" i="22"/>
  <c r="D93" i="22"/>
  <c r="D95" i="22"/>
  <c r="D97" i="22"/>
  <c r="D99" i="22"/>
  <c r="D112" i="22"/>
  <c r="M114" i="22"/>
  <c r="D116" i="22"/>
  <c r="D120" i="22"/>
  <c r="F136" i="22"/>
  <c r="F138" i="22"/>
  <c r="F140" i="22"/>
  <c r="F142" i="22"/>
  <c r="F144" i="22"/>
  <c r="F146" i="22"/>
  <c r="F147" i="22"/>
  <c r="D138" i="22"/>
  <c r="F151" i="22"/>
  <c r="D142" i="22"/>
  <c r="F155" i="22"/>
  <c r="D146" i="22"/>
  <c r="F160" i="22"/>
  <c r="D160" i="22"/>
  <c r="D164" i="22"/>
  <c r="D168" i="22"/>
  <c r="S184" i="22"/>
  <c r="X184" i="22" s="1"/>
  <c r="F186" i="22"/>
  <c r="AC189" i="22"/>
  <c r="AD189" i="22" s="1"/>
  <c r="S192" i="22"/>
  <c r="X192" i="22" s="1"/>
  <c r="F194" i="22"/>
  <c r="G860" i="22"/>
  <c r="AC196" i="22"/>
  <c r="AD196" i="22" s="1"/>
  <c r="F197" i="22"/>
  <c r="S197" i="22"/>
  <c r="AC188" i="22"/>
  <c r="AD188" i="22" s="1"/>
  <c r="S191" i="22"/>
  <c r="X191" i="22" s="1"/>
  <c r="AC204" i="22"/>
  <c r="AD204" i="22" s="1"/>
  <c r="F205" i="22"/>
  <c r="S205" i="22"/>
  <c r="F208" i="22"/>
  <c r="S208" i="22"/>
  <c r="AC215" i="22"/>
  <c r="AD215" i="22" s="1"/>
  <c r="F216" i="22"/>
  <c r="S216" i="22"/>
  <c r="K862" i="22"/>
  <c r="P862" i="22"/>
  <c r="AC220" i="22"/>
  <c r="AD220" i="22" s="1"/>
  <c r="F221" i="22"/>
  <c r="S221" i="22"/>
  <c r="F215" i="22"/>
  <c r="AC228" i="22"/>
  <c r="AD228" i="22" s="1"/>
  <c r="F229" i="22"/>
  <c r="S229" i="22"/>
  <c r="AC235" i="22"/>
  <c r="AD235" i="22" s="1"/>
  <c r="F236" i="22"/>
  <c r="S236" i="22"/>
  <c r="G864" i="22"/>
  <c r="F235" i="22"/>
  <c r="AC248" i="22"/>
  <c r="AD248" i="22" s="1"/>
  <c r="F249" i="22"/>
  <c r="S249" i="22"/>
  <c r="F256" i="22"/>
  <c r="S256" i="22"/>
  <c r="AC263" i="22"/>
  <c r="AD263" i="22" s="1"/>
  <c r="F264" i="22"/>
  <c r="S264" i="22"/>
  <c r="K866" i="22"/>
  <c r="P866" i="22"/>
  <c r="AC268" i="22"/>
  <c r="AD268" i="22" s="1"/>
  <c r="F269" i="22"/>
  <c r="S269" i="22"/>
  <c r="F263" i="22"/>
  <c r="AC276" i="22"/>
  <c r="AD276" i="22" s="1"/>
  <c r="F277" i="22"/>
  <c r="S277" i="22"/>
  <c r="AC283" i="22"/>
  <c r="AD283" i="22" s="1"/>
  <c r="F284" i="22"/>
  <c r="S284" i="22"/>
  <c r="G868" i="22"/>
  <c r="F292" i="22"/>
  <c r="F283" i="22"/>
  <c r="S294" i="22"/>
  <c r="F297" i="22"/>
  <c r="S297" i="22"/>
  <c r="F300" i="22"/>
  <c r="G869" i="22"/>
  <c r="AC303" i="22"/>
  <c r="AD303" i="22" s="1"/>
  <c r="AC305" i="22"/>
  <c r="AD305" i="22" s="1"/>
  <c r="AC294" i="22"/>
  <c r="AD294" i="22" s="1"/>
  <c r="AC307" i="22"/>
  <c r="AD307" i="22" s="1"/>
  <c r="AC309" i="22"/>
  <c r="AD309" i="22" s="1"/>
  <c r="AC311" i="22"/>
  <c r="AD311" i="22" s="1"/>
  <c r="AC313" i="22"/>
  <c r="AD313" i="22" s="1"/>
  <c r="AC302" i="22"/>
  <c r="AD302" i="22" s="1"/>
  <c r="B870" i="22"/>
  <c r="M870" i="22"/>
  <c r="S305" i="22"/>
  <c r="S317" i="22"/>
  <c r="S307" i="22"/>
  <c r="S319" i="22"/>
  <c r="S309" i="22"/>
  <c r="S321" i="22"/>
  <c r="S311" i="22"/>
  <c r="S323" i="22"/>
  <c r="S313" i="22"/>
  <c r="S325" i="22"/>
  <c r="S315" i="22"/>
  <c r="E871" i="22"/>
  <c r="F327" i="22"/>
  <c r="F341" i="22"/>
  <c r="F343" i="22"/>
  <c r="F345" i="22"/>
  <c r="F346" i="22"/>
  <c r="K873" i="22"/>
  <c r="P873" i="22"/>
  <c r="F357" i="22"/>
  <c r="S357" i="22"/>
  <c r="S363" i="22"/>
  <c r="F365" i="22"/>
  <c r="S365" i="22"/>
  <c r="S369" i="22"/>
  <c r="S377" i="22"/>
  <c r="F779" i="22"/>
  <c r="S780" i="22"/>
  <c r="S779" i="22"/>
  <c r="S776" i="22"/>
  <c r="S807" i="22"/>
  <c r="F813" i="22"/>
  <c r="F809" i="22"/>
  <c r="T617" i="22"/>
  <c r="F749" i="22"/>
  <c r="F745" i="22"/>
  <c r="F845" i="22"/>
  <c r="F844" i="22"/>
  <c r="F87" i="22"/>
  <c r="D98" i="22"/>
  <c r="F112" i="22"/>
  <c r="F114" i="22"/>
  <c r="F116" i="22"/>
  <c r="F118" i="22"/>
  <c r="F120" i="22"/>
  <c r="D136" i="22"/>
  <c r="F149" i="22"/>
  <c r="D140" i="22"/>
  <c r="F153" i="22"/>
  <c r="D144" i="22"/>
  <c r="F157" i="22"/>
  <c r="D149" i="22"/>
  <c r="D162" i="22"/>
  <c r="D166" i="22"/>
  <c r="D170" i="22"/>
  <c r="AC185" i="22"/>
  <c r="AD185" i="22" s="1"/>
  <c r="S188" i="22"/>
  <c r="X188" i="22" s="1"/>
  <c r="F190" i="22"/>
  <c r="AC193" i="22"/>
  <c r="AD193" i="22" s="1"/>
  <c r="K860" i="22"/>
  <c r="AC184" i="22"/>
  <c r="AD184" i="22" s="1"/>
  <c r="S187" i="22"/>
  <c r="X187" i="22" s="1"/>
  <c r="AC200" i="22"/>
  <c r="AD200" i="22" s="1"/>
  <c r="F201" i="22"/>
  <c r="S201" i="22"/>
  <c r="AC192" i="22"/>
  <c r="AD192" i="22" s="1"/>
  <c r="AC211" i="22"/>
  <c r="AD211" i="22" s="1"/>
  <c r="F212" i="22"/>
  <c r="S212" i="22"/>
  <c r="G862" i="22"/>
  <c r="F211" i="22"/>
  <c r="AC224" i="22"/>
  <c r="AD224" i="22" s="1"/>
  <c r="F225" i="22"/>
  <c r="S225" i="22"/>
  <c r="AC231" i="22"/>
  <c r="AD231" i="22" s="1"/>
  <c r="F232" i="22"/>
  <c r="S232" i="22"/>
  <c r="AC239" i="22"/>
  <c r="AD239" i="22" s="1"/>
  <c r="F240" i="22"/>
  <c r="S240" i="22"/>
  <c r="K864" i="22"/>
  <c r="P864" i="22"/>
  <c r="AC244" i="22"/>
  <c r="AD244" i="22" s="1"/>
  <c r="F245" i="22"/>
  <c r="S245" i="22"/>
  <c r="F239" i="22"/>
  <c r="AC252" i="22"/>
  <c r="AD252" i="22" s="1"/>
  <c r="F253" i="22"/>
  <c r="S253" i="22"/>
  <c r="AC259" i="22"/>
  <c r="AD259" i="22" s="1"/>
  <c r="F260" i="22"/>
  <c r="S260" i="22"/>
  <c r="G866" i="22"/>
  <c r="F259" i="22"/>
  <c r="AC272" i="22"/>
  <c r="AD272" i="22" s="1"/>
  <c r="F273" i="22"/>
  <c r="S273" i="22"/>
  <c r="AC279" i="22"/>
  <c r="AD279" i="22" s="1"/>
  <c r="F280" i="22"/>
  <c r="S280" i="22"/>
  <c r="AC287" i="22"/>
  <c r="AD287" i="22" s="1"/>
  <c r="F288" i="22"/>
  <c r="S288" i="22"/>
  <c r="K868" i="22"/>
  <c r="P868" i="22"/>
  <c r="F293" i="22"/>
  <c r="S293" i="22"/>
  <c r="F296" i="22"/>
  <c r="F287" i="22"/>
  <c r="S298" i="22"/>
  <c r="F301" i="22"/>
  <c r="S306" i="22"/>
  <c r="S308" i="22"/>
  <c r="S310" i="22"/>
  <c r="S312" i="22"/>
  <c r="S314" i="22"/>
  <c r="F348" i="22"/>
  <c r="G873" i="22"/>
  <c r="S359" i="22"/>
  <c r="F361" i="22"/>
  <c r="S361" i="22"/>
  <c r="K874" i="22"/>
  <c r="S373" i="22"/>
  <c r="F781" i="22"/>
  <c r="F777" i="22"/>
  <c r="S812" i="22"/>
  <c r="S811" i="22"/>
  <c r="S808" i="22"/>
  <c r="B860" i="22"/>
  <c r="M860" i="22"/>
  <c r="C861" i="22"/>
  <c r="G861" i="22"/>
  <c r="B862" i="22"/>
  <c r="M862" i="22"/>
  <c r="E863" i="22"/>
  <c r="K863" i="22"/>
  <c r="P863" i="22"/>
  <c r="F231" i="22"/>
  <c r="D864" i="22"/>
  <c r="I864" i="22"/>
  <c r="O864" i="22"/>
  <c r="C865" i="22"/>
  <c r="G865" i="22"/>
  <c r="B866" i="22"/>
  <c r="M866" i="22"/>
  <c r="E867" i="22"/>
  <c r="K867" i="22"/>
  <c r="P867" i="22"/>
  <c r="F279" i="22"/>
  <c r="D868" i="22"/>
  <c r="I868" i="22"/>
  <c r="O868" i="22"/>
  <c r="B869" i="22"/>
  <c r="M869" i="22"/>
  <c r="S303" i="22"/>
  <c r="E870" i="22"/>
  <c r="K870" i="22"/>
  <c r="P870" i="22"/>
  <c r="D871" i="22"/>
  <c r="I871" i="22"/>
  <c r="O871" i="22"/>
  <c r="C872" i="22"/>
  <c r="G872" i="22"/>
  <c r="B873" i="22"/>
  <c r="M873" i="22"/>
  <c r="B874" i="22"/>
  <c r="M874" i="22"/>
  <c r="C886" i="22"/>
  <c r="C887" i="22"/>
  <c r="C888" i="22"/>
  <c r="C889" i="22"/>
  <c r="S759" i="22"/>
  <c r="F765" i="22"/>
  <c r="F761" i="22"/>
  <c r="F795" i="22"/>
  <c r="S796" i="22"/>
  <c r="S795" i="22"/>
  <c r="S792" i="22"/>
  <c r="S823" i="22"/>
  <c r="F829" i="22"/>
  <c r="F825" i="22"/>
  <c r="F855" i="22"/>
  <c r="M859" i="22"/>
  <c r="R859" i="22" s="1"/>
  <c r="D860" i="22"/>
  <c r="I860" i="22"/>
  <c r="O860" i="22"/>
  <c r="E861" i="22"/>
  <c r="K861" i="22"/>
  <c r="F207" i="22"/>
  <c r="AC207" i="22"/>
  <c r="AD207" i="22" s="1"/>
  <c r="D862" i="22"/>
  <c r="I862" i="22"/>
  <c r="O862" i="22"/>
  <c r="C863" i="22"/>
  <c r="G863" i="22"/>
  <c r="B864" i="22"/>
  <c r="M864" i="22"/>
  <c r="E865" i="22"/>
  <c r="K865" i="22"/>
  <c r="P865" i="22"/>
  <c r="F255" i="22"/>
  <c r="AC255" i="22"/>
  <c r="AD255" i="22" s="1"/>
  <c r="D866" i="22"/>
  <c r="I866" i="22"/>
  <c r="O866" i="22"/>
  <c r="C867" i="22"/>
  <c r="G867" i="22"/>
  <c r="B868" i="22"/>
  <c r="M868" i="22"/>
  <c r="S327" i="22"/>
  <c r="D873" i="22"/>
  <c r="I873" i="22"/>
  <c r="O873" i="22"/>
  <c r="F342" i="22"/>
  <c r="F344" i="22"/>
  <c r="D874" i="22"/>
  <c r="I874" i="22"/>
  <c r="O874" i="22"/>
  <c r="S764" i="22"/>
  <c r="S763" i="22"/>
  <c r="S760" i="22"/>
  <c r="F797" i="22"/>
  <c r="F793" i="22"/>
  <c r="S828" i="22"/>
  <c r="S827" i="22"/>
  <c r="S824" i="22"/>
  <c r="C883" i="22"/>
  <c r="G883" i="22"/>
  <c r="C884" i="22"/>
  <c r="G884" i="22"/>
  <c r="C885" i="22"/>
  <c r="G885" i="22"/>
  <c r="D886" i="22"/>
  <c r="I886" i="22"/>
  <c r="O886" i="22"/>
  <c r="D887" i="22"/>
  <c r="I887" i="22"/>
  <c r="O887" i="22"/>
  <c r="D888" i="22"/>
  <c r="I888" i="22"/>
  <c r="O888" i="22"/>
  <c r="D889" i="22"/>
  <c r="I889" i="22"/>
  <c r="O889" i="22"/>
  <c r="F658" i="22"/>
  <c r="S751" i="22"/>
  <c r="F757" i="22"/>
  <c r="F771" i="22"/>
  <c r="S770" i="22"/>
  <c r="S772" i="22"/>
  <c r="F774" i="22"/>
  <c r="S783" i="22"/>
  <c r="F789" i="22"/>
  <c r="F803" i="22"/>
  <c r="S802" i="22"/>
  <c r="S804" i="22"/>
  <c r="F806" i="22"/>
  <c r="S815" i="22"/>
  <c r="F821" i="22"/>
  <c r="F835" i="22"/>
  <c r="S834" i="22"/>
  <c r="S836" i="22"/>
  <c r="F838" i="22"/>
  <c r="B886" i="22"/>
  <c r="M886" i="22"/>
  <c r="B887" i="22"/>
  <c r="M887" i="22"/>
  <c r="B888" i="22"/>
  <c r="M888" i="22"/>
  <c r="B889" i="22"/>
  <c r="M889" i="22"/>
  <c r="F755" i="22"/>
  <c r="S754" i="22"/>
  <c r="S756" i="22"/>
  <c r="F758" i="22"/>
  <c r="F773" i="22"/>
  <c r="F787" i="22"/>
  <c r="S786" i="22"/>
  <c r="S788" i="22"/>
  <c r="F790" i="22"/>
  <c r="F805" i="22"/>
  <c r="F819" i="22"/>
  <c r="S818" i="22"/>
  <c r="S820" i="22"/>
  <c r="F822" i="22"/>
  <c r="F837" i="22"/>
  <c r="F851" i="22"/>
  <c r="E898" i="22"/>
  <c r="E886" i="22"/>
  <c r="K886" i="22"/>
  <c r="P886" i="22"/>
  <c r="E887" i="22"/>
  <c r="P887" i="22"/>
  <c r="E888" i="22"/>
  <c r="K888" i="22"/>
  <c r="P888" i="22"/>
  <c r="K889" i="22"/>
  <c r="P889" i="22"/>
  <c r="E890" i="22"/>
  <c r="K890" i="22"/>
  <c r="P890" i="22"/>
  <c r="E891" i="22"/>
  <c r="K891" i="22"/>
  <c r="P891" i="22"/>
  <c r="E892" i="22"/>
  <c r="K892" i="22"/>
  <c r="P892" i="22"/>
  <c r="E893" i="22"/>
  <c r="K893" i="22"/>
  <c r="P893" i="22"/>
  <c r="E894" i="22"/>
  <c r="K894" i="22"/>
  <c r="P894" i="22"/>
  <c r="E895" i="22"/>
  <c r="K895" i="22"/>
  <c r="P895" i="22"/>
  <c r="E896" i="22"/>
  <c r="K896" i="22"/>
  <c r="P896" i="22"/>
  <c r="E897" i="22"/>
  <c r="K897" i="22"/>
  <c r="P897" i="22"/>
  <c r="K898" i="22"/>
  <c r="P898" i="22"/>
  <c r="F653" i="22"/>
  <c r="F655" i="22"/>
  <c r="F657" i="22"/>
  <c r="S657" i="22"/>
  <c r="S660" i="22"/>
  <c r="F661" i="22"/>
  <c r="S661" i="22"/>
  <c r="S697" i="22"/>
  <c r="S699" i="22"/>
  <c r="I903" i="22"/>
  <c r="S701" i="22"/>
  <c r="F714" i="22"/>
  <c r="S705" i="22"/>
  <c r="F718" i="22"/>
  <c r="F722" i="22"/>
  <c r="G904" i="22"/>
  <c r="F726" i="22"/>
  <c r="F730" i="22"/>
  <c r="F734" i="22"/>
  <c r="G905" i="22"/>
  <c r="F738" i="22"/>
  <c r="F742" i="22"/>
  <c r="F746" i="22"/>
  <c r="F759" i="22"/>
  <c r="S758" i="22"/>
  <c r="F762" i="22"/>
  <c r="F775" i="22"/>
  <c r="S774" i="22"/>
  <c r="F778" i="22"/>
  <c r="F791" i="22"/>
  <c r="S790" i="22"/>
  <c r="F794" i="22"/>
  <c r="F807" i="22"/>
  <c r="S806" i="22"/>
  <c r="F810" i="22"/>
  <c r="F823" i="22"/>
  <c r="S822" i="22"/>
  <c r="F826" i="22"/>
  <c r="F839" i="22"/>
  <c r="S838" i="22"/>
  <c r="S840" i="22"/>
  <c r="F842" i="22"/>
  <c r="F849" i="22"/>
  <c r="S839" i="22"/>
  <c r="F648" i="22"/>
  <c r="F650" i="22"/>
  <c r="C898" i="22"/>
  <c r="G898" i="22"/>
  <c r="F652" i="22"/>
  <c r="F654" i="22"/>
  <c r="F656" i="22"/>
  <c r="F647" i="22"/>
  <c r="F659" i="22"/>
  <c r="F651" i="22"/>
  <c r="E899" i="22"/>
  <c r="F663" i="22"/>
  <c r="E900" i="22"/>
  <c r="F675" i="22"/>
  <c r="E901" i="22"/>
  <c r="F687" i="22"/>
  <c r="E902" i="22"/>
  <c r="F699" i="22"/>
  <c r="S703" i="22"/>
  <c r="F740" i="22"/>
  <c r="F744" i="22"/>
  <c r="F751" i="22"/>
  <c r="S750" i="22"/>
  <c r="F741" i="22"/>
  <c r="F754" i="22"/>
  <c r="F767" i="22"/>
  <c r="S766" i="22"/>
  <c r="F770" i="22"/>
  <c r="F783" i="22"/>
  <c r="S782" i="22"/>
  <c r="F786" i="22"/>
  <c r="F799" i="22"/>
  <c r="S798" i="22"/>
  <c r="F802" i="22"/>
  <c r="F815" i="22"/>
  <c r="S814" i="22"/>
  <c r="F818" i="22"/>
  <c r="F831" i="22"/>
  <c r="S830" i="22"/>
  <c r="F834" i="22"/>
  <c r="F841" i="22"/>
  <c r="S841" i="22"/>
  <c r="F850" i="22"/>
  <c r="F847" i="22"/>
  <c r="S850" i="22"/>
  <c r="S849" i="22"/>
  <c r="B899" i="22"/>
  <c r="M899" i="22"/>
  <c r="S663" i="22"/>
  <c r="B900" i="22"/>
  <c r="M900" i="22"/>
  <c r="S675" i="22"/>
  <c r="B901" i="22"/>
  <c r="M901" i="22"/>
  <c r="S687" i="22"/>
  <c r="B902" i="22"/>
  <c r="M902" i="22"/>
  <c r="F709" i="22"/>
  <c r="C903" i="22"/>
  <c r="G903" i="22"/>
  <c r="S737" i="22"/>
  <c r="S738" i="22"/>
  <c r="S741" i="22"/>
  <c r="S742" i="22"/>
  <c r="S745" i="22"/>
  <c r="F752" i="22"/>
  <c r="S753" i="22"/>
  <c r="F760" i="22"/>
  <c r="S761" i="22"/>
  <c r="F768" i="22"/>
  <c r="S769" i="22"/>
  <c r="F776" i="22"/>
  <c r="S777" i="22"/>
  <c r="F784" i="22"/>
  <c r="S785" i="22"/>
  <c r="F792" i="22"/>
  <c r="S793" i="22"/>
  <c r="F800" i="22"/>
  <c r="S801" i="22"/>
  <c r="F808" i="22"/>
  <c r="S809" i="22"/>
  <c r="F816" i="22"/>
  <c r="S817" i="22"/>
  <c r="F824" i="22"/>
  <c r="S825" i="22"/>
  <c r="F832" i="22"/>
  <c r="S833" i="22"/>
  <c r="F840" i="22"/>
  <c r="F848" i="22"/>
  <c r="S855" i="22"/>
  <c r="S696" i="22"/>
  <c r="S698" i="22"/>
  <c r="I902" i="22"/>
  <c r="O902" i="22"/>
  <c r="S700" i="22"/>
  <c r="S702" i="22"/>
  <c r="S704" i="22"/>
  <c r="F707" i="22"/>
  <c r="E903" i="22"/>
  <c r="F711" i="22"/>
  <c r="O904" i="22"/>
  <c r="F748" i="22"/>
  <c r="S749" i="22"/>
  <c r="F756" i="22"/>
  <c r="S757" i="22"/>
  <c r="T757" i="22" s="1"/>
  <c r="F764" i="22"/>
  <c r="S765" i="22"/>
  <c r="T765" i="22" s="1"/>
  <c r="F772" i="22"/>
  <c r="S773" i="22"/>
  <c r="T773" i="22" s="1"/>
  <c r="F780" i="22"/>
  <c r="S781" i="22"/>
  <c r="T781" i="22" s="1"/>
  <c r="F788" i="22"/>
  <c r="S789" i="22"/>
  <c r="T789" i="22" s="1"/>
  <c r="F796" i="22"/>
  <c r="S797" i="22"/>
  <c r="T797" i="22" s="1"/>
  <c r="F804" i="22"/>
  <c r="S805" i="22"/>
  <c r="T805" i="22" s="1"/>
  <c r="F812" i="22"/>
  <c r="S813" i="22"/>
  <c r="T813" i="22" s="1"/>
  <c r="F820" i="22"/>
  <c r="S821" i="22"/>
  <c r="T821" i="22" s="1"/>
  <c r="F828" i="22"/>
  <c r="S829" i="22"/>
  <c r="T829" i="22" s="1"/>
  <c r="F836" i="22"/>
  <c r="S837" i="22"/>
  <c r="T837" i="22" s="1"/>
  <c r="S845" i="22"/>
  <c r="D903" i="22"/>
  <c r="O903" i="22"/>
  <c r="D904" i="22"/>
  <c r="I904" i="22"/>
  <c r="D905" i="22"/>
  <c r="I905" i="22"/>
  <c r="O905" i="22"/>
  <c r="S852" i="22"/>
  <c r="F853" i="22"/>
  <c r="S853" i="22"/>
  <c r="E904" i="22"/>
  <c r="K904" i="22"/>
  <c r="P904" i="22"/>
  <c r="E905" i="22"/>
  <c r="K905" i="22"/>
  <c r="P905" i="22"/>
  <c r="S843" i="22"/>
  <c r="S847" i="22"/>
  <c r="S851" i="22"/>
  <c r="M103" i="22" l="1"/>
  <c r="N103" i="22" s="1"/>
  <c r="T649" i="22"/>
  <c r="T657" i="22"/>
  <c r="T570" i="22"/>
  <c r="M153" i="22"/>
  <c r="N153" i="22" s="1"/>
  <c r="T608" i="22"/>
  <c r="T510" i="22"/>
  <c r="T674" i="22"/>
  <c r="T640" i="22"/>
  <c r="T588" i="22"/>
  <c r="Y419" i="22"/>
  <c r="T686" i="22"/>
  <c r="T622" i="22"/>
  <c r="T598" i="22"/>
  <c r="T576" i="22"/>
  <c r="T753" i="22"/>
  <c r="T630" i="22"/>
  <c r="T614" i="22"/>
  <c r="T606" i="22"/>
  <c r="T584" i="22"/>
  <c r="T415" i="22"/>
  <c r="T670" i="22"/>
  <c r="T646" i="22"/>
  <c r="T642" i="22"/>
  <c r="T616" i="22"/>
  <c r="T600" i="22"/>
  <c r="T566" i="22"/>
  <c r="T711" i="22"/>
  <c r="T846" i="22"/>
  <c r="T568" i="22"/>
  <c r="T638" i="22"/>
  <c r="T580" i="22"/>
  <c r="T634" i="22"/>
  <c r="T628" i="22"/>
  <c r="T582" i="22"/>
  <c r="T592" i="22"/>
  <c r="T351" i="22"/>
  <c r="M100" i="22"/>
  <c r="N100" i="22" s="1"/>
  <c r="M123" i="22"/>
  <c r="N123" i="22" s="1"/>
  <c r="M17" i="22"/>
  <c r="N17" i="22" s="1"/>
  <c r="M90" i="22"/>
  <c r="N90" i="22" s="1"/>
  <c r="M48" i="22"/>
  <c r="X287" i="22"/>
  <c r="Y299" i="22" s="1"/>
  <c r="T532" i="22"/>
  <c r="T656" i="22"/>
  <c r="T652" i="22"/>
  <c r="T658" i="22"/>
  <c r="T624" i="22"/>
  <c r="T620" i="22"/>
  <c r="T612" i="22"/>
  <c r="T596" i="22"/>
  <c r="T604" i="22"/>
  <c r="T578" i="22"/>
  <c r="T574" i="22"/>
  <c r="T843" i="22"/>
  <c r="T650" i="22"/>
  <c r="T723" i="22"/>
  <c r="T719" i="22"/>
  <c r="T684" i="22"/>
  <c r="T680" i="22"/>
  <c r="T676" i="22"/>
  <c r="M21" i="22"/>
  <c r="N21" i="22" s="1"/>
  <c r="T636" i="22"/>
  <c r="T644" i="22"/>
  <c r="T626" i="22"/>
  <c r="T610" i="22"/>
  <c r="T618" i="22"/>
  <c r="T602" i="22"/>
  <c r="T586" i="22"/>
  <c r="T594" i="22"/>
  <c r="T572" i="22"/>
  <c r="T590" i="22"/>
  <c r="T632" i="22"/>
  <c r="T666" i="22"/>
  <c r="T854" i="22"/>
  <c r="T648" i="22"/>
  <c r="T682" i="22"/>
  <c r="T678" i="22"/>
  <c r="M155" i="22"/>
  <c r="N155" i="22" s="1"/>
  <c r="M40" i="22"/>
  <c r="N40" i="22" s="1"/>
  <c r="M118" i="22"/>
  <c r="N118" i="22" s="1"/>
  <c r="M65" i="22"/>
  <c r="T398" i="22"/>
  <c r="M10" i="22"/>
  <c r="N10" i="22" s="1"/>
  <c r="M113" i="22"/>
  <c r="N113" i="22" s="1"/>
  <c r="T744" i="22"/>
  <c r="M157" i="22"/>
  <c r="N157" i="22" s="1"/>
  <c r="M25" i="22"/>
  <c r="N25" i="22" s="1"/>
  <c r="M24" i="22"/>
  <c r="T446" i="22"/>
  <c r="T731" i="22"/>
  <c r="M117" i="22"/>
  <c r="N117" i="22" s="1"/>
  <c r="M92" i="22"/>
  <c r="N92" i="22" s="1"/>
  <c r="M26" i="22"/>
  <c r="O27" i="22" s="1"/>
  <c r="M16" i="22"/>
  <c r="N16" i="22" s="1"/>
  <c r="M23" i="22"/>
  <c r="N23" i="22" s="1"/>
  <c r="T434" i="22"/>
  <c r="M9" i="22"/>
  <c r="N9" i="22" s="1"/>
  <c r="M115" i="22"/>
  <c r="N115" i="22" s="1"/>
  <c r="M69" i="22"/>
  <c r="N69" i="22" s="1"/>
  <c r="M49" i="22"/>
  <c r="N49" i="22" s="1"/>
  <c r="T605" i="22"/>
  <c r="T806" i="22"/>
  <c r="T615" i="22"/>
  <c r="T565" i="22"/>
  <c r="T531" i="22"/>
  <c r="T275" i="22"/>
  <c r="AC101" i="22"/>
  <c r="AD101" i="22" s="1"/>
  <c r="AC93" i="22"/>
  <c r="AD93" i="22" s="1"/>
  <c r="AC110" i="22"/>
  <c r="AD110" i="22" s="1"/>
  <c r="M127" i="22"/>
  <c r="N127" i="22" s="1"/>
  <c r="T764" i="22"/>
  <c r="T233" i="22"/>
  <c r="AC140" i="22"/>
  <c r="AD140" i="22" s="1"/>
  <c r="T495" i="22"/>
  <c r="M159" i="22"/>
  <c r="N159" i="22" s="1"/>
  <c r="M22" i="22"/>
  <c r="N22" i="22" s="1"/>
  <c r="T458" i="22"/>
  <c r="T410" i="22"/>
  <c r="I11" i="22"/>
  <c r="T722" i="22"/>
  <c r="T831" i="22"/>
  <c r="T497" i="22"/>
  <c r="T556" i="22"/>
  <c r="M121" i="22"/>
  <c r="N121" i="22" s="1"/>
  <c r="T696" i="22"/>
  <c r="T613" i="22"/>
  <c r="AC25" i="22"/>
  <c r="AD25" i="22" s="1"/>
  <c r="AC23" i="22"/>
  <c r="AD23" i="22" s="1"/>
  <c r="AC24" i="22"/>
  <c r="AD24" i="22" s="1"/>
  <c r="M111" i="22"/>
  <c r="N111" i="22" s="1"/>
  <c r="T852" i="22"/>
  <c r="T790" i="22"/>
  <c r="T780" i="22"/>
  <c r="AC120" i="22"/>
  <c r="AD120" i="22" s="1"/>
  <c r="T422" i="22"/>
  <c r="T653" i="22"/>
  <c r="M76" i="22"/>
  <c r="N76" i="22" s="1"/>
  <c r="T692" i="22"/>
  <c r="T688" i="22"/>
  <c r="M124" i="22"/>
  <c r="N124" i="22" s="1"/>
  <c r="AC51" i="22"/>
  <c r="AD51" i="22" s="1"/>
  <c r="AC28" i="22"/>
  <c r="AD28" i="22" s="1"/>
  <c r="M43" i="22"/>
  <c r="O43" i="22" s="1"/>
  <c r="T583" i="22"/>
  <c r="T767" i="22"/>
  <c r="T465" i="22"/>
  <c r="T718" i="22"/>
  <c r="T694" i="22"/>
  <c r="T690" i="22"/>
  <c r="Y198" i="22"/>
  <c r="N890" i="22"/>
  <c r="M119" i="22"/>
  <c r="N119" i="22" s="1"/>
  <c r="M88" i="22"/>
  <c r="N88" i="22" s="1"/>
  <c r="M44" i="22"/>
  <c r="N44" i="22" s="1"/>
  <c r="AC21" i="22"/>
  <c r="AD21" i="22" s="1"/>
  <c r="AC97" i="22"/>
  <c r="AD97" i="22" s="1"/>
  <c r="T702" i="22"/>
  <c r="T706" i="22"/>
  <c r="M80" i="22"/>
  <c r="N80" i="22" s="1"/>
  <c r="T533" i="22"/>
  <c r="T559" i="22"/>
  <c r="AC123" i="22"/>
  <c r="AD123" i="22" s="1"/>
  <c r="X239" i="22"/>
  <c r="Y251" i="22" s="1"/>
  <c r="AC52" i="22"/>
  <c r="AD52" i="22" s="1"/>
  <c r="M18" i="22"/>
  <c r="N18" i="22" s="1"/>
  <c r="AC125" i="22"/>
  <c r="AD125" i="22" s="1"/>
  <c r="M19" i="22"/>
  <c r="AC16" i="22"/>
  <c r="AD16" i="22" s="1"/>
  <c r="T733" i="22"/>
  <c r="AC91" i="22"/>
  <c r="AD91" i="22" s="1"/>
  <c r="AC79" i="22"/>
  <c r="AD79" i="22" s="1"/>
  <c r="T443" i="22"/>
  <c r="AC22" i="22"/>
  <c r="AD22" i="22" s="1"/>
  <c r="T320" i="22"/>
  <c r="N897" i="22"/>
  <c r="AC95" i="22"/>
  <c r="AD95" i="22" s="1"/>
  <c r="AC77" i="22"/>
  <c r="AD77" i="22" s="1"/>
  <c r="M51" i="22"/>
  <c r="N51" i="22" s="1"/>
  <c r="AC27" i="22"/>
  <c r="AD27" i="22" s="1"/>
  <c r="AC100" i="22"/>
  <c r="AD100" i="22" s="1"/>
  <c r="M74" i="22"/>
  <c r="N74" i="22" s="1"/>
  <c r="M66" i="22"/>
  <c r="N66" i="22" s="1"/>
  <c r="I14" i="22"/>
  <c r="T787" i="22"/>
  <c r="T482" i="22"/>
  <c r="T571" i="22"/>
  <c r="T799" i="22"/>
  <c r="T561" i="22"/>
  <c r="T725" i="22"/>
  <c r="AC76" i="22"/>
  <c r="AD76" i="22" s="1"/>
  <c r="T527" i="22"/>
  <c r="T591" i="22"/>
  <c r="T660" i="22"/>
  <c r="T536" i="22"/>
  <c r="T494" i="22"/>
  <c r="M13" i="22"/>
  <c r="N13" i="22" s="1"/>
  <c r="M5" i="22"/>
  <c r="N5" i="22" s="1"/>
  <c r="T667" i="22"/>
  <c r="T689" i="22"/>
  <c r="T679" i="22"/>
  <c r="T524" i="22"/>
  <c r="T461" i="22"/>
  <c r="T457" i="22"/>
  <c r="T437" i="22"/>
  <c r="T433" i="22"/>
  <c r="T413" i="22"/>
  <c r="T409" i="22"/>
  <c r="T397" i="22"/>
  <c r="T707" i="22"/>
  <c r="T815" i="22"/>
  <c r="T844" i="22"/>
  <c r="T730" i="22"/>
  <c r="T529" i="22"/>
  <c r="T407" i="22"/>
  <c r="T504" i="22"/>
  <c r="M70" i="22"/>
  <c r="O71" i="22" s="1"/>
  <c r="T822" i="22"/>
  <c r="T651" i="22"/>
  <c r="T419" i="22"/>
  <c r="X395" i="22"/>
  <c r="Y395" i="22" s="1"/>
  <c r="T698" i="22"/>
  <c r="T742" i="22"/>
  <c r="T715" i="22"/>
  <c r="T479" i="22"/>
  <c r="X455" i="22"/>
  <c r="Y467" i="22" s="1"/>
  <c r="M96" i="22"/>
  <c r="N96" i="22" s="1"/>
  <c r="M56" i="22"/>
  <c r="N56" i="22" s="1"/>
  <c r="T668" i="22"/>
  <c r="T740" i="22"/>
  <c r="N871" i="22"/>
  <c r="M116" i="22"/>
  <c r="N116" i="22" s="1"/>
  <c r="X431" i="22"/>
  <c r="Y443" i="22" s="1"/>
  <c r="M131" i="22"/>
  <c r="N131" i="22" s="1"/>
  <c r="M67" i="22"/>
  <c r="N67" i="22" s="1"/>
  <c r="M47" i="22"/>
  <c r="O47" i="22" s="1"/>
  <c r="M54" i="22"/>
  <c r="N54" i="22" s="1"/>
  <c r="M20" i="22"/>
  <c r="N20" i="22" s="1"/>
  <c r="N891" i="22"/>
  <c r="T665" i="22"/>
  <c r="T516" i="22"/>
  <c r="T847" i="22"/>
  <c r="R893" i="22"/>
  <c r="X409" i="22"/>
  <c r="Y409" i="22" s="1"/>
  <c r="M151" i="22"/>
  <c r="N151" i="22" s="1"/>
  <c r="M135" i="22"/>
  <c r="N135" i="22" s="1"/>
  <c r="T316" i="22"/>
  <c r="T609" i="22"/>
  <c r="T573" i="22"/>
  <c r="T721" i="22"/>
  <c r="T485" i="22"/>
  <c r="M133" i="22"/>
  <c r="N133" i="22" s="1"/>
  <c r="M109" i="22"/>
  <c r="N109" i="22" s="1"/>
  <c r="T662" i="22"/>
  <c r="R892" i="22"/>
  <c r="T499" i="22"/>
  <c r="X439" i="22"/>
  <c r="X413" i="22"/>
  <c r="Y413" i="22" s="1"/>
  <c r="T535" i="22"/>
  <c r="M6" i="22"/>
  <c r="T729" i="22"/>
  <c r="T383" i="22"/>
  <c r="T463" i="22"/>
  <c r="T473" i="22"/>
  <c r="T782" i="22"/>
  <c r="T836" i="22"/>
  <c r="T811" i="22"/>
  <c r="T551" i="22"/>
  <c r="T474" i="22"/>
  <c r="T425" i="22"/>
  <c r="T421" i="22"/>
  <c r="M73" i="22"/>
  <c r="N73" i="22" s="1"/>
  <c r="M7" i="22"/>
  <c r="N7" i="22" s="1"/>
  <c r="T347" i="22"/>
  <c r="M122" i="22"/>
  <c r="N122" i="22" s="1"/>
  <c r="M14" i="22"/>
  <c r="N14" i="22" s="1"/>
  <c r="N905" i="22"/>
  <c r="T520" i="22"/>
  <c r="T481" i="22"/>
  <c r="T555" i="22"/>
  <c r="T270" i="22"/>
  <c r="T227" i="22"/>
  <c r="Y270" i="22"/>
  <c r="T704" i="22"/>
  <c r="T745" i="22"/>
  <c r="T737" i="22"/>
  <c r="T783" i="22"/>
  <c r="T664" i="22"/>
  <c r="T828" i="22"/>
  <c r="T760" i="22"/>
  <c r="T812" i="22"/>
  <c r="AC89" i="22"/>
  <c r="AD89" i="22" s="1"/>
  <c r="T779" i="22"/>
  <c r="T281" i="22"/>
  <c r="AC99" i="22"/>
  <c r="AD99" i="22" s="1"/>
  <c r="M86" i="22"/>
  <c r="N86" i="22" s="1"/>
  <c r="T743" i="22"/>
  <c r="T543" i="22"/>
  <c r="T304" i="22"/>
  <c r="AC75" i="22"/>
  <c r="AD75" i="22" s="1"/>
  <c r="T282" i="22"/>
  <c r="M45" i="22"/>
  <c r="X227" i="22"/>
  <c r="Y227" i="22" s="1"/>
  <c r="AC126" i="22"/>
  <c r="AD126" i="22" s="1"/>
  <c r="M101" i="22"/>
  <c r="N101" i="22" s="1"/>
  <c r="T509" i="22"/>
  <c r="T505" i="22"/>
  <c r="T496" i="22"/>
  <c r="T726" i="22"/>
  <c r="T724" i="22"/>
  <c r="T732" i="22"/>
  <c r="T627" i="22"/>
  <c r="T727" i="22"/>
  <c r="T579" i="22"/>
  <c r="T500" i="22"/>
  <c r="T557" i="22"/>
  <c r="T362" i="22"/>
  <c r="T336" i="22"/>
  <c r="T215" i="22"/>
  <c r="T263" i="22"/>
  <c r="I89" i="22"/>
  <c r="M89" i="22" s="1"/>
  <c r="N89" i="22" s="1"/>
  <c r="T647" i="22"/>
  <c r="T611" i="22"/>
  <c r="T607" i="22"/>
  <c r="T360" i="22"/>
  <c r="T749" i="22"/>
  <c r="T700" i="22"/>
  <c r="R904" i="22"/>
  <c r="T663" i="22"/>
  <c r="T751" i="22"/>
  <c r="T220" i="22"/>
  <c r="M91" i="22"/>
  <c r="N91" i="22" s="1"/>
  <c r="M84" i="22"/>
  <c r="N84" i="22" s="1"/>
  <c r="T654" i="22"/>
  <c r="T542" i="22"/>
  <c r="T342" i="22"/>
  <c r="AC153" i="22"/>
  <c r="AD153" i="22" s="1"/>
  <c r="AC71" i="22"/>
  <c r="AD71" i="22" s="1"/>
  <c r="AC56" i="22"/>
  <c r="AD56" i="22" s="1"/>
  <c r="T476" i="22"/>
  <c r="M41" i="22"/>
  <c r="O42" i="22" s="1"/>
  <c r="T299" i="22"/>
  <c r="AC127" i="22"/>
  <c r="AD127" i="22" s="1"/>
  <c r="M105" i="22"/>
  <c r="N105" i="22" s="1"/>
  <c r="AC102" i="22"/>
  <c r="AD102" i="22" s="1"/>
  <c r="M72" i="22"/>
  <c r="N72" i="22" s="1"/>
  <c r="T386" i="22"/>
  <c r="AC122" i="22"/>
  <c r="AD122" i="22" s="1"/>
  <c r="AC124" i="22"/>
  <c r="AD124" i="22" s="1"/>
  <c r="M75" i="22"/>
  <c r="O75" i="22" s="1"/>
  <c r="AC17" i="22"/>
  <c r="AD17" i="22" s="1"/>
  <c r="T803" i="22"/>
  <c r="T659" i="22"/>
  <c r="M99" i="22"/>
  <c r="N99" i="22" s="1"/>
  <c r="M68" i="22"/>
  <c r="N68" i="22" s="1"/>
  <c r="M95" i="22"/>
  <c r="N95" i="22" s="1"/>
  <c r="T705" i="22"/>
  <c r="T824" i="22"/>
  <c r="T389" i="22"/>
  <c r="T747" i="22"/>
  <c r="T655" i="22"/>
  <c r="R896" i="22"/>
  <c r="T550" i="22"/>
  <c r="T475" i="22"/>
  <c r="T471" i="22"/>
  <c r="T449" i="22"/>
  <c r="T445" i="22"/>
  <c r="X437" i="22"/>
  <c r="Y437" i="22" s="1"/>
  <c r="X433" i="22"/>
  <c r="Y433" i="22" s="1"/>
  <c r="X403" i="22"/>
  <c r="X203" i="22"/>
  <c r="Y203" i="22" s="1"/>
  <c r="X336" i="22"/>
  <c r="Y336" i="22" s="1"/>
  <c r="T739" i="22"/>
  <c r="T251" i="22"/>
  <c r="T234" i="22"/>
  <c r="T738" i="22"/>
  <c r="T826" i="22"/>
  <c r="T720" i="22"/>
  <c r="T758" i="22"/>
  <c r="T569" i="22"/>
  <c r="X461" i="22"/>
  <c r="Y461" i="22" s="1"/>
  <c r="X457" i="22"/>
  <c r="Y469" i="22" s="1"/>
  <c r="X427" i="22"/>
  <c r="Y401" i="22"/>
  <c r="X391" i="22"/>
  <c r="X385" i="22"/>
  <c r="Y397" i="22" s="1"/>
  <c r="X360" i="22"/>
  <c r="T258" i="22"/>
  <c r="T246" i="22"/>
  <c r="T498" i="22"/>
  <c r="X362" i="22"/>
  <c r="Y362" i="22" s="1"/>
  <c r="Y446" i="22"/>
  <c r="Y422" i="22"/>
  <c r="Y398" i="22"/>
  <c r="T746" i="22"/>
  <c r="T691" i="22"/>
  <c r="T685" i="22"/>
  <c r="T681" i="22"/>
  <c r="T677" i="22"/>
  <c r="T736" i="22"/>
  <c r="T379" i="22"/>
  <c r="T772" i="22"/>
  <c r="T796" i="22"/>
  <c r="T838" i="22"/>
  <c r="T701" i="22"/>
  <c r="T695" i="22"/>
  <c r="T820" i="22"/>
  <c r="T756" i="22"/>
  <c r="T791" i="22"/>
  <c r="T385" i="22"/>
  <c r="T268" i="22"/>
  <c r="T563" i="22"/>
  <c r="T548" i="22"/>
  <c r="T469" i="22"/>
  <c r="X451" i="22"/>
  <c r="Y463" i="22" s="1"/>
  <c r="X415" i="22"/>
  <c r="T401" i="22"/>
  <c r="Y282" i="22"/>
  <c r="T472" i="22"/>
  <c r="N895" i="22"/>
  <c r="T528" i="22"/>
  <c r="T441" i="22"/>
  <c r="T417" i="22"/>
  <c r="T393" i="22"/>
  <c r="T244" i="22"/>
  <c r="T222" i="22"/>
  <c r="M112" i="22"/>
  <c r="N112" i="22" s="1"/>
  <c r="M93" i="22"/>
  <c r="M144" i="22"/>
  <c r="N144" i="22" s="1"/>
  <c r="M140" i="22"/>
  <c r="N140" i="22" s="1"/>
  <c r="M15" i="22"/>
  <c r="N15" i="22" s="1"/>
  <c r="M58" i="22"/>
  <c r="M60" i="22"/>
  <c r="N60" i="22" s="1"/>
  <c r="M136" i="22"/>
  <c r="N136" i="22" s="1"/>
  <c r="M97" i="22"/>
  <c r="N97" i="22" s="1"/>
  <c r="M125" i="22"/>
  <c r="N125" i="22" s="1"/>
  <c r="M62" i="22"/>
  <c r="M82" i="22"/>
  <c r="N82" i="22" s="1"/>
  <c r="M138" i="22"/>
  <c r="N138" i="22" s="1"/>
  <c r="M142" i="22"/>
  <c r="N142" i="22" s="1"/>
  <c r="M12" i="22"/>
  <c r="M98" i="22"/>
  <c r="N904" i="22"/>
  <c r="T703" i="22"/>
  <c r="T839" i="22"/>
  <c r="T774" i="22"/>
  <c r="T734" i="22"/>
  <c r="T661" i="22"/>
  <c r="T775" i="22"/>
  <c r="N894" i="22"/>
  <c r="T567" i="22"/>
  <c r="T512" i="22"/>
  <c r="T483" i="22"/>
  <c r="T478" i="22"/>
  <c r="X379" i="22"/>
  <c r="T210" i="22"/>
  <c r="T513" i="22"/>
  <c r="T514" i="22"/>
  <c r="T714" i="22"/>
  <c r="T754" i="22"/>
  <c r="T804" i="22"/>
  <c r="T752" i="22"/>
  <c r="T819" i="22"/>
  <c r="T748" i="22"/>
  <c r="T477" i="22"/>
  <c r="X441" i="22"/>
  <c r="Y441" i="22" s="1"/>
  <c r="X417" i="22"/>
  <c r="Y417" i="22" s="1"/>
  <c r="X393" i="22"/>
  <c r="Y393" i="22" s="1"/>
  <c r="T501" i="22"/>
  <c r="X244" i="22"/>
  <c r="T693" i="22"/>
  <c r="T683" i="22"/>
  <c r="T741" i="22"/>
  <c r="T697" i="22"/>
  <c r="T639" i="22"/>
  <c r="T547" i="22"/>
  <c r="T540" i="22"/>
  <c r="T508" i="22"/>
  <c r="T487" i="22"/>
  <c r="T480" i="22"/>
  <c r="T453" i="22"/>
  <c r="T429" i="22"/>
  <c r="T405" i="22"/>
  <c r="T710" i="22"/>
  <c r="T669" i="22"/>
  <c r="T848" i="22"/>
  <c r="T823" i="22"/>
  <c r="T794" i="22"/>
  <c r="T537" i="22"/>
  <c r="T464" i="22"/>
  <c r="T518" i="22"/>
  <c r="AC146" i="22"/>
  <c r="AD146" i="22" s="1"/>
  <c r="AC129" i="22"/>
  <c r="AD129" i="22" s="1"/>
  <c r="T833" i="22"/>
  <c r="T817" i="22"/>
  <c r="T801" i="22"/>
  <c r="T785" i="22"/>
  <c r="T769" i="22"/>
  <c r="T687" i="22"/>
  <c r="T830" i="22"/>
  <c r="T766" i="22"/>
  <c r="T750" i="22"/>
  <c r="T802" i="22"/>
  <c r="T759" i="22"/>
  <c r="T808" i="22"/>
  <c r="H87" i="22"/>
  <c r="T538" i="22"/>
  <c r="T530" i="22"/>
  <c r="T468" i="22"/>
  <c r="M120" i="22"/>
  <c r="AC85" i="22"/>
  <c r="AD85" i="22" s="1"/>
  <c r="AC83" i="22"/>
  <c r="AD83" i="22" s="1"/>
  <c r="AC81" i="22"/>
  <c r="AD81" i="22" s="1"/>
  <c r="AC31" i="22"/>
  <c r="AD31" i="22" s="1"/>
  <c r="T515" i="22"/>
  <c r="T507" i="22"/>
  <c r="T491" i="22"/>
  <c r="Y234" i="22"/>
  <c r="Y210" i="22"/>
  <c r="M11" i="22"/>
  <c r="O11" i="22" s="1"/>
  <c r="M149" i="22"/>
  <c r="N149" i="22" s="1"/>
  <c r="AC18" i="22"/>
  <c r="AD18" i="22" s="1"/>
  <c r="T851" i="22"/>
  <c r="T850" i="22"/>
  <c r="T798" i="22"/>
  <c r="T840" i="22"/>
  <c r="T713" i="22"/>
  <c r="T788" i="22"/>
  <c r="T784" i="22"/>
  <c r="T755" i="22"/>
  <c r="M146" i="22"/>
  <c r="N146" i="22" s="1"/>
  <c r="T541" i="22"/>
  <c r="T534" i="22"/>
  <c r="T198" i="22"/>
  <c r="M78" i="22"/>
  <c r="N78" i="22" s="1"/>
  <c r="T489" i="22"/>
  <c r="Y200" i="22"/>
  <c r="N46" i="22"/>
  <c r="N94" i="22"/>
  <c r="N50" i="22"/>
  <c r="N42" i="22"/>
  <c r="T825" i="22"/>
  <c r="T809" i="22"/>
  <c r="T793" i="22"/>
  <c r="T777" i="22"/>
  <c r="T761" i="22"/>
  <c r="N902" i="22"/>
  <c r="R902" i="22"/>
  <c r="T716" i="22"/>
  <c r="T708" i="22"/>
  <c r="N888" i="22"/>
  <c r="R888" i="22"/>
  <c r="N886" i="22"/>
  <c r="R886" i="22"/>
  <c r="T827" i="22"/>
  <c r="X327" i="22"/>
  <c r="T327" i="22"/>
  <c r="T795" i="22"/>
  <c r="R874" i="22"/>
  <c r="N874" i="22"/>
  <c r="X303" i="22"/>
  <c r="T303" i="22"/>
  <c r="X314" i="22"/>
  <c r="Y314" i="22" s="1"/>
  <c r="T314" i="22"/>
  <c r="X306" i="22"/>
  <c r="Y318" i="22" s="1"/>
  <c r="T306" i="22"/>
  <c r="X298" i="22"/>
  <c r="T298" i="22"/>
  <c r="T225" i="22"/>
  <c r="X225" i="22"/>
  <c r="T776" i="22"/>
  <c r="Y316" i="22"/>
  <c r="X325" i="22"/>
  <c r="T325" i="22"/>
  <c r="X321" i="22"/>
  <c r="T321" i="22"/>
  <c r="X317" i="22"/>
  <c r="Y329" i="22" s="1"/>
  <c r="T317" i="22"/>
  <c r="X294" i="22"/>
  <c r="Y294" i="22" s="1"/>
  <c r="T294" i="22"/>
  <c r="T284" i="22"/>
  <c r="X284" i="22"/>
  <c r="Y296" i="22" s="1"/>
  <c r="T264" i="22"/>
  <c r="X264" i="22"/>
  <c r="T197" i="22"/>
  <c r="X197" i="22"/>
  <c r="Y197" i="22" s="1"/>
  <c r="N898" i="22"/>
  <c r="R898" i="22"/>
  <c r="T553" i="22"/>
  <c r="T338" i="22"/>
  <c r="X338" i="22"/>
  <c r="Y338" i="22" s="1"/>
  <c r="N872" i="22"/>
  <c r="R872" i="22"/>
  <c r="X265" i="22"/>
  <c r="T265" i="22"/>
  <c r="T259" i="22"/>
  <c r="X259" i="22"/>
  <c r="I77" i="22"/>
  <c r="M77" i="22" s="1"/>
  <c r="AC87" i="22"/>
  <c r="AD87" i="22" s="1"/>
  <c r="AC88" i="22"/>
  <c r="AD88" i="22" s="1"/>
  <c r="I63" i="22"/>
  <c r="M63" i="22" s="1"/>
  <c r="AC74" i="22"/>
  <c r="AD74" i="22" s="1"/>
  <c r="I59" i="22"/>
  <c r="M59" i="22" s="1"/>
  <c r="AC70" i="22"/>
  <c r="AD70" i="22" s="1"/>
  <c r="I55" i="22"/>
  <c r="M55" i="22" s="1"/>
  <c r="AC66" i="22"/>
  <c r="AD66" i="22" s="1"/>
  <c r="AC49" i="22"/>
  <c r="AD49" i="22" s="1"/>
  <c r="I38" i="22"/>
  <c r="M38" i="22" s="1"/>
  <c r="AC45" i="22"/>
  <c r="AD45" i="22" s="1"/>
  <c r="I34" i="22"/>
  <c r="M34" i="22" s="1"/>
  <c r="AC41" i="22"/>
  <c r="AD41" i="22" s="1"/>
  <c r="I30" i="22"/>
  <c r="M30" i="22" s="1"/>
  <c r="N883" i="22"/>
  <c r="R883" i="22"/>
  <c r="N882" i="22"/>
  <c r="R882" i="22"/>
  <c r="N881" i="22"/>
  <c r="R881" i="22"/>
  <c r="N880" i="22"/>
  <c r="R880" i="22"/>
  <c r="N879" i="22"/>
  <c r="R879" i="22"/>
  <c r="T411" i="22"/>
  <c r="X411" i="22"/>
  <c r="N877" i="22"/>
  <c r="R877" i="22"/>
  <c r="N876" i="22"/>
  <c r="R876" i="22"/>
  <c r="X337" i="22"/>
  <c r="T337" i="22"/>
  <c r="Y222" i="22"/>
  <c r="AC145" i="22"/>
  <c r="AD145" i="22" s="1"/>
  <c r="I134" i="22"/>
  <c r="M134" i="22" s="1"/>
  <c r="I102" i="22"/>
  <c r="M102" i="22" s="1"/>
  <c r="AC113" i="22"/>
  <c r="AD113" i="22" s="1"/>
  <c r="AC60" i="22"/>
  <c r="AD60" i="22" s="1"/>
  <c r="T366" i="22"/>
  <c r="X366" i="22"/>
  <c r="X349" i="22"/>
  <c r="T349" i="22"/>
  <c r="T328" i="22"/>
  <c r="X328" i="22"/>
  <c r="Y328" i="22" s="1"/>
  <c r="X272" i="22"/>
  <c r="T272" i="22"/>
  <c r="X214" i="22"/>
  <c r="T214" i="22"/>
  <c r="T199" i="22"/>
  <c r="X199" i="22"/>
  <c r="Y199" i="22" s="1"/>
  <c r="AC106" i="22"/>
  <c r="AD106" i="22" s="1"/>
  <c r="AC48" i="22"/>
  <c r="AD48" i="22" s="1"/>
  <c r="I37" i="22"/>
  <c r="M37" i="22" s="1"/>
  <c r="AC44" i="22"/>
  <c r="AD44" i="22" s="1"/>
  <c r="I33" i="22"/>
  <c r="M33" i="22" s="1"/>
  <c r="AC40" i="22"/>
  <c r="AD40" i="22" s="1"/>
  <c r="I29" i="22"/>
  <c r="M29" i="22" s="1"/>
  <c r="T506" i="22"/>
  <c r="N885" i="22"/>
  <c r="R885" i="22"/>
  <c r="T490" i="22"/>
  <c r="T454" i="22"/>
  <c r="X454" i="22"/>
  <c r="T444" i="22"/>
  <c r="X444" i="22"/>
  <c r="T436" i="22"/>
  <c r="X436" i="22"/>
  <c r="T426" i="22"/>
  <c r="X426" i="22"/>
  <c r="T416" i="22"/>
  <c r="X416" i="22"/>
  <c r="T406" i="22"/>
  <c r="X406" i="22"/>
  <c r="T396" i="22"/>
  <c r="X396" i="22"/>
  <c r="T388" i="22"/>
  <c r="X388" i="22"/>
  <c r="T378" i="22"/>
  <c r="X378" i="22"/>
  <c r="T370" i="22"/>
  <c r="X370" i="22"/>
  <c r="X344" i="22"/>
  <c r="T344" i="22"/>
  <c r="R867" i="22"/>
  <c r="N867" i="22"/>
  <c r="T255" i="22"/>
  <c r="X255" i="22"/>
  <c r="X254" i="22"/>
  <c r="T254" i="22"/>
  <c r="T237" i="22"/>
  <c r="X237" i="22"/>
  <c r="N863" i="22"/>
  <c r="R863" i="22"/>
  <c r="X207" i="22"/>
  <c r="T207" i="22"/>
  <c r="X206" i="22"/>
  <c r="Y206" i="22" s="1"/>
  <c r="T206" i="22"/>
  <c r="AC159" i="22"/>
  <c r="AD159" i="22" s="1"/>
  <c r="I148" i="22"/>
  <c r="M148" i="22" s="1"/>
  <c r="I145" i="22"/>
  <c r="M145" i="22" s="1"/>
  <c r="AC156" i="22"/>
  <c r="AD156" i="22" s="1"/>
  <c r="AC149" i="22"/>
  <c r="AD149" i="22" s="1"/>
  <c r="AC139" i="22"/>
  <c r="AD139" i="22" s="1"/>
  <c r="I128" i="22"/>
  <c r="M128" i="22" s="1"/>
  <c r="AC135" i="22"/>
  <c r="AD135" i="22" s="1"/>
  <c r="AC133" i="22"/>
  <c r="AD133" i="22" s="1"/>
  <c r="AC107" i="22"/>
  <c r="AD107" i="22" s="1"/>
  <c r="AC103" i="22"/>
  <c r="AD103" i="22" s="1"/>
  <c r="AC80" i="22"/>
  <c r="AD80" i="22" s="1"/>
  <c r="AC38" i="22"/>
  <c r="AD38" i="22" s="1"/>
  <c r="AC34" i="22"/>
  <c r="AD34" i="22" s="1"/>
  <c r="AC30" i="22"/>
  <c r="AD30" i="22" s="1"/>
  <c r="T196" i="22"/>
  <c r="I141" i="22"/>
  <c r="M141" i="22" s="1"/>
  <c r="AC152" i="22"/>
  <c r="AD152" i="22" s="1"/>
  <c r="I106" i="22"/>
  <c r="M106" i="22" s="1"/>
  <c r="AC117" i="22"/>
  <c r="AD117" i="22" s="1"/>
  <c r="AC58" i="22"/>
  <c r="AD58" i="22" s="1"/>
  <c r="AC35" i="22"/>
  <c r="AD35" i="22" s="1"/>
  <c r="Y470" i="22"/>
  <c r="Y458" i="22"/>
  <c r="Y434" i="22"/>
  <c r="Y410" i="22"/>
  <c r="AC69" i="22"/>
  <c r="AD69" i="22" s="1"/>
  <c r="T544" i="22"/>
  <c r="T853" i="22"/>
  <c r="T675" i="22"/>
  <c r="N899" i="22"/>
  <c r="R899" i="22"/>
  <c r="T814" i="22"/>
  <c r="T717" i="22"/>
  <c r="T786" i="22"/>
  <c r="T673" i="22"/>
  <c r="T834" i="22"/>
  <c r="T770" i="22"/>
  <c r="T672" i="22"/>
  <c r="T763" i="22"/>
  <c r="T816" i="22"/>
  <c r="N869" i="22"/>
  <c r="R869" i="22"/>
  <c r="N862" i="22"/>
  <c r="R862" i="22"/>
  <c r="R860" i="22"/>
  <c r="N860" i="22"/>
  <c r="T373" i="22"/>
  <c r="X373" i="22"/>
  <c r="T359" i="22"/>
  <c r="X359" i="22"/>
  <c r="Y359" i="22" s="1"/>
  <c r="X312" i="22"/>
  <c r="Y312" i="22" s="1"/>
  <c r="T312" i="22"/>
  <c r="T273" i="22"/>
  <c r="X273" i="22"/>
  <c r="T253" i="22"/>
  <c r="X253" i="22"/>
  <c r="T245" i="22"/>
  <c r="X245" i="22"/>
  <c r="Y245" i="22" s="1"/>
  <c r="X232" i="22"/>
  <c r="Y232" i="22" s="1"/>
  <c r="T232" i="22"/>
  <c r="T212" i="22"/>
  <c r="X212" i="22"/>
  <c r="Y212" i="22" s="1"/>
  <c r="X201" i="22"/>
  <c r="Y201" i="22" s="1"/>
  <c r="T201" i="22"/>
  <c r="T377" i="22"/>
  <c r="X377" i="22"/>
  <c r="Y389" i="22" s="1"/>
  <c r="T363" i="22"/>
  <c r="X363" i="22"/>
  <c r="Y363" i="22" s="1"/>
  <c r="T313" i="22"/>
  <c r="X313" i="22"/>
  <c r="Y313" i="22" s="1"/>
  <c r="T309" i="22"/>
  <c r="X309" i="22"/>
  <c r="T305" i="22"/>
  <c r="X305" i="22"/>
  <c r="X249" i="22"/>
  <c r="T249" i="22"/>
  <c r="X229" i="22"/>
  <c r="T229" i="22"/>
  <c r="X221" i="22"/>
  <c r="Y221" i="22" s="1"/>
  <c r="T221" i="22"/>
  <c r="T208" i="22"/>
  <c r="X208" i="22"/>
  <c r="Y208" i="22" s="1"/>
  <c r="T842" i="22"/>
  <c r="T709" i="22"/>
  <c r="T525" i="22"/>
  <c r="T526" i="22"/>
  <c r="T560" i="22"/>
  <c r="T356" i="22"/>
  <c r="X353" i="22"/>
  <c r="T353" i="22"/>
  <c r="T334" i="22"/>
  <c r="X334" i="22"/>
  <c r="Y334" i="22" s="1"/>
  <c r="T326" i="22"/>
  <c r="X291" i="22"/>
  <c r="T291" i="22"/>
  <c r="X243" i="22"/>
  <c r="T243" i="22"/>
  <c r="X235" i="22"/>
  <c r="T235" i="22"/>
  <c r="I154" i="22"/>
  <c r="M154" i="22" s="1"/>
  <c r="AC155" i="22"/>
  <c r="AD155" i="22" s="1"/>
  <c r="AC144" i="22"/>
  <c r="AD144" i="22" s="1"/>
  <c r="M129" i="22"/>
  <c r="AC130" i="22"/>
  <c r="AD130" i="22" s="1"/>
  <c r="T511" i="22"/>
  <c r="T503" i="22"/>
  <c r="T486" i="22"/>
  <c r="T466" i="22"/>
  <c r="Y465" i="22"/>
  <c r="T346" i="22"/>
  <c r="Y263" i="22"/>
  <c r="Y258" i="22"/>
  <c r="T364" i="22"/>
  <c r="X364" i="22"/>
  <c r="Y364" i="22" s="1"/>
  <c r="T367" i="22"/>
  <c r="X367" i="22"/>
  <c r="T345" i="22"/>
  <c r="X345" i="22"/>
  <c r="Y275" i="22"/>
  <c r="T274" i="22"/>
  <c r="X274" i="22"/>
  <c r="T248" i="22"/>
  <c r="X248" i="22"/>
  <c r="X250" i="22"/>
  <c r="T250" i="22"/>
  <c r="X224" i="22"/>
  <c r="T224" i="22"/>
  <c r="I150" i="22"/>
  <c r="M150" i="22" s="1"/>
  <c r="I147" i="22"/>
  <c r="M147" i="22" s="1"/>
  <c r="AC158" i="22"/>
  <c r="AD158" i="22" s="1"/>
  <c r="AC151" i="22"/>
  <c r="AD151" i="22" s="1"/>
  <c r="AC138" i="22"/>
  <c r="AD138" i="22" s="1"/>
  <c r="AC134" i="22"/>
  <c r="AD134" i="22" s="1"/>
  <c r="N107" i="22"/>
  <c r="AC104" i="22"/>
  <c r="AD104" i="22" s="1"/>
  <c r="I52" i="22"/>
  <c r="M52" i="22" s="1"/>
  <c r="AC63" i="22"/>
  <c r="AD63" i="22" s="1"/>
  <c r="T539" i="22"/>
  <c r="T521" i="22"/>
  <c r="T517" i="22"/>
  <c r="T502" i="22"/>
  <c r="T488" i="22"/>
  <c r="T452" i="22"/>
  <c r="X452" i="22"/>
  <c r="T442" i="22"/>
  <c r="X442" i="22"/>
  <c r="T432" i="22"/>
  <c r="X432" i="22"/>
  <c r="T424" i="22"/>
  <c r="X424" i="22"/>
  <c r="T414" i="22"/>
  <c r="X414" i="22"/>
  <c r="T404" i="22"/>
  <c r="X404" i="22"/>
  <c r="T394" i="22"/>
  <c r="X394" i="22"/>
  <c r="T384" i="22"/>
  <c r="X384" i="22"/>
  <c r="T376" i="22"/>
  <c r="X376" i="22"/>
  <c r="T368" i="22"/>
  <c r="X368" i="22"/>
  <c r="Y368" i="22" s="1"/>
  <c r="X339" i="22"/>
  <c r="T339" i="22"/>
  <c r="X331" i="22"/>
  <c r="T331" i="22"/>
  <c r="X276" i="22"/>
  <c r="T276" i="22"/>
  <c r="T266" i="22"/>
  <c r="X266" i="22"/>
  <c r="N865" i="22"/>
  <c r="R865" i="22"/>
  <c r="X228" i="22"/>
  <c r="T228" i="22"/>
  <c r="T218" i="22"/>
  <c r="X218" i="22"/>
  <c r="N861" i="22"/>
  <c r="R861" i="22"/>
  <c r="AC143" i="22"/>
  <c r="AD143" i="22" s="1"/>
  <c r="I132" i="22"/>
  <c r="M132" i="22" s="1"/>
  <c r="AC132" i="22"/>
  <c r="AD132" i="22" s="1"/>
  <c r="AC111" i="22"/>
  <c r="AD111" i="22" s="1"/>
  <c r="AC82" i="22"/>
  <c r="AD82" i="22" s="1"/>
  <c r="AC61" i="22"/>
  <c r="AD61" i="22" s="1"/>
  <c r="AC57" i="22"/>
  <c r="AD57" i="22" s="1"/>
  <c r="AC53" i="22"/>
  <c r="AD53" i="22" s="1"/>
  <c r="AC19" i="22"/>
  <c r="AD19" i="22" s="1"/>
  <c r="I8" i="22"/>
  <c r="M8" i="22" s="1"/>
  <c r="T203" i="22"/>
  <c r="T200" i="22"/>
  <c r="N900" i="22"/>
  <c r="R900" i="22"/>
  <c r="T712" i="22"/>
  <c r="N889" i="22"/>
  <c r="R889" i="22"/>
  <c r="N887" i="22"/>
  <c r="R887" i="22"/>
  <c r="N873" i="22"/>
  <c r="R873" i="22"/>
  <c r="N866" i="22"/>
  <c r="R866" i="22"/>
  <c r="T810" i="22"/>
  <c r="T768" i="22"/>
  <c r="X310" i="22"/>
  <c r="T310" i="22"/>
  <c r="X280" i="22"/>
  <c r="Y280" i="22" s="1"/>
  <c r="T280" i="22"/>
  <c r="T260" i="22"/>
  <c r="X260" i="22"/>
  <c r="T240" i="22"/>
  <c r="X240" i="22"/>
  <c r="T832" i="22"/>
  <c r="T800" i="22"/>
  <c r="T369" i="22"/>
  <c r="X369" i="22"/>
  <c r="T357" i="22"/>
  <c r="X357" i="22"/>
  <c r="X323" i="22"/>
  <c r="T323" i="22"/>
  <c r="X319" i="22"/>
  <c r="T319" i="22"/>
  <c r="R870" i="22"/>
  <c r="N870" i="22"/>
  <c r="T297" i="22"/>
  <c r="X297" i="22"/>
  <c r="T236" i="22"/>
  <c r="X236" i="22"/>
  <c r="X216" i="22"/>
  <c r="T216" i="22"/>
  <c r="N114" i="22"/>
  <c r="T546" i="22"/>
  <c r="T375" i="22"/>
  <c r="X375" i="22"/>
  <c r="X355" i="22"/>
  <c r="T355" i="22"/>
  <c r="T358" i="22"/>
  <c r="X358" i="22"/>
  <c r="Y358" i="22" s="1"/>
  <c r="T343" i="22"/>
  <c r="X343" i="22"/>
  <c r="T289" i="22"/>
  <c r="X289" i="22"/>
  <c r="T301" i="22"/>
  <c r="T292" i="22"/>
  <c r="X292" i="22"/>
  <c r="Y304" i="22" s="1"/>
  <c r="X283" i="22"/>
  <c r="T283" i="22"/>
  <c r="T219" i="22"/>
  <c r="X219" i="22"/>
  <c r="X195" i="22"/>
  <c r="Y195" i="22" s="1"/>
  <c r="T195" i="22"/>
  <c r="I61" i="22"/>
  <c r="M61" i="22" s="1"/>
  <c r="AC72" i="22"/>
  <c r="AD72" i="22" s="1"/>
  <c r="I57" i="22"/>
  <c r="M57" i="22" s="1"/>
  <c r="AC68" i="22"/>
  <c r="AD68" i="22" s="1"/>
  <c r="I53" i="22"/>
  <c r="M53" i="22" s="1"/>
  <c r="AC64" i="22"/>
  <c r="AD64" i="22" s="1"/>
  <c r="AC47" i="22"/>
  <c r="AD47" i="22" s="1"/>
  <c r="I36" i="22"/>
  <c r="M36" i="22" s="1"/>
  <c r="AC43" i="22"/>
  <c r="AD43" i="22" s="1"/>
  <c r="I32" i="22"/>
  <c r="M32" i="22" s="1"/>
  <c r="AC39" i="22"/>
  <c r="AD39" i="22" s="1"/>
  <c r="I28" i="22"/>
  <c r="M28" i="22" s="1"/>
  <c r="T381" i="22"/>
  <c r="T350" i="22"/>
  <c r="T329" i="22"/>
  <c r="T322" i="22"/>
  <c r="AC141" i="22"/>
  <c r="AD141" i="22" s="1"/>
  <c r="I130" i="22"/>
  <c r="M130" i="22" s="1"/>
  <c r="AC62" i="22"/>
  <c r="AD62" i="22" s="1"/>
  <c r="X354" i="22"/>
  <c r="Y354" i="22" s="1"/>
  <c r="T354" i="22"/>
  <c r="T332" i="22"/>
  <c r="X332" i="22"/>
  <c r="Y332" i="22" s="1"/>
  <c r="X295" i="22"/>
  <c r="T295" i="22"/>
  <c r="T286" i="22"/>
  <c r="X286" i="22"/>
  <c r="X271" i="22"/>
  <c r="T271" i="22"/>
  <c r="X247" i="22"/>
  <c r="T247" i="22"/>
  <c r="T226" i="22"/>
  <c r="X226" i="22"/>
  <c r="M64" i="22"/>
  <c r="H75" i="22"/>
  <c r="AC50" i="22"/>
  <c r="AD50" i="22" s="1"/>
  <c r="I39" i="22"/>
  <c r="M39" i="22" s="1"/>
  <c r="AC46" i="22"/>
  <c r="AD46" i="22" s="1"/>
  <c r="I35" i="22"/>
  <c r="M35" i="22" s="1"/>
  <c r="AC42" i="22"/>
  <c r="AD42" i="22" s="1"/>
  <c r="I31" i="22"/>
  <c r="M31" i="22" s="1"/>
  <c r="N27" i="22"/>
  <c r="T450" i="22"/>
  <c r="X450" i="22"/>
  <c r="T440" i="22"/>
  <c r="X440" i="22"/>
  <c r="T430" i="22"/>
  <c r="X430" i="22"/>
  <c r="T420" i="22"/>
  <c r="X420" i="22"/>
  <c r="T412" i="22"/>
  <c r="X412" i="22"/>
  <c r="T402" i="22"/>
  <c r="X402" i="22"/>
  <c r="T392" i="22"/>
  <c r="X392" i="22"/>
  <c r="T382" i="22"/>
  <c r="X382" i="22"/>
  <c r="T374" i="22"/>
  <c r="X374" i="22"/>
  <c r="T371" i="22"/>
  <c r="X371" i="22"/>
  <c r="X348" i="22"/>
  <c r="T348" i="22"/>
  <c r="T340" i="22"/>
  <c r="X340" i="22"/>
  <c r="T285" i="22"/>
  <c r="X285" i="22"/>
  <c r="I156" i="22"/>
  <c r="M156" i="22" s="1"/>
  <c r="AC157" i="22"/>
  <c r="AD157" i="22" s="1"/>
  <c r="I137" i="22"/>
  <c r="M137" i="22" s="1"/>
  <c r="AC148" i="22"/>
  <c r="AD148" i="22" s="1"/>
  <c r="AC115" i="22"/>
  <c r="AD115" i="22" s="1"/>
  <c r="I104" i="22"/>
  <c r="M104" i="22" s="1"/>
  <c r="AC114" i="22"/>
  <c r="AD114" i="22" s="1"/>
  <c r="AC84" i="22"/>
  <c r="AD84" i="22" s="1"/>
  <c r="AC36" i="22"/>
  <c r="AD36" i="22" s="1"/>
  <c r="AC32" i="22"/>
  <c r="AD32" i="22" s="1"/>
  <c r="I152" i="22"/>
  <c r="M152" i="22" s="1"/>
  <c r="AC137" i="22"/>
  <c r="AD137" i="22" s="1"/>
  <c r="I126" i="22"/>
  <c r="M126" i="22" s="1"/>
  <c r="AC128" i="22"/>
  <c r="AD128" i="22" s="1"/>
  <c r="I110" i="22"/>
  <c r="M110" i="22" s="1"/>
  <c r="AC121" i="22"/>
  <c r="AD121" i="22" s="1"/>
  <c r="AC54" i="22"/>
  <c r="AD54" i="22" s="1"/>
  <c r="AC33" i="22"/>
  <c r="AD33" i="22" s="1"/>
  <c r="AC15" i="22"/>
  <c r="AD15" i="22" s="1"/>
  <c r="I4" i="22"/>
  <c r="M4" i="22" s="1"/>
  <c r="AC73" i="22"/>
  <c r="AD73" i="22" s="1"/>
  <c r="AC65" i="22"/>
  <c r="AD65" i="22" s="1"/>
  <c r="T296" i="22"/>
  <c r="AC67" i="22"/>
  <c r="AD67" i="22" s="1"/>
  <c r="T209" i="22"/>
  <c r="T845" i="22"/>
  <c r="T855" i="22"/>
  <c r="N901" i="22"/>
  <c r="R901" i="22"/>
  <c r="T849" i="22"/>
  <c r="T841" i="22"/>
  <c r="T699" i="22"/>
  <c r="T818" i="22"/>
  <c r="T762" i="22"/>
  <c r="N868" i="22"/>
  <c r="R868" i="22"/>
  <c r="N864" i="22"/>
  <c r="R864" i="22"/>
  <c r="T792" i="22"/>
  <c r="T771" i="22"/>
  <c r="T361" i="22"/>
  <c r="X361" i="22"/>
  <c r="X308" i="22"/>
  <c r="Y308" i="22" s="1"/>
  <c r="T308" i="22"/>
  <c r="T293" i="22"/>
  <c r="X293" i="22"/>
  <c r="Y293" i="22" s="1"/>
  <c r="T300" i="22"/>
  <c r="T288" i="22"/>
  <c r="X288" i="22"/>
  <c r="T835" i="22"/>
  <c r="T807" i="22"/>
  <c r="T778" i="22"/>
  <c r="T365" i="22"/>
  <c r="X365" i="22"/>
  <c r="T315" i="22"/>
  <c r="X315" i="22"/>
  <c r="T311" i="22"/>
  <c r="X311" i="22"/>
  <c r="Y311" i="22" s="1"/>
  <c r="T307" i="22"/>
  <c r="X307" i="22"/>
  <c r="X277" i="22"/>
  <c r="T277" i="22"/>
  <c r="X269" i="22"/>
  <c r="Y269" i="22" s="1"/>
  <c r="T269" i="22"/>
  <c r="X256" i="22"/>
  <c r="T256" i="22"/>
  <c r="T205" i="22"/>
  <c r="X205" i="22"/>
  <c r="Y205" i="22" s="1"/>
  <c r="N903" i="22"/>
  <c r="T562" i="22"/>
  <c r="T558" i="22"/>
  <c r="T554" i="22"/>
  <c r="T549" i="22"/>
  <c r="T545" i="22"/>
  <c r="N884" i="22"/>
  <c r="R884" i="22"/>
  <c r="R875" i="22"/>
  <c r="N875" i="22"/>
  <c r="T330" i="22"/>
  <c r="X330" i="22"/>
  <c r="Y330" i="22" s="1"/>
  <c r="AB315" i="22"/>
  <c r="A327" i="22"/>
  <c r="T267" i="22"/>
  <c r="X267" i="22"/>
  <c r="T241" i="22"/>
  <c r="X241" i="22"/>
  <c r="X217" i="22"/>
  <c r="T217" i="22"/>
  <c r="T211" i="22"/>
  <c r="X211" i="22"/>
  <c r="X202" i="22"/>
  <c r="Y202" i="22" s="1"/>
  <c r="T202" i="22"/>
  <c r="I143" i="22"/>
  <c r="M143" i="22" s="1"/>
  <c r="AC154" i="22"/>
  <c r="AD154" i="22" s="1"/>
  <c r="AC147" i="22"/>
  <c r="AD147" i="22" s="1"/>
  <c r="AC136" i="22"/>
  <c r="AD136" i="22" s="1"/>
  <c r="AC131" i="22"/>
  <c r="AD131" i="22" s="1"/>
  <c r="AC112" i="22"/>
  <c r="AD112" i="22" s="1"/>
  <c r="AC98" i="22"/>
  <c r="AD98" i="22" s="1"/>
  <c r="I87" i="22"/>
  <c r="M87" i="22" s="1"/>
  <c r="I85" i="22"/>
  <c r="M85" i="22" s="1"/>
  <c r="AC96" i="22"/>
  <c r="AD96" i="22" s="1"/>
  <c r="I83" i="22"/>
  <c r="M83" i="22" s="1"/>
  <c r="AC94" i="22"/>
  <c r="AD94" i="22" s="1"/>
  <c r="I81" i="22"/>
  <c r="M81" i="22" s="1"/>
  <c r="AC92" i="22"/>
  <c r="AD92" i="22" s="1"/>
  <c r="I79" i="22"/>
  <c r="M79" i="22" s="1"/>
  <c r="AC90" i="22"/>
  <c r="AD90" i="22" s="1"/>
  <c r="T484" i="22"/>
  <c r="T459" i="22"/>
  <c r="X459" i="22"/>
  <c r="T447" i="22"/>
  <c r="X447" i="22"/>
  <c r="T435" i="22"/>
  <c r="X435" i="22"/>
  <c r="T423" i="22"/>
  <c r="X423" i="22"/>
  <c r="N878" i="22"/>
  <c r="R878" i="22"/>
  <c r="T399" i="22"/>
  <c r="X399" i="22"/>
  <c r="T387" i="22"/>
  <c r="X387" i="22"/>
  <c r="T352" i="22"/>
  <c r="X333" i="22"/>
  <c r="T333" i="22"/>
  <c r="T318" i="22"/>
  <c r="Y246" i="22"/>
  <c r="AC37" i="22"/>
  <c r="AD37" i="22" s="1"/>
  <c r="AC29" i="22"/>
  <c r="AD29" i="22" s="1"/>
  <c r="T519" i="22"/>
  <c r="X341" i="22"/>
  <c r="Y341" i="22" s="1"/>
  <c r="T341" i="22"/>
  <c r="X262" i="22"/>
  <c r="T262" i="22"/>
  <c r="T238" i="22"/>
  <c r="X238" i="22"/>
  <c r="X223" i="22"/>
  <c r="T223" i="22"/>
  <c r="I158" i="22"/>
  <c r="M158" i="22" s="1"/>
  <c r="I139" i="22"/>
  <c r="M139" i="22" s="1"/>
  <c r="AC150" i="22"/>
  <c r="AD150" i="22" s="1"/>
  <c r="AC142" i="22"/>
  <c r="AD142" i="22" s="1"/>
  <c r="AC116" i="22"/>
  <c r="AD116" i="22" s="1"/>
  <c r="AC108" i="22"/>
  <c r="AD108" i="22" s="1"/>
  <c r="T523" i="22"/>
  <c r="T492" i="22"/>
  <c r="T460" i="22"/>
  <c r="X460" i="22"/>
  <c r="T456" i="22"/>
  <c r="X456" i="22"/>
  <c r="T448" i="22"/>
  <c r="X448" i="22"/>
  <c r="T438" i="22"/>
  <c r="X438" i="22"/>
  <c r="T428" i="22"/>
  <c r="X428" i="22"/>
  <c r="T418" i="22"/>
  <c r="X418" i="22"/>
  <c r="T408" i="22"/>
  <c r="X408" i="22"/>
  <c r="T400" i="22"/>
  <c r="X400" i="22"/>
  <c r="T390" i="22"/>
  <c r="X390" i="22"/>
  <c r="T380" i="22"/>
  <c r="X380" i="22"/>
  <c r="T372" i="22"/>
  <c r="X372" i="22"/>
  <c r="X335" i="22"/>
  <c r="T335" i="22"/>
  <c r="T324" i="22"/>
  <c r="X290" i="22"/>
  <c r="T290" i="22"/>
  <c r="T302" i="22"/>
  <c r="T279" i="22"/>
  <c r="X279" i="22"/>
  <c r="T278" i="22"/>
  <c r="X278" i="22"/>
  <c r="X261" i="22"/>
  <c r="T261" i="22"/>
  <c r="T252" i="22"/>
  <c r="X252" i="22"/>
  <c r="X242" i="22"/>
  <c r="T242" i="22"/>
  <c r="T231" i="22"/>
  <c r="X231" i="22"/>
  <c r="T230" i="22"/>
  <c r="X230" i="22"/>
  <c r="X213" i="22"/>
  <c r="T213" i="22"/>
  <c r="T204" i="22"/>
  <c r="X204" i="22"/>
  <c r="Y204" i="22" s="1"/>
  <c r="AC160" i="22"/>
  <c r="AD160" i="22" s="1"/>
  <c r="AC119" i="22"/>
  <c r="AD119" i="22" s="1"/>
  <c r="I108" i="22"/>
  <c r="M108" i="22" s="1"/>
  <c r="AC118" i="22"/>
  <c r="AD118" i="22" s="1"/>
  <c r="AC109" i="22"/>
  <c r="AD109" i="22" s="1"/>
  <c r="AC105" i="22"/>
  <c r="AD105" i="22" s="1"/>
  <c r="AC86" i="22"/>
  <c r="AD86" i="22" s="1"/>
  <c r="AC78" i="22"/>
  <c r="AD78" i="22" s="1"/>
  <c r="AC59" i="22"/>
  <c r="AD59" i="22" s="1"/>
  <c r="AC55" i="22"/>
  <c r="AD55" i="22" s="1"/>
  <c r="Y196" i="22"/>
  <c r="T552" i="22"/>
  <c r="T257" i="22"/>
  <c r="Y287" i="22" l="1"/>
  <c r="O49" i="22"/>
  <c r="N48" i="22"/>
  <c r="O52" i="22"/>
  <c r="O24" i="22"/>
  <c r="N24" i="22"/>
  <c r="N47" i="22"/>
  <c r="O50" i="22"/>
  <c r="O41" i="22"/>
  <c r="O66" i="22"/>
  <c r="O76" i="22"/>
  <c r="O18" i="22"/>
  <c r="N26" i="22"/>
  <c r="O70" i="22"/>
  <c r="N65" i="22"/>
  <c r="O25" i="22"/>
  <c r="N70" i="22"/>
  <c r="N43" i="22"/>
  <c r="O26" i="22"/>
  <c r="O17" i="22"/>
  <c r="O69" i="22"/>
  <c r="O10" i="22"/>
  <c r="O51" i="22"/>
  <c r="O21" i="22"/>
  <c r="O23" i="22"/>
  <c r="O55" i="22"/>
  <c r="O13" i="22"/>
  <c r="Y425" i="22"/>
  <c r="O8" i="22"/>
  <c r="O22" i="22"/>
  <c r="Y431" i="22"/>
  <c r="O74" i="22"/>
  <c r="O19" i="22"/>
  <c r="O67" i="22"/>
  <c r="Y239" i="22"/>
  <c r="Y215" i="22"/>
  <c r="Y348" i="22"/>
  <c r="Y335" i="22"/>
  <c r="O87" i="22"/>
  <c r="N19" i="22"/>
  <c r="Y385" i="22"/>
  <c r="O14" i="22"/>
  <c r="Y391" i="22"/>
  <c r="O45" i="22"/>
  <c r="O20" i="22"/>
  <c r="O81" i="22"/>
  <c r="O48" i="22"/>
  <c r="O44" i="22"/>
  <c r="O16" i="22"/>
  <c r="Y455" i="22"/>
  <c r="Y256" i="22"/>
  <c r="N45" i="22"/>
  <c r="O15" i="22"/>
  <c r="Y260" i="22"/>
  <c r="O68" i="22"/>
  <c r="Y379" i="22"/>
  <c r="O73" i="22"/>
  <c r="O6" i="22"/>
  <c r="N6" i="22"/>
  <c r="Y415" i="22"/>
  <c r="O57" i="22"/>
  <c r="O7" i="22"/>
  <c r="S124" i="22"/>
  <c r="X124" i="22" s="1"/>
  <c r="Y421" i="22"/>
  <c r="Y407" i="22"/>
  <c r="Y271" i="22"/>
  <c r="Y315" i="22"/>
  <c r="N41" i="22"/>
  <c r="Y219" i="22"/>
  <c r="O72" i="22"/>
  <c r="O59" i="22"/>
  <c r="Y403" i="22"/>
  <c r="Y473" i="22"/>
  <c r="Y372" i="22"/>
  <c r="N58" i="22"/>
  <c r="Y374" i="22"/>
  <c r="Y339" i="22"/>
  <c r="Y218" i="22"/>
  <c r="N11" i="22"/>
  <c r="Y449" i="22"/>
  <c r="Y262" i="22"/>
  <c r="Y423" i="22"/>
  <c r="Y371" i="22"/>
  <c r="Y402" i="22"/>
  <c r="Y420" i="22"/>
  <c r="Y440" i="22"/>
  <c r="O46" i="22"/>
  <c r="Y236" i="22"/>
  <c r="Y457" i="22"/>
  <c r="N75" i="22"/>
  <c r="O63" i="22"/>
  <c r="S100" i="22"/>
  <c r="X100" i="22" s="1"/>
  <c r="O61" i="22"/>
  <c r="N93" i="22"/>
  <c r="N62" i="22"/>
  <c r="S101" i="22"/>
  <c r="X101" i="22" s="1"/>
  <c r="Y211" i="22"/>
  <c r="Y355" i="22"/>
  <c r="Y349" i="22"/>
  <c r="Y451" i="22"/>
  <c r="Y370" i="22"/>
  <c r="Y383" i="22"/>
  <c r="Y267" i="22"/>
  <c r="Y295" i="22"/>
  <c r="Y427" i="22"/>
  <c r="Y439" i="22"/>
  <c r="Y445" i="22"/>
  <c r="S95" i="22"/>
  <c r="X95" i="22" s="1"/>
  <c r="N12" i="22"/>
  <c r="O12" i="22"/>
  <c r="S102" i="22"/>
  <c r="X102" i="22" s="1"/>
  <c r="S122" i="22"/>
  <c r="X122" i="22" s="1"/>
  <c r="S99" i="22"/>
  <c r="X99" i="22" s="1"/>
  <c r="S103" i="22"/>
  <c r="X103" i="22" s="1"/>
  <c r="N120" i="22"/>
  <c r="H88" i="22"/>
  <c r="N98" i="22"/>
  <c r="S107" i="22"/>
  <c r="X107" i="22" s="1"/>
  <c r="S129" i="22"/>
  <c r="X129" i="22" s="1"/>
  <c r="S123" i="22"/>
  <c r="X123" i="22" s="1"/>
  <c r="Y233" i="22"/>
  <c r="Y261" i="22"/>
  <c r="Y307" i="22"/>
  <c r="Y337" i="22"/>
  <c r="Y405" i="22"/>
  <c r="Y347" i="22"/>
  <c r="Y252" i="22"/>
  <c r="Y350" i="22"/>
  <c r="Y247" i="22"/>
  <c r="Y376" i="22"/>
  <c r="Y250" i="22"/>
  <c r="Y453" i="22"/>
  <c r="Y214" i="22"/>
  <c r="Y303" i="22"/>
  <c r="Y399" i="22"/>
  <c r="Y447" i="22"/>
  <c r="Y326" i="22"/>
  <c r="Y429" i="22"/>
  <c r="Y223" i="22"/>
  <c r="S112" i="22"/>
  <c r="X112" i="22" s="1"/>
  <c r="Y394" i="22"/>
  <c r="Y414" i="22"/>
  <c r="Y432" i="22"/>
  <c r="Y342" i="22"/>
  <c r="Y284" i="22"/>
  <c r="S97" i="22"/>
  <c r="X97" i="22" s="1"/>
  <c r="Y281" i="22"/>
  <c r="Y231" i="22"/>
  <c r="Y278" i="22"/>
  <c r="Y390" i="22"/>
  <c r="Y408" i="22"/>
  <c r="Y428" i="22"/>
  <c r="Y448" i="22"/>
  <c r="Y365" i="22"/>
  <c r="Y361" i="22"/>
  <c r="Y268" i="22"/>
  <c r="Y226" i="22"/>
  <c r="Y343" i="22"/>
  <c r="S125" i="22"/>
  <c r="X125" i="22" s="1"/>
  <c r="Y323" i="22"/>
  <c r="Y369" i="22"/>
  <c r="Y310" i="22"/>
  <c r="Y276" i="22"/>
  <c r="Y243" i="22"/>
  <c r="Y229" i="22"/>
  <c r="Y366" i="22"/>
  <c r="S127" i="22"/>
  <c r="X127" i="22" s="1"/>
  <c r="Y225" i="22"/>
  <c r="Y297" i="22"/>
  <c r="Y320" i="22"/>
  <c r="Y265" i="22"/>
  <c r="Y230" i="22"/>
  <c r="Y279" i="22"/>
  <c r="Y380" i="22"/>
  <c r="Y400" i="22"/>
  <c r="Y418" i="22"/>
  <c r="Y438" i="22"/>
  <c r="Y375" i="22"/>
  <c r="S106" i="22"/>
  <c r="X106" i="22" s="1"/>
  <c r="Y228" i="22"/>
  <c r="Y331" i="22"/>
  <c r="Y274" i="22"/>
  <c r="Y249" i="22"/>
  <c r="Y259" i="22"/>
  <c r="S104" i="22"/>
  <c r="X104" i="22" s="1"/>
  <c r="Y321" i="22"/>
  <c r="S94" i="22"/>
  <c r="X94" i="22" s="1"/>
  <c r="O84" i="22"/>
  <c r="N83" i="22"/>
  <c r="S121" i="22"/>
  <c r="X121" i="22" s="1"/>
  <c r="N110" i="22"/>
  <c r="O29" i="22"/>
  <c r="N28" i="22"/>
  <c r="Y464" i="22"/>
  <c r="Y452" i="22"/>
  <c r="Y472" i="22"/>
  <c r="Y460" i="22"/>
  <c r="S150" i="22"/>
  <c r="X150" i="22" s="1"/>
  <c r="N139" i="22"/>
  <c r="Y238" i="22"/>
  <c r="Y387" i="22"/>
  <c r="Y435" i="22"/>
  <c r="Y471" i="22"/>
  <c r="Y459" i="22"/>
  <c r="S92" i="22"/>
  <c r="X92" i="22" s="1"/>
  <c r="O82" i="22"/>
  <c r="N81" i="22"/>
  <c r="S96" i="22"/>
  <c r="X96" i="22" s="1"/>
  <c r="O86" i="22"/>
  <c r="N85" i="22"/>
  <c r="S154" i="22"/>
  <c r="X154" i="22" s="1"/>
  <c r="N143" i="22"/>
  <c r="Y217" i="22"/>
  <c r="O4" i="22"/>
  <c r="O5" i="22"/>
  <c r="N4" i="22"/>
  <c r="S137" i="22"/>
  <c r="X137" i="22" s="1"/>
  <c r="N126" i="22"/>
  <c r="O28" i="22"/>
  <c r="O65" i="22"/>
  <c r="N64" i="22"/>
  <c r="Y286" i="22"/>
  <c r="O33" i="22"/>
  <c r="N32" i="22"/>
  <c r="S126" i="22"/>
  <c r="X126" i="22" s="1"/>
  <c r="Y292" i="22"/>
  <c r="S110" i="22"/>
  <c r="X110" i="22" s="1"/>
  <c r="Y216" i="22"/>
  <c r="Y319" i="22"/>
  <c r="Y357" i="22"/>
  <c r="S109" i="22"/>
  <c r="X109" i="22" s="1"/>
  <c r="Y240" i="22"/>
  <c r="Y266" i="22"/>
  <c r="Y384" i="22"/>
  <c r="Y404" i="22"/>
  <c r="Y424" i="22"/>
  <c r="Y442" i="22"/>
  <c r="N150" i="22"/>
  <c r="Y248" i="22"/>
  <c r="Y360" i="22"/>
  <c r="Y235" i="22"/>
  <c r="Y291" i="22"/>
  <c r="Y309" i="22"/>
  <c r="Y322" i="22"/>
  <c r="O85" i="22"/>
  <c r="S117" i="22"/>
  <c r="X117" i="22" s="1"/>
  <c r="N106" i="22"/>
  <c r="S139" i="22"/>
  <c r="X139" i="22" s="1"/>
  <c r="N128" i="22"/>
  <c r="Y237" i="22"/>
  <c r="Y255" i="22"/>
  <c r="Y378" i="22"/>
  <c r="Y396" i="22"/>
  <c r="Y416" i="22"/>
  <c r="Y436" i="22"/>
  <c r="Y466" i="22"/>
  <c r="Y454" i="22"/>
  <c r="O34" i="22"/>
  <c r="N33" i="22"/>
  <c r="S138" i="22"/>
  <c r="X138" i="22" s="1"/>
  <c r="S113" i="22"/>
  <c r="X113" i="22" s="1"/>
  <c r="N102" i="22"/>
  <c r="O60" i="22"/>
  <c r="N59" i="22"/>
  <c r="S108" i="22"/>
  <c r="X108" i="22" s="1"/>
  <c r="Y317" i="22"/>
  <c r="Y325" i="22"/>
  <c r="Y327" i="22"/>
  <c r="S128" i="22"/>
  <c r="X128" i="22" s="1"/>
  <c r="S91" i="22"/>
  <c r="X91" i="22" s="1"/>
  <c r="S111" i="22"/>
  <c r="X111" i="22" s="1"/>
  <c r="S149" i="22"/>
  <c r="X149" i="22" s="1"/>
  <c r="Y290" i="22"/>
  <c r="Y302" i="22"/>
  <c r="Y468" i="22"/>
  <c r="Y456" i="22"/>
  <c r="S90" i="22"/>
  <c r="X90" i="22" s="1"/>
  <c r="O80" i="22"/>
  <c r="N79" i="22"/>
  <c r="O79" i="22"/>
  <c r="N152" i="22"/>
  <c r="S114" i="22"/>
  <c r="X114" i="22" s="1"/>
  <c r="O37" i="22"/>
  <c r="N36" i="22"/>
  <c r="O9" i="22"/>
  <c r="N8" i="22"/>
  <c r="S143" i="22"/>
  <c r="X143" i="22" s="1"/>
  <c r="N132" i="22"/>
  <c r="O53" i="22"/>
  <c r="N52" i="22"/>
  <c r="S118" i="22"/>
  <c r="X118" i="22" s="1"/>
  <c r="N154" i="22"/>
  <c r="Y305" i="22"/>
  <c r="S152" i="22"/>
  <c r="X152" i="22" s="1"/>
  <c r="N141" i="22"/>
  <c r="S159" i="22"/>
  <c r="X159" i="22" s="1"/>
  <c r="N148" i="22"/>
  <c r="Y388" i="22"/>
  <c r="Y406" i="22"/>
  <c r="Y426" i="22"/>
  <c r="Y444" i="22"/>
  <c r="O30" i="22"/>
  <c r="N29" i="22"/>
  <c r="O38" i="22"/>
  <c r="N37" i="22"/>
  <c r="S146" i="22"/>
  <c r="X146" i="22" s="1"/>
  <c r="O56" i="22"/>
  <c r="N55" i="22"/>
  <c r="O64" i="22"/>
  <c r="N63" i="22"/>
  <c r="S144" i="22"/>
  <c r="X144" i="22" s="1"/>
  <c r="Y324" i="22"/>
  <c r="S116" i="22"/>
  <c r="X116" i="22" s="1"/>
  <c r="S93" i="22"/>
  <c r="X93" i="22" s="1"/>
  <c r="Y242" i="22"/>
  <c r="Y333" i="22"/>
  <c r="Y288" i="22"/>
  <c r="Y300" i="22"/>
  <c r="N156" i="22"/>
  <c r="Y340" i="22"/>
  <c r="Y352" i="22"/>
  <c r="Y382" i="22"/>
  <c r="O36" i="22"/>
  <c r="N35" i="22"/>
  <c r="S142" i="22"/>
  <c r="X142" i="22" s="1"/>
  <c r="Y346" i="22"/>
  <c r="O54" i="22"/>
  <c r="N53" i="22"/>
  <c r="O62" i="22"/>
  <c r="N61" i="22"/>
  <c r="Y283" i="22"/>
  <c r="Y289" i="22"/>
  <c r="Y301" i="22"/>
  <c r="S155" i="22"/>
  <c r="X155" i="22" s="1"/>
  <c r="Y220" i="22"/>
  <c r="S158" i="22"/>
  <c r="X158" i="22" s="1"/>
  <c r="N147" i="22"/>
  <c r="Y367" i="22"/>
  <c r="S132" i="22"/>
  <c r="X132" i="22" s="1"/>
  <c r="Y351" i="22"/>
  <c r="S140" i="22"/>
  <c r="X140" i="22" s="1"/>
  <c r="N129" i="22"/>
  <c r="Y377" i="22"/>
  <c r="Y273" i="22"/>
  <c r="Y254" i="22"/>
  <c r="S135" i="22"/>
  <c r="X135" i="22" s="1"/>
  <c r="O35" i="22"/>
  <c r="N34" i="22"/>
  <c r="S133" i="22"/>
  <c r="X133" i="22" s="1"/>
  <c r="Y306" i="22"/>
  <c r="S151" i="22"/>
  <c r="X151" i="22" s="1"/>
  <c r="S134" i="22"/>
  <c r="X134" i="22" s="1"/>
  <c r="S131" i="22"/>
  <c r="X131" i="22" s="1"/>
  <c r="O83" i="22"/>
  <c r="Y209" i="22"/>
  <c r="S119" i="22"/>
  <c r="X119" i="22" s="1"/>
  <c r="N108" i="22"/>
  <c r="Y213" i="22"/>
  <c r="N158" i="22"/>
  <c r="S98" i="22"/>
  <c r="X98" i="22" s="1"/>
  <c r="N87" i="22"/>
  <c r="Y241" i="22"/>
  <c r="A339" i="22"/>
  <c r="AB327" i="22"/>
  <c r="Y277" i="22"/>
  <c r="S89" i="22"/>
  <c r="X89" i="22" s="1"/>
  <c r="S115" i="22"/>
  <c r="X115" i="22" s="1"/>
  <c r="N104" i="22"/>
  <c r="S148" i="22"/>
  <c r="X148" i="22" s="1"/>
  <c r="N137" i="22"/>
  <c r="Y285" i="22"/>
  <c r="Y392" i="22"/>
  <c r="Y412" i="22"/>
  <c r="Y430" i="22"/>
  <c r="Y462" i="22"/>
  <c r="Y450" i="22"/>
  <c r="O32" i="22"/>
  <c r="N31" i="22"/>
  <c r="O40" i="22"/>
  <c r="N39" i="22"/>
  <c r="S141" i="22"/>
  <c r="X141" i="22" s="1"/>
  <c r="N130" i="22"/>
  <c r="O58" i="22"/>
  <c r="N57" i="22"/>
  <c r="S136" i="22"/>
  <c r="X136" i="22" s="1"/>
  <c r="Y244" i="22"/>
  <c r="Y224" i="22"/>
  <c r="Y345" i="22"/>
  <c r="Y381" i="22"/>
  <c r="S120" i="22"/>
  <c r="X120" i="22" s="1"/>
  <c r="Y353" i="22"/>
  <c r="Y253" i="22"/>
  <c r="Y373" i="22"/>
  <c r="Y257" i="22"/>
  <c r="Y386" i="22"/>
  <c r="S156" i="22"/>
  <c r="X156" i="22" s="1"/>
  <c r="N145" i="22"/>
  <c r="Y207" i="22"/>
  <c r="Y344" i="22"/>
  <c r="Y356" i="22"/>
  <c r="Y272" i="22"/>
  <c r="S145" i="22"/>
  <c r="X145" i="22" s="1"/>
  <c r="N134" i="22"/>
  <c r="Y411" i="22"/>
  <c r="O31" i="22"/>
  <c r="N30" i="22"/>
  <c r="O39" i="22"/>
  <c r="N38" i="22"/>
  <c r="S88" i="22"/>
  <c r="X88" i="22" s="1"/>
  <c r="O78" i="22"/>
  <c r="O77" i="22"/>
  <c r="N77" i="22"/>
  <c r="S153" i="22"/>
  <c r="X153" i="22" s="1"/>
  <c r="Y264" i="22"/>
  <c r="S147" i="22"/>
  <c r="X147" i="22" s="1"/>
  <c r="Y298" i="22"/>
  <c r="S105" i="22"/>
  <c r="X105" i="22" s="1"/>
  <c r="S130" i="22"/>
  <c r="X130" i="22" s="1"/>
  <c r="S157" i="22"/>
  <c r="X157" i="22" s="1"/>
  <c r="S27" i="22" l="1"/>
  <c r="X27" i="22" s="1"/>
  <c r="S26" i="22"/>
  <c r="X26" i="22" s="1"/>
  <c r="S52" i="22"/>
  <c r="X52" i="22" s="1"/>
  <c r="S23" i="22"/>
  <c r="X23" i="22" s="1"/>
  <c r="S51" i="22"/>
  <c r="X51" i="22" s="1"/>
  <c r="S28" i="22"/>
  <c r="X28" i="22" s="1"/>
  <c r="S24" i="22"/>
  <c r="X24" i="22" s="1"/>
  <c r="S25" i="22"/>
  <c r="X25" i="22" s="1"/>
  <c r="S53" i="22"/>
  <c r="X53" i="22" s="1"/>
  <c r="S76" i="22"/>
  <c r="X76" i="22" s="1"/>
  <c r="Y111" i="22"/>
  <c r="S50" i="22"/>
  <c r="X50" i="22" s="1"/>
  <c r="S20" i="22"/>
  <c r="X20" i="22" s="1"/>
  <c r="S22" i="22"/>
  <c r="X22" i="22" s="1"/>
  <c r="S21" i="22"/>
  <c r="X21" i="22" s="1"/>
  <c r="S73" i="22"/>
  <c r="X73" i="22" s="1"/>
  <c r="S69" i="22"/>
  <c r="X69" i="22" s="1"/>
  <c r="S29" i="22"/>
  <c r="X29" i="22" s="1"/>
  <c r="Y135" i="22"/>
  <c r="S49" i="22"/>
  <c r="X49" i="22" s="1"/>
  <c r="S70" i="22"/>
  <c r="X70" i="22" s="1"/>
  <c r="S81" i="22"/>
  <c r="X81" i="22" s="1"/>
  <c r="S35" i="22"/>
  <c r="X35" i="22" s="1"/>
  <c r="Y123" i="22"/>
  <c r="Y159" i="22"/>
  <c r="S65" i="22"/>
  <c r="X65" i="22" s="1"/>
  <c r="S47" i="22"/>
  <c r="X47" i="22" s="1"/>
  <c r="S31" i="22"/>
  <c r="X31" i="22" s="1"/>
  <c r="S33" i="22"/>
  <c r="X33" i="22" s="1"/>
  <c r="S67" i="22"/>
  <c r="X67" i="22" s="1"/>
  <c r="S64" i="22"/>
  <c r="S30" i="22"/>
  <c r="X30" i="22" s="1"/>
  <c r="S78" i="22"/>
  <c r="X78" i="22" s="1"/>
  <c r="S75" i="22"/>
  <c r="X75" i="22" s="1"/>
  <c r="S74" i="22"/>
  <c r="X74" i="22" s="1"/>
  <c r="S85" i="22"/>
  <c r="S87" i="22"/>
  <c r="S16" i="22"/>
  <c r="X16" i="22" s="1"/>
  <c r="S43" i="22"/>
  <c r="X43" i="22" s="1"/>
  <c r="S45" i="22"/>
  <c r="X45" i="22" s="1"/>
  <c r="S15" i="22"/>
  <c r="X15" i="22" s="1"/>
  <c r="Y27" i="22" s="1"/>
  <c r="Y147" i="22"/>
  <c r="S77" i="22"/>
  <c r="S57" i="22"/>
  <c r="X57" i="22" s="1"/>
  <c r="S82" i="22"/>
  <c r="S86" i="22"/>
  <c r="S59" i="22"/>
  <c r="X59" i="22" s="1"/>
  <c r="S48" i="22"/>
  <c r="X48" i="22" s="1"/>
  <c r="S84" i="22"/>
  <c r="S58" i="22"/>
  <c r="X58" i="22" s="1"/>
  <c r="S66" i="22"/>
  <c r="S83" i="22"/>
  <c r="S55" i="22"/>
  <c r="X55" i="22" s="1"/>
  <c r="S19" i="22"/>
  <c r="X19" i="22" s="1"/>
  <c r="S56" i="22"/>
  <c r="X56" i="22" s="1"/>
  <c r="S42" i="22"/>
  <c r="X42" i="22" s="1"/>
  <c r="S36" i="22"/>
  <c r="X36" i="22" s="1"/>
  <c r="S79" i="22"/>
  <c r="S54" i="22"/>
  <c r="X54" i="22" s="1"/>
  <c r="S38" i="22"/>
  <c r="X38" i="22" s="1"/>
  <c r="S44" i="22"/>
  <c r="X44" i="22" s="1"/>
  <c r="S40" i="22"/>
  <c r="X40" i="22" s="1"/>
  <c r="S63" i="22"/>
  <c r="S37" i="22"/>
  <c r="X37" i="22" s="1"/>
  <c r="S61" i="22"/>
  <c r="A351" i="22"/>
  <c r="A363" i="22" s="1"/>
  <c r="A375" i="22" s="1"/>
  <c r="A387" i="22" s="1"/>
  <c r="A399" i="22" s="1"/>
  <c r="A411" i="22" s="1"/>
  <c r="A423" i="22" s="1"/>
  <c r="A435" i="22" s="1"/>
  <c r="A447" i="22" s="1"/>
  <c r="A459" i="22" s="1"/>
  <c r="A471" i="22" s="1"/>
  <c r="A483" i="22" s="1"/>
  <c r="A495" i="22" s="1"/>
  <c r="A507" i="22" s="1"/>
  <c r="A519" i="22" s="1"/>
  <c r="A531" i="22" s="1"/>
  <c r="A543" i="22" s="1"/>
  <c r="A555" i="22" s="1"/>
  <c r="A567" i="22" s="1"/>
  <c r="A579" i="22" s="1"/>
  <c r="A591" i="22" s="1"/>
  <c r="A603" i="22" s="1"/>
  <c r="A615" i="22" s="1"/>
  <c r="A627" i="22" s="1"/>
  <c r="A639" i="22" s="1"/>
  <c r="A651" i="22" s="1"/>
  <c r="A663" i="22" s="1"/>
  <c r="A675" i="22" s="1"/>
  <c r="A687" i="22" s="1"/>
  <c r="A699" i="22" s="1"/>
  <c r="A711" i="22" s="1"/>
  <c r="A723" i="22" s="1"/>
  <c r="A735" i="22" s="1"/>
  <c r="AB339" i="22"/>
  <c r="S46" i="22"/>
  <c r="X46" i="22" s="1"/>
  <c r="S18" i="22"/>
  <c r="X18" i="22" s="1"/>
  <c r="S32" i="22"/>
  <c r="X32" i="22" s="1"/>
  <c r="S72" i="22"/>
  <c r="S60" i="22"/>
  <c r="S62" i="22"/>
  <c r="S34" i="22"/>
  <c r="X34" i="22" s="1"/>
  <c r="S80" i="22"/>
  <c r="S41" i="22"/>
  <c r="X41" i="22" s="1"/>
  <c r="S71" i="22"/>
  <c r="S39" i="22"/>
  <c r="X39" i="22" s="1"/>
  <c r="S17" i="22"/>
  <c r="X17" i="22" s="1"/>
  <c r="S68" i="22"/>
  <c r="Y39" i="22" l="1"/>
  <c r="Y65" i="22"/>
  <c r="T76" i="22"/>
  <c r="T75" i="22"/>
  <c r="T65" i="22"/>
  <c r="T81" i="22"/>
  <c r="T73" i="22"/>
  <c r="T64" i="22"/>
  <c r="Y67" i="22"/>
  <c r="Y70" i="22"/>
  <c r="X64" i="22"/>
  <c r="Y64" i="22" s="1"/>
  <c r="T79" i="22"/>
  <c r="X79" i="22"/>
  <c r="Y79" i="22" s="1"/>
  <c r="T60" i="22"/>
  <c r="X60" i="22"/>
  <c r="Y60" i="22" s="1"/>
  <c r="X63" i="22"/>
  <c r="Y63" i="22" s="1"/>
  <c r="T63" i="22"/>
  <c r="T69" i="22"/>
  <c r="Y81" i="22"/>
  <c r="X80" i="22"/>
  <c r="T80" i="22"/>
  <c r="T62" i="22"/>
  <c r="X62" i="22"/>
  <c r="Y62" i="22" s="1"/>
  <c r="T85" i="22"/>
  <c r="X85" i="22"/>
  <c r="Y85" i="22" s="1"/>
  <c r="T68" i="22"/>
  <c r="X68" i="22"/>
  <c r="Y68" i="22" s="1"/>
  <c r="X71" i="22"/>
  <c r="Y71" i="22" s="1"/>
  <c r="T71" i="22"/>
  <c r="T72" i="22"/>
  <c r="X72" i="22"/>
  <c r="Y51" i="22"/>
  <c r="T83" i="22"/>
  <c r="X83" i="22"/>
  <c r="X86" i="22"/>
  <c r="Y86" i="22" s="1"/>
  <c r="T86" i="22"/>
  <c r="Y69" i="22"/>
  <c r="X61" i="22"/>
  <c r="Y61" i="22" s="1"/>
  <c r="T61" i="22"/>
  <c r="T74" i="22"/>
  <c r="T70" i="22"/>
  <c r="T66" i="22"/>
  <c r="X66" i="22"/>
  <c r="Y66" i="22" s="1"/>
  <c r="X84" i="22"/>
  <c r="T84" i="22"/>
  <c r="X82" i="22"/>
  <c r="Y82" i="22" s="1"/>
  <c r="T82" i="22"/>
  <c r="T77" i="22"/>
  <c r="X77" i="22"/>
  <c r="Y77" i="22" s="1"/>
  <c r="T67" i="22"/>
  <c r="X87" i="22"/>
  <c r="T87" i="22"/>
  <c r="T78" i="22"/>
  <c r="Y76" i="22" l="1"/>
  <c r="Y84" i="22"/>
  <c r="Y78" i="22"/>
  <c r="Y83" i="22"/>
  <c r="Y73" i="22"/>
  <c r="Y74" i="22"/>
  <c r="Y75" i="22"/>
  <c r="Y87" i="22"/>
  <c r="Y99" i="22"/>
  <c r="Y72" i="22"/>
  <c r="Y80" i="22"/>
  <c r="G163" i="22" l="1"/>
  <c r="G167" i="22"/>
  <c r="F182" i="22"/>
  <c r="G171" i="22"/>
  <c r="I167" i="22" l="1"/>
  <c r="M167" i="22" s="1"/>
  <c r="I171" i="22"/>
  <c r="M171" i="22" s="1"/>
  <c r="AC182" i="22"/>
  <c r="AD182" i="22" s="1"/>
  <c r="I163" i="22"/>
  <c r="M163" i="22" s="1"/>
  <c r="N163" i="22" l="1"/>
  <c r="S182" i="22"/>
  <c r="X182" i="22" s="1"/>
  <c r="N171" i="22"/>
  <c r="N167" i="22"/>
  <c r="G169" i="22" l="1"/>
  <c r="G165" i="22"/>
  <c r="G168" i="22"/>
  <c r="I169" i="22" l="1"/>
  <c r="M169" i="22" s="1"/>
  <c r="I168" i="22"/>
  <c r="M168" i="22" s="1"/>
  <c r="I165" i="22"/>
  <c r="M165" i="22" s="1"/>
  <c r="N169" i="22" l="1"/>
  <c r="N165" i="22"/>
  <c r="N168" i="22"/>
  <c r="G162" i="22" l="1"/>
  <c r="F173" i="22" l="1"/>
  <c r="G170" i="22"/>
  <c r="F181" i="22"/>
  <c r="F179" i="22"/>
  <c r="F178" i="22"/>
  <c r="F180" i="22"/>
  <c r="G160" i="22"/>
  <c r="F163" i="22"/>
  <c r="F162" i="22"/>
  <c r="F167" i="22"/>
  <c r="F164" i="22"/>
  <c r="F166" i="22"/>
  <c r="F169" i="22"/>
  <c r="F168" i="22"/>
  <c r="F170" i="22"/>
  <c r="F161" i="22"/>
  <c r="F165" i="22"/>
  <c r="F171" i="22"/>
  <c r="G166" i="22"/>
  <c r="F177" i="22"/>
  <c r="F176" i="22"/>
  <c r="G164" i="22"/>
  <c r="F175" i="22"/>
  <c r="F174" i="22"/>
  <c r="G161" i="22"/>
  <c r="F172" i="22"/>
  <c r="I162" i="22"/>
  <c r="M162" i="22" s="1"/>
  <c r="I166" i="22" l="1"/>
  <c r="M166" i="22" s="1"/>
  <c r="AC177" i="22"/>
  <c r="AD177" i="22" s="1"/>
  <c r="AC176" i="22"/>
  <c r="AD176" i="22" s="1"/>
  <c r="I160" i="22"/>
  <c r="M160" i="22" s="1"/>
  <c r="AC168" i="22"/>
  <c r="AD168" i="22" s="1"/>
  <c r="AC165" i="22"/>
  <c r="AD165" i="22" s="1"/>
  <c r="AC162" i="22"/>
  <c r="AD162" i="22" s="1"/>
  <c r="AC170" i="22"/>
  <c r="AD170" i="22" s="1"/>
  <c r="AC166" i="22"/>
  <c r="AD166" i="22" s="1"/>
  <c r="AC164" i="22"/>
  <c r="AD164" i="22" s="1"/>
  <c r="AC167" i="22"/>
  <c r="AD167" i="22" s="1"/>
  <c r="AC163" i="22"/>
  <c r="AD163" i="22" s="1"/>
  <c r="AC171" i="22"/>
  <c r="AD171" i="22" s="1"/>
  <c r="AC169" i="22"/>
  <c r="AD169" i="22" s="1"/>
  <c r="AC161" i="22"/>
  <c r="AD161" i="22" s="1"/>
  <c r="AC172" i="22"/>
  <c r="AD172" i="22" s="1"/>
  <c r="I161" i="22"/>
  <c r="M161" i="22" s="1"/>
  <c r="I170" i="22"/>
  <c r="M170" i="22" s="1"/>
  <c r="AC181" i="22"/>
  <c r="AD181" i="22" s="1"/>
  <c r="AC179" i="22"/>
  <c r="AD179" i="22" s="1"/>
  <c r="AC180" i="22"/>
  <c r="AD180" i="22" s="1"/>
  <c r="AC178" i="22"/>
  <c r="AD178" i="22" s="1"/>
  <c r="N162" i="22"/>
  <c r="I164" i="22"/>
  <c r="M164" i="22" s="1"/>
  <c r="AC175" i="22"/>
  <c r="AD175" i="22" s="1"/>
  <c r="AC174" i="22"/>
  <c r="AD174" i="22" s="1"/>
  <c r="AC173" i="22"/>
  <c r="AD173" i="22" s="1"/>
  <c r="S173" i="22" l="1"/>
  <c r="X173" i="22" s="1"/>
  <c r="N160" i="22"/>
  <c r="S162" i="22"/>
  <c r="X162" i="22" s="1"/>
  <c r="S161" i="22"/>
  <c r="X161" i="22" s="1"/>
  <c r="S160" i="22"/>
  <c r="X160" i="22" s="1"/>
  <c r="S168" i="22"/>
  <c r="X168" i="22" s="1"/>
  <c r="S165" i="22"/>
  <c r="X165" i="22" s="1"/>
  <c r="S166" i="22"/>
  <c r="X166" i="22" s="1"/>
  <c r="S170" i="22"/>
  <c r="X170" i="22" s="1"/>
  <c r="S171" i="22"/>
  <c r="X171" i="22" s="1"/>
  <c r="S163" i="22"/>
  <c r="X163" i="22" s="1"/>
  <c r="S167" i="22"/>
  <c r="X167" i="22" s="1"/>
  <c r="S164" i="22"/>
  <c r="X164" i="22" s="1"/>
  <c r="S169" i="22"/>
  <c r="X169" i="22" s="1"/>
  <c r="N164" i="22"/>
  <c r="S175" i="22"/>
  <c r="X175" i="22" s="1"/>
  <c r="S174" i="22"/>
  <c r="X174" i="22" s="1"/>
  <c r="N161" i="22"/>
  <c r="S172" i="22"/>
  <c r="X172" i="22" s="1"/>
  <c r="N166" i="22"/>
  <c r="S177" i="22"/>
  <c r="X177" i="22" s="1"/>
  <c r="S176" i="22"/>
  <c r="X176" i="22" s="1"/>
  <c r="N170" i="22"/>
  <c r="S181" i="22"/>
  <c r="X181" i="22" s="1"/>
  <c r="S180" i="22"/>
  <c r="X180" i="22" s="1"/>
  <c r="S179" i="22"/>
  <c r="X179" i="22" s="1"/>
  <c r="S178" i="22"/>
  <c r="X178" i="22" s="1"/>
  <c r="Y183" i="22" l="1"/>
  <c r="Y171" i="22"/>
  <c r="Y41" i="20" l="1"/>
  <c r="O38" i="20"/>
  <c r="P38" i="20" s="1"/>
  <c r="R27" i="20"/>
  <c r="M27" i="20"/>
  <c r="O27" i="20" s="1"/>
  <c r="L27" i="20"/>
  <c r="R26" i="20"/>
  <c r="M26" i="20"/>
  <c r="L26" i="20"/>
  <c r="R25" i="20"/>
  <c r="O25" i="20"/>
  <c r="Q25" i="20" s="1"/>
  <c r="M25" i="20"/>
  <c r="L25" i="20"/>
  <c r="C25" i="20"/>
  <c r="R24" i="20"/>
  <c r="M24" i="20"/>
  <c r="L24" i="20"/>
  <c r="R23" i="20"/>
  <c r="N23" i="20"/>
  <c r="M23" i="20"/>
  <c r="O23" i="20" s="1"/>
  <c r="P23" i="20" s="1"/>
  <c r="L23" i="20"/>
  <c r="R22" i="20"/>
  <c r="Q22" i="20"/>
  <c r="O22" i="20"/>
  <c r="P22" i="20" s="1"/>
  <c r="M22" i="20"/>
  <c r="N22" i="20" s="1"/>
  <c r="L22" i="20"/>
  <c r="R21" i="20"/>
  <c r="O21" i="20"/>
  <c r="Q21" i="20" s="1"/>
  <c r="M21" i="20"/>
  <c r="L21" i="20"/>
  <c r="C21" i="20"/>
  <c r="R20" i="20"/>
  <c r="Q20" i="20"/>
  <c r="O20" i="20"/>
  <c r="P20" i="20" s="1"/>
  <c r="M20" i="20"/>
  <c r="N20" i="20" s="1"/>
  <c r="L20" i="20"/>
  <c r="R19" i="20"/>
  <c r="M19" i="20"/>
  <c r="O19" i="20" s="1"/>
  <c r="L19" i="20"/>
  <c r="S18" i="20"/>
  <c r="R18" i="20"/>
  <c r="O18" i="20"/>
  <c r="M18" i="20"/>
  <c r="N18" i="20" s="1"/>
  <c r="L18" i="20"/>
  <c r="R17" i="20"/>
  <c r="O17" i="20"/>
  <c r="Q17" i="20" s="1"/>
  <c r="M17" i="20"/>
  <c r="L17" i="20"/>
  <c r="C17" i="20"/>
  <c r="R16" i="20"/>
  <c r="N16" i="20"/>
  <c r="M16" i="20"/>
  <c r="N17" i="20" s="1"/>
  <c r="L16" i="20"/>
  <c r="R15" i="20"/>
  <c r="Q15" i="20"/>
  <c r="M15" i="20"/>
  <c r="O15" i="20" s="1"/>
  <c r="L15" i="20"/>
  <c r="R14" i="20"/>
  <c r="O14" i="20"/>
  <c r="M14" i="20"/>
  <c r="N14" i="20" s="1"/>
  <c r="L14" i="20"/>
  <c r="R13" i="20"/>
  <c r="O13" i="20"/>
  <c r="Q13" i="20" s="1"/>
  <c r="M13" i="20"/>
  <c r="L13" i="20"/>
  <c r="C13" i="20"/>
  <c r="R12" i="20"/>
  <c r="N12" i="20"/>
  <c r="M12" i="20"/>
  <c r="N13" i="20" s="1"/>
  <c r="L12" i="20"/>
  <c r="T11" i="20"/>
  <c r="S11" i="20"/>
  <c r="R11" i="20"/>
  <c r="Q11" i="20"/>
  <c r="P11" i="20"/>
  <c r="N11" i="20"/>
  <c r="L11" i="20"/>
  <c r="C11" i="20"/>
  <c r="T10" i="20"/>
  <c r="S10" i="20"/>
  <c r="R10" i="20"/>
  <c r="Q10" i="20"/>
  <c r="P10" i="20"/>
  <c r="N10" i="20"/>
  <c r="L10" i="20"/>
  <c r="C10" i="20"/>
  <c r="AG9" i="20"/>
  <c r="AB9" i="20"/>
  <c r="Y9" i="20"/>
  <c r="S9" i="20"/>
  <c r="T9" i="20" s="1"/>
  <c r="G9" i="20" s="1"/>
  <c r="R9" i="20"/>
  <c r="Q9" i="20"/>
  <c r="Z9" i="20" s="1"/>
  <c r="AA9" i="20" s="1"/>
  <c r="P9" i="20"/>
  <c r="L9" i="20"/>
  <c r="F9" i="20"/>
  <c r="C9" i="20"/>
  <c r="AG8" i="20"/>
  <c r="AE8" i="20"/>
  <c r="Z8" i="20"/>
  <c r="AA8" i="20" s="1"/>
  <c r="Y8" i="20"/>
  <c r="T8" i="20"/>
  <c r="Q8" i="20"/>
  <c r="AB8" i="20" s="1"/>
  <c r="AC8" i="20" s="1"/>
  <c r="M8" i="20"/>
  <c r="N9" i="20" s="1"/>
  <c r="F8" i="20"/>
  <c r="G8" i="20" s="1"/>
  <c r="E8" i="20"/>
  <c r="D8" i="20"/>
  <c r="C8" i="20"/>
  <c r="B231" i="19"/>
  <c r="B197" i="19"/>
  <c r="B209" i="19" s="1"/>
  <c r="B221" i="19" s="1"/>
  <c r="B233" i="19" s="1"/>
  <c r="A172" i="19"/>
  <c r="A184" i="19" s="1"/>
  <c r="A196" i="19" s="1"/>
  <c r="A208" i="19" s="1"/>
  <c r="A220" i="19" s="1"/>
  <c r="A232" i="19" s="1"/>
  <c r="A164" i="19"/>
  <c r="A176" i="19" s="1"/>
  <c r="A188" i="19" s="1"/>
  <c r="A200" i="19" s="1"/>
  <c r="A212" i="19" s="1"/>
  <c r="A224" i="19" s="1"/>
  <c r="A161" i="19"/>
  <c r="A173" i="19" s="1"/>
  <c r="A185" i="19" s="1"/>
  <c r="A197" i="19" s="1"/>
  <c r="A209" i="19" s="1"/>
  <c r="A221" i="19" s="1"/>
  <c r="A233" i="19" s="1"/>
  <c r="B149" i="19"/>
  <c r="B161" i="19" s="1"/>
  <c r="B173" i="19" s="1"/>
  <c r="B185" i="19" s="1"/>
  <c r="C148" i="19"/>
  <c r="A146" i="19"/>
  <c r="A158" i="19" s="1"/>
  <c r="A170" i="19" s="1"/>
  <c r="A182" i="19" s="1"/>
  <c r="A194" i="19" s="1"/>
  <c r="A206" i="19" s="1"/>
  <c r="A218" i="19" s="1"/>
  <c r="A230" i="19" s="1"/>
  <c r="B145" i="19"/>
  <c r="B157" i="19" s="1"/>
  <c r="B169" i="19" s="1"/>
  <c r="B181" i="19" s="1"/>
  <c r="B193" i="19" s="1"/>
  <c r="B205" i="19" s="1"/>
  <c r="B217" i="19" s="1"/>
  <c r="B229" i="19" s="1"/>
  <c r="C144" i="19"/>
  <c r="B144" i="19"/>
  <c r="B156" i="19" s="1"/>
  <c r="B168" i="19" s="1"/>
  <c r="B180" i="19" s="1"/>
  <c r="B192" i="19" s="1"/>
  <c r="B204" i="19" s="1"/>
  <c r="B216" i="19" s="1"/>
  <c r="B228" i="19" s="1"/>
  <c r="A142" i="19"/>
  <c r="A154" i="19" s="1"/>
  <c r="A166" i="19" s="1"/>
  <c r="A178" i="19" s="1"/>
  <c r="A190" i="19" s="1"/>
  <c r="A202" i="19" s="1"/>
  <c r="A214" i="19" s="1"/>
  <c r="A226" i="19" s="1"/>
  <c r="B141" i="19"/>
  <c r="B153" i="19" s="1"/>
  <c r="B165" i="19" s="1"/>
  <c r="B177" i="19" s="1"/>
  <c r="B189" i="19" s="1"/>
  <c r="B201" i="19" s="1"/>
  <c r="B213" i="19" s="1"/>
  <c r="B225" i="19" s="1"/>
  <c r="A141" i="19"/>
  <c r="A153" i="19" s="1"/>
  <c r="A165" i="19" s="1"/>
  <c r="A177" i="19" s="1"/>
  <c r="A189" i="19" s="1"/>
  <c r="A201" i="19" s="1"/>
  <c r="A213" i="19" s="1"/>
  <c r="A225" i="19" s="1"/>
  <c r="C140" i="19"/>
  <c r="A138" i="19"/>
  <c r="A150" i="19" s="1"/>
  <c r="A162" i="19" s="1"/>
  <c r="A174" i="19" s="1"/>
  <c r="A186" i="19" s="1"/>
  <c r="A198" i="19" s="1"/>
  <c r="A210" i="19" s="1"/>
  <c r="A222" i="19" s="1"/>
  <c r="C137" i="19"/>
  <c r="B137" i="19"/>
  <c r="C136" i="19"/>
  <c r="A134" i="19"/>
  <c r="B133" i="19"/>
  <c r="C132" i="19"/>
  <c r="A131" i="19"/>
  <c r="A143" i="19" s="1"/>
  <c r="A155" i="19" s="1"/>
  <c r="A167" i="19" s="1"/>
  <c r="A179" i="19" s="1"/>
  <c r="A191" i="19" s="1"/>
  <c r="A203" i="19" s="1"/>
  <c r="A215" i="19" s="1"/>
  <c r="A227" i="19" s="1"/>
  <c r="A130" i="19"/>
  <c r="C129" i="19"/>
  <c r="B129" i="19"/>
  <c r="C128" i="19"/>
  <c r="A126" i="19"/>
  <c r="C125" i="19"/>
  <c r="D125" i="19" s="1"/>
  <c r="B125" i="19"/>
  <c r="A125" i="19"/>
  <c r="A137" i="19" s="1"/>
  <c r="A149" i="19" s="1"/>
  <c r="C124" i="19"/>
  <c r="B124" i="19"/>
  <c r="B136" i="19" s="1"/>
  <c r="B148" i="19" s="1"/>
  <c r="B160" i="19" s="1"/>
  <c r="B172" i="19" s="1"/>
  <c r="B184" i="19" s="1"/>
  <c r="B196" i="19" s="1"/>
  <c r="B208" i="19" s="1"/>
  <c r="B220" i="19" s="1"/>
  <c r="B232" i="19" s="1"/>
  <c r="A124" i="19"/>
  <c r="A136" i="19" s="1"/>
  <c r="A148" i="19" s="1"/>
  <c r="A160" i="19" s="1"/>
  <c r="C123" i="19"/>
  <c r="C135" i="19" s="1"/>
  <c r="C147" i="19" s="1"/>
  <c r="C159" i="19" s="1"/>
  <c r="B123" i="19"/>
  <c r="B135" i="19" s="1"/>
  <c r="B147" i="19" s="1"/>
  <c r="B159" i="19" s="1"/>
  <c r="B171" i="19" s="1"/>
  <c r="B183" i="19" s="1"/>
  <c r="B195" i="19" s="1"/>
  <c r="B207" i="19" s="1"/>
  <c r="B219" i="19" s="1"/>
  <c r="A123" i="19"/>
  <c r="A135" i="19" s="1"/>
  <c r="A147" i="19" s="1"/>
  <c r="A159" i="19" s="1"/>
  <c r="A171" i="19" s="1"/>
  <c r="A183" i="19" s="1"/>
  <c r="A195" i="19" s="1"/>
  <c r="A207" i="19" s="1"/>
  <c r="A219" i="19" s="1"/>
  <c r="A231" i="19" s="1"/>
  <c r="C122" i="19"/>
  <c r="B122" i="19"/>
  <c r="B134" i="19" s="1"/>
  <c r="B146" i="19" s="1"/>
  <c r="B158" i="19" s="1"/>
  <c r="B170" i="19" s="1"/>
  <c r="B182" i="19" s="1"/>
  <c r="B194" i="19" s="1"/>
  <c r="B206" i="19" s="1"/>
  <c r="B218" i="19" s="1"/>
  <c r="B230" i="19" s="1"/>
  <c r="A122" i="19"/>
  <c r="C121" i="19"/>
  <c r="C133" i="19" s="1"/>
  <c r="B121" i="19"/>
  <c r="A121" i="19"/>
  <c r="A133" i="19" s="1"/>
  <c r="A145" i="19" s="1"/>
  <c r="A157" i="19" s="1"/>
  <c r="A169" i="19" s="1"/>
  <c r="A181" i="19" s="1"/>
  <c r="A193" i="19" s="1"/>
  <c r="A205" i="19" s="1"/>
  <c r="A217" i="19" s="1"/>
  <c r="A229" i="19" s="1"/>
  <c r="C120" i="19"/>
  <c r="B120" i="19"/>
  <c r="B132" i="19" s="1"/>
  <c r="A120" i="19"/>
  <c r="A132" i="19" s="1"/>
  <c r="A144" i="19" s="1"/>
  <c r="A156" i="19" s="1"/>
  <c r="A168" i="19" s="1"/>
  <c r="A180" i="19" s="1"/>
  <c r="A192" i="19" s="1"/>
  <c r="A204" i="19" s="1"/>
  <c r="A216" i="19" s="1"/>
  <c r="A228" i="19" s="1"/>
  <c r="C119" i="19"/>
  <c r="C131" i="19" s="1"/>
  <c r="B119" i="19"/>
  <c r="B131" i="19" s="1"/>
  <c r="B143" i="19" s="1"/>
  <c r="B155" i="19" s="1"/>
  <c r="B167" i="19" s="1"/>
  <c r="B179" i="19" s="1"/>
  <c r="B191" i="19" s="1"/>
  <c r="B203" i="19" s="1"/>
  <c r="B215" i="19" s="1"/>
  <c r="B227" i="19" s="1"/>
  <c r="A119" i="19"/>
  <c r="C118" i="19"/>
  <c r="B118" i="19"/>
  <c r="B130" i="19" s="1"/>
  <c r="B142" i="19" s="1"/>
  <c r="B154" i="19" s="1"/>
  <c r="B166" i="19" s="1"/>
  <c r="B178" i="19" s="1"/>
  <c r="B190" i="19" s="1"/>
  <c r="B202" i="19" s="1"/>
  <c r="B214" i="19" s="1"/>
  <c r="B226" i="19" s="1"/>
  <c r="A118" i="19"/>
  <c r="C117" i="19"/>
  <c r="D117" i="19" s="1"/>
  <c r="B117" i="19"/>
  <c r="A117" i="19"/>
  <c r="A129" i="19" s="1"/>
  <c r="C116" i="19"/>
  <c r="B116" i="19"/>
  <c r="B128" i="19" s="1"/>
  <c r="B140" i="19" s="1"/>
  <c r="B152" i="19" s="1"/>
  <c r="B164" i="19" s="1"/>
  <c r="B176" i="19" s="1"/>
  <c r="B188" i="19" s="1"/>
  <c r="B200" i="19" s="1"/>
  <c r="B212" i="19" s="1"/>
  <c r="B224" i="19" s="1"/>
  <c r="A116" i="19"/>
  <c r="A128" i="19" s="1"/>
  <c r="A140" i="19" s="1"/>
  <c r="A152" i="19" s="1"/>
  <c r="C115" i="19"/>
  <c r="C127" i="19" s="1"/>
  <c r="C139" i="19" s="1"/>
  <c r="B115" i="19"/>
  <c r="B127" i="19" s="1"/>
  <c r="B139" i="19" s="1"/>
  <c r="B151" i="19" s="1"/>
  <c r="B163" i="19" s="1"/>
  <c r="B175" i="19" s="1"/>
  <c r="B187" i="19" s="1"/>
  <c r="B199" i="19" s="1"/>
  <c r="B211" i="19" s="1"/>
  <c r="B223" i="19" s="1"/>
  <c r="A115" i="19"/>
  <c r="A127" i="19" s="1"/>
  <c r="A139" i="19" s="1"/>
  <c r="A151" i="19" s="1"/>
  <c r="A163" i="19" s="1"/>
  <c r="A175" i="19" s="1"/>
  <c r="A187" i="19" s="1"/>
  <c r="A199" i="19" s="1"/>
  <c r="A211" i="19" s="1"/>
  <c r="A223" i="19" s="1"/>
  <c r="C114" i="19"/>
  <c r="B114" i="19"/>
  <c r="B126" i="19" s="1"/>
  <c r="B138" i="19" s="1"/>
  <c r="B150" i="19" s="1"/>
  <c r="B162" i="19" s="1"/>
  <c r="B174" i="19" s="1"/>
  <c r="B186" i="19" s="1"/>
  <c r="B198" i="19" s="1"/>
  <c r="B210" i="19" s="1"/>
  <c r="B222" i="19" s="1"/>
  <c r="A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9" i="19"/>
  <c r="D28" i="19"/>
  <c r="B28" i="19"/>
  <c r="D27" i="19"/>
  <c r="B27" i="19"/>
  <c r="D26" i="19"/>
  <c r="B26" i="19"/>
  <c r="D25" i="19"/>
  <c r="B25" i="19"/>
  <c r="D24" i="19"/>
  <c r="B24" i="19"/>
  <c r="D23" i="19"/>
  <c r="B23" i="19"/>
  <c r="D22" i="19"/>
  <c r="B22" i="19"/>
  <c r="D21" i="19"/>
  <c r="B21" i="19"/>
  <c r="D20" i="19"/>
  <c r="B20" i="19"/>
  <c r="D19" i="19"/>
  <c r="B19" i="19"/>
  <c r="A19" i="19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D18" i="19"/>
  <c r="B18" i="19"/>
  <c r="E17" i="19"/>
  <c r="D17" i="19"/>
  <c r="D16" i="19"/>
  <c r="D15" i="19"/>
  <c r="D14" i="19"/>
  <c r="D13" i="19"/>
  <c r="D12" i="19"/>
  <c r="D11" i="19"/>
  <c r="D10" i="19"/>
  <c r="D9" i="19"/>
  <c r="D8" i="19"/>
  <c r="D7" i="19"/>
  <c r="D6" i="19"/>
  <c r="F7" i="19" l="1"/>
  <c r="C145" i="19"/>
  <c r="C151" i="19"/>
  <c r="C171" i="19"/>
  <c r="C149" i="19"/>
  <c r="C152" i="19"/>
  <c r="D121" i="19"/>
  <c r="C156" i="19"/>
  <c r="F6" i="19"/>
  <c r="F8" i="19"/>
  <c r="F10" i="19"/>
  <c r="F12" i="19"/>
  <c r="F14" i="19"/>
  <c r="F16" i="19"/>
  <c r="C143" i="19"/>
  <c r="C160" i="19"/>
  <c r="N26" i="20"/>
  <c r="N27" i="20"/>
  <c r="O26" i="20"/>
  <c r="F11" i="19"/>
  <c r="F15" i="19"/>
  <c r="C126" i="19"/>
  <c r="D128" i="19" s="1"/>
  <c r="D114" i="19"/>
  <c r="D116" i="19"/>
  <c r="C130" i="19"/>
  <c r="D118" i="19"/>
  <c r="D120" i="19"/>
  <c r="C134" i="19"/>
  <c r="D122" i="19"/>
  <c r="D124" i="19"/>
  <c r="Z10" i="20"/>
  <c r="AA10" i="20" s="1"/>
  <c r="X11" i="20"/>
  <c r="Y10" i="20"/>
  <c r="AB10" i="20"/>
  <c r="C141" i="19"/>
  <c r="F9" i="19"/>
  <c r="F13" i="19"/>
  <c r="F17" i="19"/>
  <c r="AE9" i="20"/>
  <c r="D9" i="20"/>
  <c r="E9" i="20" s="1"/>
  <c r="AC9" i="20"/>
  <c r="P15" i="20"/>
  <c r="Q14" i="20"/>
  <c r="C14" i="20"/>
  <c r="P14" i="20"/>
  <c r="S14" i="20"/>
  <c r="T18" i="20"/>
  <c r="D115" i="19"/>
  <c r="D119" i="19"/>
  <c r="D123" i="19"/>
  <c r="N24" i="20"/>
  <c r="N25" i="20"/>
  <c r="O24" i="20"/>
  <c r="P19" i="20"/>
  <c r="Q18" i="20"/>
  <c r="C18" i="20"/>
  <c r="P18" i="20"/>
  <c r="O12" i="20"/>
  <c r="S15" i="20"/>
  <c r="C15" i="20"/>
  <c r="O16" i="20"/>
  <c r="S19" i="20"/>
  <c r="C19" i="20"/>
  <c r="Q19" i="20"/>
  <c r="N21" i="20"/>
  <c r="S27" i="20"/>
  <c r="C27" i="20"/>
  <c r="Q27" i="20"/>
  <c r="S13" i="20"/>
  <c r="N15" i="20"/>
  <c r="S17" i="20"/>
  <c r="N19" i="20"/>
  <c r="C20" i="20"/>
  <c r="S20" i="20"/>
  <c r="C22" i="20"/>
  <c r="S22" i="20"/>
  <c r="O39" i="20"/>
  <c r="P39" i="20" s="1"/>
  <c r="P40" i="20" s="1"/>
  <c r="Q40" i="20" s="1"/>
  <c r="P21" i="20"/>
  <c r="S23" i="20"/>
  <c r="C23" i="20"/>
  <c r="Q23" i="20"/>
  <c r="S21" i="20"/>
  <c r="S25" i="20"/>
  <c r="T21" i="20" l="1"/>
  <c r="P16" i="20"/>
  <c r="Q16" i="20"/>
  <c r="C16" i="20"/>
  <c r="S16" i="20"/>
  <c r="P17" i="20"/>
  <c r="T25" i="20"/>
  <c r="T23" i="20"/>
  <c r="T22" i="20"/>
  <c r="P24" i="20"/>
  <c r="Q24" i="20"/>
  <c r="P25" i="20"/>
  <c r="S24" i="20"/>
  <c r="C24" i="20"/>
  <c r="T14" i="20"/>
  <c r="C153" i="19"/>
  <c r="P26" i="20"/>
  <c r="P27" i="20"/>
  <c r="Q26" i="20"/>
  <c r="S26" i="20"/>
  <c r="C26" i="20"/>
  <c r="C172" i="19"/>
  <c r="D127" i="19"/>
  <c r="C168" i="19"/>
  <c r="C164" i="19"/>
  <c r="C163" i="19"/>
  <c r="T17" i="20"/>
  <c r="T15" i="20"/>
  <c r="C138" i="19"/>
  <c r="D141" i="19" s="1"/>
  <c r="D126" i="19"/>
  <c r="D132" i="19"/>
  <c r="D137" i="19"/>
  <c r="T20" i="20"/>
  <c r="T27" i="20"/>
  <c r="T19" i="20"/>
  <c r="P12" i="20"/>
  <c r="Q12" i="20"/>
  <c r="C12" i="20"/>
  <c r="P13" i="20"/>
  <c r="S12" i="20"/>
  <c r="C142" i="19"/>
  <c r="D130" i="19"/>
  <c r="C155" i="19"/>
  <c r="C161" i="19"/>
  <c r="C183" i="19"/>
  <c r="D133" i="19"/>
  <c r="AE10" i="20"/>
  <c r="AC10" i="20"/>
  <c r="D10" i="20"/>
  <c r="E10" i="20" s="1"/>
  <c r="P42" i="20" s="1"/>
  <c r="Q42" i="20" s="1"/>
  <c r="AF10" i="20"/>
  <c r="T13" i="20"/>
  <c r="D129" i="19"/>
  <c r="Z11" i="20"/>
  <c r="AA11" i="20" s="1"/>
  <c r="Y11" i="20"/>
  <c r="X12" i="20"/>
  <c r="AB11" i="20"/>
  <c r="C146" i="19"/>
  <c r="D143" i="19" s="1"/>
  <c r="D134" i="19"/>
  <c r="D135" i="19"/>
  <c r="D136" i="19"/>
  <c r="D131" i="19"/>
  <c r="C157" i="19"/>
  <c r="C195" i="19" l="1"/>
  <c r="D145" i="19"/>
  <c r="X13" i="20"/>
  <c r="Z12" i="20"/>
  <c r="AA12" i="20" s="1"/>
  <c r="Y12" i="20"/>
  <c r="AB12" i="20"/>
  <c r="AG10" i="20"/>
  <c r="F10" i="20"/>
  <c r="D149" i="19"/>
  <c r="C167" i="19"/>
  <c r="T12" i="20"/>
  <c r="C175" i="19"/>
  <c r="C180" i="19"/>
  <c r="AE11" i="20"/>
  <c r="AC11" i="20"/>
  <c r="D11" i="20"/>
  <c r="E11" i="20" s="1"/>
  <c r="P43" i="20" s="1"/>
  <c r="Q43" i="20" s="1"/>
  <c r="Q44" i="20" s="1"/>
  <c r="R44" i="20" s="1"/>
  <c r="AF11" i="20"/>
  <c r="C184" i="19"/>
  <c r="C169" i="19"/>
  <c r="C173" i="19"/>
  <c r="T26" i="20"/>
  <c r="C158" i="19"/>
  <c r="D146" i="19"/>
  <c r="C154" i="19"/>
  <c r="D155" i="19" s="1"/>
  <c r="D142" i="19"/>
  <c r="C150" i="19"/>
  <c r="D157" i="19" s="1"/>
  <c r="D138" i="19"/>
  <c r="D140" i="19"/>
  <c r="D144" i="19"/>
  <c r="D148" i="19"/>
  <c r="D139" i="19"/>
  <c r="D147" i="19"/>
  <c r="C176" i="19"/>
  <c r="C165" i="19"/>
  <c r="T24" i="20"/>
  <c r="T16" i="20"/>
  <c r="C188" i="19" l="1"/>
  <c r="AG11" i="20"/>
  <c r="F11" i="20"/>
  <c r="C187" i="19"/>
  <c r="C179" i="19"/>
  <c r="C170" i="19"/>
  <c r="D158" i="19"/>
  <c r="C185" i="19"/>
  <c r="C192" i="19"/>
  <c r="C177" i="19"/>
  <c r="D150" i="19"/>
  <c r="C162" i="19"/>
  <c r="D159" i="19"/>
  <c r="D160" i="19"/>
  <c r="D152" i="19"/>
  <c r="D151" i="19"/>
  <c r="D156" i="19"/>
  <c r="C181" i="19"/>
  <c r="AF12" i="20"/>
  <c r="D12" i="20"/>
  <c r="E12" i="20" s="1"/>
  <c r="AE12" i="20"/>
  <c r="AC12" i="20"/>
  <c r="D153" i="19"/>
  <c r="D161" i="19"/>
  <c r="G10" i="20"/>
  <c r="E29" i="19"/>
  <c r="C166" i="19"/>
  <c r="D154" i="19"/>
  <c r="C196" i="19"/>
  <c r="AB13" i="20"/>
  <c r="X14" i="20"/>
  <c r="Z13" i="20"/>
  <c r="AA13" i="20" s="1"/>
  <c r="Y13" i="20"/>
  <c r="C207" i="19"/>
  <c r="C219" i="19" l="1"/>
  <c r="AC13" i="20"/>
  <c r="AF13" i="20"/>
  <c r="D13" i="20"/>
  <c r="E13" i="20" s="1"/>
  <c r="AE13" i="20"/>
  <c r="C178" i="19"/>
  <c r="D177" i="19" s="1"/>
  <c r="D166" i="19"/>
  <c r="C189" i="19"/>
  <c r="C197" i="19"/>
  <c r="C191" i="19"/>
  <c r="AG12" i="20"/>
  <c r="F12" i="20"/>
  <c r="C174" i="19"/>
  <c r="D162" i="19"/>
  <c r="D171" i="19"/>
  <c r="D163" i="19"/>
  <c r="D168" i="19"/>
  <c r="D172" i="19"/>
  <c r="D164" i="19"/>
  <c r="C208" i="19"/>
  <c r="F25" i="19"/>
  <c r="F21" i="19"/>
  <c r="F18" i="19"/>
  <c r="F27" i="19"/>
  <c r="F24" i="19"/>
  <c r="F20" i="19"/>
  <c r="F29" i="19"/>
  <c r="F28" i="19"/>
  <c r="F26" i="19"/>
  <c r="F23" i="19"/>
  <c r="F22" i="19"/>
  <c r="F19" i="19"/>
  <c r="C193" i="19"/>
  <c r="C204" i="19"/>
  <c r="D170" i="19"/>
  <c r="C182" i="19"/>
  <c r="C199" i="19"/>
  <c r="C200" i="19"/>
  <c r="Y14" i="20"/>
  <c r="X15" i="20"/>
  <c r="Z14" i="20"/>
  <c r="AA14" i="20" s="1"/>
  <c r="AB14" i="20"/>
  <c r="D169" i="19"/>
  <c r="D165" i="19"/>
  <c r="D173" i="19"/>
  <c r="D167" i="19"/>
  <c r="G11" i="20"/>
  <c r="E41" i="19"/>
  <c r="C205" i="19" l="1"/>
  <c r="C209" i="19"/>
  <c r="F33" i="19"/>
  <c r="F34" i="19"/>
  <c r="F38" i="19"/>
  <c r="F30" i="19"/>
  <c r="F41" i="19"/>
  <c r="F39" i="19"/>
  <c r="F37" i="19"/>
  <c r="F35" i="19"/>
  <c r="F31" i="19"/>
  <c r="F40" i="19"/>
  <c r="F36" i="19"/>
  <c r="F32" i="19"/>
  <c r="C216" i="19"/>
  <c r="D179" i="19"/>
  <c r="C211" i="19"/>
  <c r="C220" i="19"/>
  <c r="C186" i="19"/>
  <c r="D197" i="19" s="1"/>
  <c r="D174" i="19"/>
  <c r="D183" i="19"/>
  <c r="D176" i="19"/>
  <c r="D175" i="19"/>
  <c r="D180" i="19"/>
  <c r="D184" i="19"/>
  <c r="C203" i="19"/>
  <c r="C201" i="19"/>
  <c r="C231" i="19"/>
  <c r="AC14" i="20"/>
  <c r="AF14" i="20"/>
  <c r="D14" i="20"/>
  <c r="E14" i="20" s="1"/>
  <c r="AE14" i="20"/>
  <c r="C194" i="19"/>
  <c r="D182" i="19"/>
  <c r="D181" i="19"/>
  <c r="G30" i="20"/>
  <c r="G12" i="20"/>
  <c r="E53" i="19"/>
  <c r="D185" i="19"/>
  <c r="AG13" i="20"/>
  <c r="F13" i="20"/>
  <c r="C212" i="19"/>
  <c r="Z15" i="20"/>
  <c r="AA15" i="20" s="1"/>
  <c r="AB15" i="20"/>
  <c r="X16" i="20"/>
  <c r="Y15" i="20"/>
  <c r="C190" i="19"/>
  <c r="D178" i="19"/>
  <c r="AE15" i="20" l="1"/>
  <c r="AC15" i="20"/>
  <c r="D15" i="20"/>
  <c r="E15" i="20" s="1"/>
  <c r="AF15" i="20"/>
  <c r="G31" i="20"/>
  <c r="G13" i="20"/>
  <c r="E65" i="19"/>
  <c r="F53" i="19"/>
  <c r="F42" i="19"/>
  <c r="F46" i="19"/>
  <c r="F52" i="19"/>
  <c r="F50" i="19"/>
  <c r="F49" i="19"/>
  <c r="F47" i="19"/>
  <c r="F45" i="19"/>
  <c r="F43" i="19"/>
  <c r="F51" i="19"/>
  <c r="F48" i="19"/>
  <c r="F44" i="19"/>
  <c r="C215" i="19"/>
  <c r="C221" i="19"/>
  <c r="D209" i="19"/>
  <c r="C202" i="19"/>
  <c r="D190" i="19"/>
  <c r="AG14" i="20"/>
  <c r="F14" i="20"/>
  <c r="D189" i="19"/>
  <c r="C232" i="19"/>
  <c r="X17" i="20"/>
  <c r="Z16" i="20"/>
  <c r="AA16" i="20" s="1"/>
  <c r="Y16" i="20"/>
  <c r="AB16" i="20"/>
  <c r="C224" i="19"/>
  <c r="C206" i="19"/>
  <c r="D194" i="19"/>
  <c r="C213" i="19"/>
  <c r="C217" i="19"/>
  <c r="D205" i="19"/>
  <c r="D191" i="19"/>
  <c r="C198" i="19"/>
  <c r="D186" i="19"/>
  <c r="D195" i="19"/>
  <c r="D187" i="19"/>
  <c r="D196" i="19"/>
  <c r="D188" i="19"/>
  <c r="D192" i="19"/>
  <c r="C223" i="19"/>
  <c r="C228" i="19"/>
  <c r="D193" i="19"/>
  <c r="H49" i="19" l="1"/>
  <c r="J49" i="19" s="1"/>
  <c r="AG15" i="20"/>
  <c r="F15" i="20"/>
  <c r="C229" i="19"/>
  <c r="C218" i="19"/>
  <c r="D206" i="19"/>
  <c r="C233" i="19"/>
  <c r="F63" i="19"/>
  <c r="F59" i="19"/>
  <c r="F56" i="19"/>
  <c r="F54" i="19"/>
  <c r="F65" i="19"/>
  <c r="F61" i="19"/>
  <c r="F57" i="19"/>
  <c r="F55" i="19"/>
  <c r="F64" i="19"/>
  <c r="F62" i="19"/>
  <c r="F60" i="19"/>
  <c r="F58" i="19"/>
  <c r="AF16" i="20"/>
  <c r="D16" i="20"/>
  <c r="E16" i="20" s="1"/>
  <c r="AE16" i="20"/>
  <c r="AC16" i="20"/>
  <c r="C210" i="19"/>
  <c r="D213" i="19" s="1"/>
  <c r="D198" i="19"/>
  <c r="D207" i="19"/>
  <c r="D204" i="19"/>
  <c r="D199" i="19"/>
  <c r="D200" i="19"/>
  <c r="D208" i="19"/>
  <c r="D201" i="19"/>
  <c r="C227" i="19"/>
  <c r="G32" i="20"/>
  <c r="G14" i="20"/>
  <c r="E77" i="19"/>
  <c r="C225" i="19"/>
  <c r="AB17" i="20"/>
  <c r="X18" i="20"/>
  <c r="Z17" i="20"/>
  <c r="AA17" i="20" s="1"/>
  <c r="Y17" i="20"/>
  <c r="D202" i="19"/>
  <c r="C214" i="19"/>
  <c r="D203" i="19"/>
  <c r="D215" i="19" l="1"/>
  <c r="F76" i="19"/>
  <c r="F74" i="19"/>
  <c r="F72" i="19"/>
  <c r="F68" i="19"/>
  <c r="F75" i="19"/>
  <c r="F73" i="19"/>
  <c r="F71" i="19"/>
  <c r="F69" i="19"/>
  <c r="F67" i="19"/>
  <c r="F70" i="19"/>
  <c r="F66" i="19"/>
  <c r="F77" i="19"/>
  <c r="Y18" i="20"/>
  <c r="X19" i="20"/>
  <c r="Z18" i="20"/>
  <c r="AA18" i="20" s="1"/>
  <c r="AB18" i="20"/>
  <c r="C222" i="19"/>
  <c r="D233" i="19" s="1"/>
  <c r="D210" i="19"/>
  <c r="D219" i="19"/>
  <c r="D212" i="19"/>
  <c r="D211" i="19"/>
  <c r="D220" i="19"/>
  <c r="D216" i="19"/>
  <c r="D221" i="19"/>
  <c r="D217" i="19"/>
  <c r="AC17" i="20"/>
  <c r="AF17" i="20"/>
  <c r="D17" i="20"/>
  <c r="E17" i="20" s="1"/>
  <c r="AE17" i="20"/>
  <c r="AG16" i="20"/>
  <c r="F16" i="20"/>
  <c r="G15" i="20"/>
  <c r="G33" i="20"/>
  <c r="E89" i="19"/>
  <c r="C226" i="19"/>
  <c r="D226" i="19" s="1"/>
  <c r="D214" i="19"/>
  <c r="C230" i="19"/>
  <c r="D218" i="19"/>
  <c r="D229" i="19" l="1"/>
  <c r="F86" i="19"/>
  <c r="F82" i="19"/>
  <c r="F87" i="19"/>
  <c r="F81" i="19"/>
  <c r="F89" i="19"/>
  <c r="F79" i="19"/>
  <c r="F88" i="19"/>
  <c r="F84" i="19"/>
  <c r="F80" i="19"/>
  <c r="F78" i="19"/>
  <c r="F85" i="19"/>
  <c r="F83" i="19"/>
  <c r="AG17" i="20"/>
  <c r="F17" i="20"/>
  <c r="F29" i="20" s="1"/>
  <c r="D222" i="19"/>
  <c r="D231" i="19"/>
  <c r="D228" i="19"/>
  <c r="D223" i="19"/>
  <c r="D232" i="19"/>
  <c r="D224" i="19"/>
  <c r="Z19" i="20"/>
  <c r="AA19" i="20" s="1"/>
  <c r="AB19" i="20"/>
  <c r="X20" i="20"/>
  <c r="Y19" i="20"/>
  <c r="D227" i="19"/>
  <c r="G16" i="20"/>
  <c r="E101" i="19"/>
  <c r="G34" i="20"/>
  <c r="AC18" i="20"/>
  <c r="AF18" i="20"/>
  <c r="D18" i="20"/>
  <c r="E18" i="20" s="1"/>
  <c r="AE18" i="20"/>
  <c r="D230" i="19"/>
  <c r="D225" i="19"/>
  <c r="AG18" i="20" l="1"/>
  <c r="F18" i="20"/>
  <c r="AE19" i="20"/>
  <c r="AF19" i="20"/>
  <c r="D19" i="20"/>
  <c r="E19" i="20" s="1"/>
  <c r="AC19" i="20"/>
  <c r="G35" i="20"/>
  <c r="G17" i="20"/>
  <c r="E113" i="19"/>
  <c r="K113" i="19" s="1"/>
  <c r="N113" i="19" s="1"/>
  <c r="X21" i="20"/>
  <c r="Y20" i="20"/>
  <c r="AB20" i="20"/>
  <c r="Z20" i="20"/>
  <c r="AA20" i="20" s="1"/>
  <c r="F99" i="19"/>
  <c r="F97" i="19"/>
  <c r="F95" i="19"/>
  <c r="F93" i="19"/>
  <c r="F91" i="19"/>
  <c r="F98" i="19"/>
  <c r="F90" i="19"/>
  <c r="F100" i="19"/>
  <c r="F92" i="19"/>
  <c r="F101" i="19"/>
  <c r="F96" i="19"/>
  <c r="F94" i="19"/>
  <c r="AF20" i="20" l="1"/>
  <c r="D20" i="20"/>
  <c r="E20" i="20" s="1"/>
  <c r="AC20" i="20"/>
  <c r="AE20" i="20"/>
  <c r="AG19" i="20"/>
  <c r="F19" i="20"/>
  <c r="AB21" i="20"/>
  <c r="Z21" i="20"/>
  <c r="AA21" i="20" s="1"/>
  <c r="X22" i="20"/>
  <c r="Y21" i="20"/>
  <c r="G18" i="20"/>
  <c r="E125" i="19"/>
  <c r="H113" i="19"/>
  <c r="F112" i="19"/>
  <c r="F110" i="19"/>
  <c r="F108" i="19"/>
  <c r="F106" i="19"/>
  <c r="F104" i="19"/>
  <c r="F102" i="19"/>
  <c r="F113" i="19"/>
  <c r="F103" i="19"/>
  <c r="F107" i="19"/>
  <c r="F105" i="19"/>
  <c r="F109" i="19"/>
  <c r="F111" i="19"/>
  <c r="AE21" i="20" l="1"/>
  <c r="AF21" i="20"/>
  <c r="D21" i="20"/>
  <c r="E21" i="20" s="1"/>
  <c r="AC21" i="20"/>
  <c r="F125" i="19"/>
  <c r="F122" i="19"/>
  <c r="F118" i="19"/>
  <c r="F114" i="19"/>
  <c r="F121" i="19"/>
  <c r="F117" i="19"/>
  <c r="F116" i="19"/>
  <c r="F123" i="19"/>
  <c r="F119" i="19"/>
  <c r="F115" i="19"/>
  <c r="F124" i="19"/>
  <c r="F120" i="19"/>
  <c r="G19" i="20"/>
  <c r="E137" i="19"/>
  <c r="Y22" i="20"/>
  <c r="X23" i="20"/>
  <c r="AB22" i="20"/>
  <c r="Z22" i="20"/>
  <c r="AA22" i="20" s="1"/>
  <c r="AG20" i="20"/>
  <c r="F20" i="20"/>
  <c r="Z23" i="20" l="1"/>
  <c r="AA23" i="20" s="1"/>
  <c r="AB23" i="20"/>
  <c r="X24" i="20"/>
  <c r="Y23" i="20"/>
  <c r="G20" i="20"/>
  <c r="E149" i="19"/>
  <c r="F133" i="19"/>
  <c r="F129" i="19"/>
  <c r="F136" i="19"/>
  <c r="F132" i="19"/>
  <c r="F128" i="19"/>
  <c r="F127" i="19"/>
  <c r="F137" i="19"/>
  <c r="F134" i="19"/>
  <c r="F126" i="19"/>
  <c r="F130" i="19"/>
  <c r="F131" i="19"/>
  <c r="F135" i="19"/>
  <c r="AG21" i="20"/>
  <c r="F21" i="20"/>
  <c r="AC22" i="20"/>
  <c r="AF22" i="20"/>
  <c r="D22" i="20"/>
  <c r="E22" i="20" s="1"/>
  <c r="AE22" i="20"/>
  <c r="X25" i="20" l="1"/>
  <c r="Y24" i="20"/>
  <c r="AB24" i="20"/>
  <c r="Z24" i="20"/>
  <c r="AA24" i="20" s="1"/>
  <c r="G21" i="20"/>
  <c r="E161" i="19"/>
  <c r="AG22" i="20"/>
  <c r="F22" i="20"/>
  <c r="F145" i="19"/>
  <c r="F148" i="19"/>
  <c r="F144" i="19"/>
  <c r="F140" i="19"/>
  <c r="F147" i="19"/>
  <c r="F143" i="19"/>
  <c r="F139" i="19"/>
  <c r="F146" i="19"/>
  <c r="F141" i="19"/>
  <c r="F149" i="19"/>
  <c r="F142" i="19"/>
  <c r="F138" i="19"/>
  <c r="AE23" i="20"/>
  <c r="AF23" i="20"/>
  <c r="AC23" i="20"/>
  <c r="D23" i="20"/>
  <c r="E23" i="20" s="1"/>
  <c r="G22" i="20" l="1"/>
  <c r="E173" i="19"/>
  <c r="AF24" i="20"/>
  <c r="D24" i="20"/>
  <c r="E24" i="20" s="1"/>
  <c r="AC24" i="20"/>
  <c r="AE24" i="20"/>
  <c r="AG23" i="20"/>
  <c r="F23" i="20"/>
  <c r="F160" i="19"/>
  <c r="F156" i="19"/>
  <c r="F152" i="19"/>
  <c r="F159" i="19"/>
  <c r="F155" i="19"/>
  <c r="F151" i="19"/>
  <c r="F161" i="19"/>
  <c r="F158" i="19"/>
  <c r="F154" i="19"/>
  <c r="F150" i="19"/>
  <c r="F157" i="19"/>
  <c r="F153" i="19"/>
  <c r="AB25" i="20"/>
  <c r="Z25" i="20"/>
  <c r="AA25" i="20" s="1"/>
  <c r="X26" i="20"/>
  <c r="Y25" i="20"/>
  <c r="G23" i="20" l="1"/>
  <c r="E185" i="19"/>
  <c r="AG24" i="20"/>
  <c r="F24" i="20"/>
  <c r="Y26" i="20"/>
  <c r="X27" i="20"/>
  <c r="AB26" i="20"/>
  <c r="Z26" i="20"/>
  <c r="AA26" i="20" s="1"/>
  <c r="F173" i="19"/>
  <c r="F170" i="19"/>
  <c r="F166" i="19"/>
  <c r="F172" i="19"/>
  <c r="F171" i="19"/>
  <c r="F163" i="19"/>
  <c r="F162" i="19"/>
  <c r="F165" i="19"/>
  <c r="F168" i="19"/>
  <c r="F164" i="19"/>
  <c r="F167" i="19"/>
  <c r="F169" i="19"/>
  <c r="AE25" i="20"/>
  <c r="AF25" i="20"/>
  <c r="D25" i="20"/>
  <c r="E25" i="20" s="1"/>
  <c r="AC25" i="20"/>
  <c r="G24" i="20" l="1"/>
  <c r="E197" i="19"/>
  <c r="AG25" i="20"/>
  <c r="F25" i="20"/>
  <c r="Z27" i="20"/>
  <c r="AA27" i="20" s="1"/>
  <c r="AB27" i="20"/>
  <c r="Y27" i="20"/>
  <c r="F181" i="19"/>
  <c r="F177" i="19"/>
  <c r="F176" i="19"/>
  <c r="F175" i="19"/>
  <c r="F174" i="19"/>
  <c r="F180" i="19"/>
  <c r="F179" i="19"/>
  <c r="F178" i="19"/>
  <c r="F185" i="19"/>
  <c r="F184" i="19"/>
  <c r="F183" i="19"/>
  <c r="F182" i="19"/>
  <c r="AC26" i="20"/>
  <c r="AF26" i="20"/>
  <c r="D26" i="20"/>
  <c r="E26" i="20" s="1"/>
  <c r="AE26" i="20"/>
  <c r="G25" i="20" l="1"/>
  <c r="E209" i="19"/>
  <c r="AE27" i="20"/>
  <c r="D27" i="20"/>
  <c r="E27" i="20" s="1"/>
  <c r="AF27" i="20"/>
  <c r="AC27" i="20"/>
  <c r="F196" i="19"/>
  <c r="F192" i="19"/>
  <c r="F188" i="19"/>
  <c r="F197" i="19"/>
  <c r="F195" i="19"/>
  <c r="F194" i="19"/>
  <c r="F193" i="19"/>
  <c r="F187" i="19"/>
  <c r="F186" i="19"/>
  <c r="F189" i="19"/>
  <c r="F191" i="19"/>
  <c r="F190" i="19"/>
  <c r="AG26" i="20"/>
  <c r="F26" i="20"/>
  <c r="F208" i="19" l="1"/>
  <c r="F204" i="19"/>
  <c r="F200" i="19"/>
  <c r="F209" i="19"/>
  <c r="F207" i="19"/>
  <c r="F206" i="19"/>
  <c r="F205" i="19"/>
  <c r="F201" i="19"/>
  <c r="F198" i="19"/>
  <c r="F202" i="19"/>
  <c r="F199" i="19"/>
  <c r="F203" i="19"/>
  <c r="G26" i="20"/>
  <c r="E221" i="19"/>
  <c r="AG27" i="20"/>
  <c r="F27" i="20"/>
  <c r="G27" i="20" l="1"/>
  <c r="E233" i="19"/>
  <c r="E237" i="19"/>
  <c r="F219" i="19"/>
  <c r="F215" i="19"/>
  <c r="F211" i="19"/>
  <c r="F221" i="19"/>
  <c r="F218" i="19"/>
  <c r="F217" i="19"/>
  <c r="F210" i="19"/>
  <c r="F212" i="19"/>
  <c r="F213" i="19"/>
  <c r="F216" i="19"/>
  <c r="F220" i="19"/>
  <c r="F214" i="19"/>
  <c r="F233" i="19" l="1"/>
  <c r="F230" i="19"/>
  <c r="F226" i="19"/>
  <c r="F222" i="19"/>
  <c r="F229" i="19"/>
  <c r="F225" i="19"/>
  <c r="F228" i="19"/>
  <c r="F232" i="19"/>
  <c r="F223" i="19"/>
  <c r="F231" i="19"/>
  <c r="F227" i="19"/>
  <c r="F224" i="19"/>
  <c r="E235" i="19"/>
  <c r="F235" i="19" l="1"/>
  <c r="E36" i="16" l="1"/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5" i="16"/>
  <c r="C6" i="16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5" i="16"/>
  <c r="G28" i="15" l="1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H42" i="15" s="1"/>
  <c r="G43" i="15"/>
  <c r="G44" i="15"/>
  <c r="G45" i="15"/>
  <c r="G46" i="15"/>
  <c r="H46" i="15" s="1"/>
  <c r="G47" i="15"/>
  <c r="G48" i="15"/>
  <c r="G49" i="15"/>
  <c r="G50" i="15"/>
  <c r="H50" i="15" s="1"/>
  <c r="G51" i="15"/>
  <c r="G52" i="15"/>
  <c r="G53" i="15"/>
  <c r="G54" i="15"/>
  <c r="H54" i="15" s="1"/>
  <c r="G55" i="15"/>
  <c r="G56" i="15"/>
  <c r="G57" i="15"/>
  <c r="G58" i="15"/>
  <c r="H58" i="15" s="1"/>
  <c r="G59" i="15"/>
  <c r="G60" i="15"/>
  <c r="G61" i="15"/>
  <c r="G62" i="15"/>
  <c r="H62" i="15" s="1"/>
  <c r="G63" i="15"/>
  <c r="G64" i="15"/>
  <c r="G65" i="15"/>
  <c r="G66" i="15"/>
  <c r="H66" i="15" s="1"/>
  <c r="G67" i="15"/>
  <c r="G68" i="15"/>
  <c r="G69" i="15"/>
  <c r="G70" i="15"/>
  <c r="H70" i="15" s="1"/>
  <c r="G71" i="15"/>
  <c r="G72" i="15"/>
  <c r="G73" i="15"/>
  <c r="G74" i="15"/>
  <c r="H74" i="15" s="1"/>
  <c r="G75" i="15"/>
  <c r="G76" i="15"/>
  <c r="G77" i="15"/>
  <c r="G78" i="15"/>
  <c r="H78" i="15" s="1"/>
  <c r="G79" i="15"/>
  <c r="G80" i="15"/>
  <c r="G81" i="15"/>
  <c r="G82" i="15"/>
  <c r="H82" i="15" s="1"/>
  <c r="G83" i="15"/>
  <c r="G84" i="15"/>
  <c r="G85" i="15"/>
  <c r="G86" i="15"/>
  <c r="H86" i="15" s="1"/>
  <c r="G87" i="15"/>
  <c r="G88" i="15"/>
  <c r="G89" i="15"/>
  <c r="G90" i="15"/>
  <c r="H90" i="15" s="1"/>
  <c r="G91" i="15"/>
  <c r="G92" i="15"/>
  <c r="G93" i="15"/>
  <c r="G94" i="15"/>
  <c r="H94" i="15" s="1"/>
  <c r="G95" i="15"/>
  <c r="G96" i="15"/>
  <c r="G97" i="15"/>
  <c r="G98" i="15"/>
  <c r="H98" i="15" s="1"/>
  <c r="G99" i="15"/>
  <c r="G100" i="15"/>
  <c r="G101" i="15"/>
  <c r="G102" i="15"/>
  <c r="H102" i="15" s="1"/>
  <c r="G103" i="15"/>
  <c r="G104" i="15"/>
  <c r="G105" i="15"/>
  <c r="G106" i="15"/>
  <c r="H106" i="15" s="1"/>
  <c r="G107" i="15"/>
  <c r="G108" i="15"/>
  <c r="G109" i="15"/>
  <c r="G110" i="15"/>
  <c r="H110" i="15" s="1"/>
  <c r="G111" i="15"/>
  <c r="G112" i="15"/>
  <c r="G113" i="15"/>
  <c r="G114" i="15"/>
  <c r="H114" i="15" s="1"/>
  <c r="G115" i="15"/>
  <c r="G116" i="15"/>
  <c r="G117" i="15"/>
  <c r="G118" i="15"/>
  <c r="H118" i="15" s="1"/>
  <c r="G119" i="15"/>
  <c r="G120" i="15"/>
  <c r="G121" i="15"/>
  <c r="G122" i="15"/>
  <c r="H122" i="15" s="1"/>
  <c r="G123" i="15"/>
  <c r="G124" i="15"/>
  <c r="G125" i="15"/>
  <c r="G126" i="15"/>
  <c r="H126" i="15" s="1"/>
  <c r="G127" i="15"/>
  <c r="G128" i="15"/>
  <c r="G129" i="15"/>
  <c r="G130" i="15"/>
  <c r="H130" i="15" s="1"/>
  <c r="G131" i="15"/>
  <c r="G132" i="15"/>
  <c r="G133" i="15"/>
  <c r="G134" i="15"/>
  <c r="H134" i="15" s="1"/>
  <c r="G135" i="15"/>
  <c r="G136" i="15"/>
  <c r="G137" i="15"/>
  <c r="G138" i="15"/>
  <c r="H138" i="15" s="1"/>
  <c r="G139" i="15"/>
  <c r="G140" i="15"/>
  <c r="G141" i="15"/>
  <c r="G142" i="15"/>
  <c r="H142" i="15" s="1"/>
  <c r="G143" i="15"/>
  <c r="G144" i="15"/>
  <c r="G145" i="15"/>
  <c r="G146" i="15"/>
  <c r="H146" i="15" s="1"/>
  <c r="G147" i="15"/>
  <c r="G148" i="15"/>
  <c r="G149" i="15"/>
  <c r="G150" i="15"/>
  <c r="H150" i="15" s="1"/>
  <c r="G151" i="15"/>
  <c r="G152" i="15"/>
  <c r="G153" i="15"/>
  <c r="G154" i="15"/>
  <c r="H154" i="15" s="1"/>
  <c r="G155" i="15"/>
  <c r="G156" i="15"/>
  <c r="G157" i="15"/>
  <c r="G158" i="15"/>
  <c r="H158" i="15" s="1"/>
  <c r="G159" i="15"/>
  <c r="G160" i="15"/>
  <c r="G161" i="15"/>
  <c r="G162" i="15"/>
  <c r="H162" i="15" s="1"/>
  <c r="G163" i="15"/>
  <c r="G164" i="15"/>
  <c r="G165" i="15"/>
  <c r="G166" i="15"/>
  <c r="H166" i="15" s="1"/>
  <c r="G167" i="15"/>
  <c r="G168" i="15"/>
  <c r="G169" i="15"/>
  <c r="G170" i="15"/>
  <c r="H170" i="15" s="1"/>
  <c r="G171" i="15"/>
  <c r="G172" i="15"/>
  <c r="G173" i="15"/>
  <c r="G174" i="15"/>
  <c r="H174" i="15" s="1"/>
  <c r="G175" i="15"/>
  <c r="G176" i="15"/>
  <c r="G177" i="15"/>
  <c r="G178" i="15"/>
  <c r="H178" i="15" s="1"/>
  <c r="G179" i="15"/>
  <c r="G180" i="15"/>
  <c r="G181" i="15"/>
  <c r="G182" i="15"/>
  <c r="H182" i="15" s="1"/>
  <c r="G183" i="15"/>
  <c r="G184" i="15"/>
  <c r="G185" i="15"/>
  <c r="G186" i="15"/>
  <c r="H186" i="15" s="1"/>
  <c r="G187" i="15"/>
  <c r="G188" i="15"/>
  <c r="G189" i="15"/>
  <c r="G190" i="15"/>
  <c r="H190" i="15" s="1"/>
  <c r="G191" i="15"/>
  <c r="G192" i="15"/>
  <c r="G193" i="15"/>
  <c r="G194" i="15"/>
  <c r="H194" i="15" s="1"/>
  <c r="G195" i="15"/>
  <c r="G196" i="15"/>
  <c r="G197" i="15"/>
  <c r="G198" i="15"/>
  <c r="H198" i="15" s="1"/>
  <c r="G199" i="15"/>
  <c r="G200" i="15"/>
  <c r="G201" i="15"/>
  <c r="G202" i="15"/>
  <c r="H202" i="15" s="1"/>
  <c r="G203" i="15"/>
  <c r="G204" i="15"/>
  <c r="G205" i="15"/>
  <c r="G206" i="15"/>
  <c r="H206" i="15" s="1"/>
  <c r="G207" i="15"/>
  <c r="G208" i="15"/>
  <c r="G209" i="15"/>
  <c r="G210" i="15"/>
  <c r="H210" i="15" s="1"/>
  <c r="G211" i="15"/>
  <c r="G212" i="15"/>
  <c r="G213" i="15"/>
  <c r="G214" i="15"/>
  <c r="H214" i="15" s="1"/>
  <c r="G215" i="15"/>
  <c r="G216" i="15"/>
  <c r="G217" i="15"/>
  <c r="G218" i="15"/>
  <c r="H218" i="15" s="1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H234" i="15" s="1"/>
  <c r="G235" i="15"/>
  <c r="G236" i="15"/>
  <c r="G237" i="15"/>
  <c r="G238" i="15"/>
  <c r="H238" i="15" s="1"/>
  <c r="G239" i="15"/>
  <c r="G240" i="15"/>
  <c r="G241" i="15"/>
  <c r="G242" i="15"/>
  <c r="H242" i="15" s="1"/>
  <c r="G243" i="15"/>
  <c r="G244" i="15"/>
  <c r="G245" i="15"/>
  <c r="G246" i="15"/>
  <c r="H246" i="15" s="1"/>
  <c r="G247" i="15"/>
  <c r="G248" i="15"/>
  <c r="G249" i="15"/>
  <c r="G250" i="15"/>
  <c r="H250" i="15" s="1"/>
  <c r="G251" i="15"/>
  <c r="G252" i="15"/>
  <c r="G253" i="15"/>
  <c r="G254" i="15"/>
  <c r="H254" i="15" s="1"/>
  <c r="G255" i="15"/>
  <c r="G256" i="15"/>
  <c r="G257" i="15"/>
  <c r="G258" i="15"/>
  <c r="H258" i="15" s="1"/>
  <c r="G259" i="15"/>
  <c r="G260" i="15"/>
  <c r="G261" i="15"/>
  <c r="G262" i="15"/>
  <c r="H262" i="15" s="1"/>
  <c r="G263" i="15"/>
  <c r="G264" i="15"/>
  <c r="G265" i="15"/>
  <c r="G266" i="15"/>
  <c r="H266" i="15" s="1"/>
  <c r="G267" i="15"/>
  <c r="G268" i="15"/>
  <c r="G269" i="15"/>
  <c r="G270" i="15"/>
  <c r="G271" i="15"/>
  <c r="G272" i="15"/>
  <c r="G273" i="15"/>
  <c r="G274" i="15"/>
  <c r="H274" i="15" s="1"/>
  <c r="G275" i="15"/>
  <c r="G276" i="15"/>
  <c r="G277" i="15"/>
  <c r="G278" i="15"/>
  <c r="G279" i="15"/>
  <c r="G280" i="15"/>
  <c r="G281" i="15"/>
  <c r="G282" i="15"/>
  <c r="H282" i="15" s="1"/>
  <c r="G283" i="15"/>
  <c r="G284" i="15"/>
  <c r="G285" i="15"/>
  <c r="G286" i="15"/>
  <c r="H286" i="15" s="1"/>
  <c r="G287" i="15"/>
  <c r="G288" i="15"/>
  <c r="G289" i="15"/>
  <c r="G290" i="15"/>
  <c r="H290" i="15" s="1"/>
  <c r="G291" i="15"/>
  <c r="G292" i="15"/>
  <c r="G293" i="15"/>
  <c r="G294" i="15"/>
  <c r="H294" i="15" s="1"/>
  <c r="G295" i="15"/>
  <c r="G296" i="15"/>
  <c r="G297" i="15"/>
  <c r="G298" i="15"/>
  <c r="H298" i="15" s="1"/>
  <c r="G299" i="15"/>
  <c r="G300" i="15"/>
  <c r="G301" i="15"/>
  <c r="G302" i="15"/>
  <c r="H302" i="15" s="1"/>
  <c r="G303" i="15"/>
  <c r="G304" i="15"/>
  <c r="G305" i="15"/>
  <c r="G306" i="15"/>
  <c r="H306" i="15" s="1"/>
  <c r="G307" i="15"/>
  <c r="G308" i="15"/>
  <c r="G309" i="15"/>
  <c r="G310" i="15"/>
  <c r="H310" i="15" s="1"/>
  <c r="G311" i="15"/>
  <c r="G312" i="15"/>
  <c r="G313" i="15"/>
  <c r="G314" i="15"/>
  <c r="H314" i="15" s="1"/>
  <c r="G315" i="15"/>
  <c r="G316" i="15"/>
  <c r="G317" i="15"/>
  <c r="G318" i="15"/>
  <c r="H318" i="15" s="1"/>
  <c r="G319" i="15"/>
  <c r="G320" i="15"/>
  <c r="G321" i="15"/>
  <c r="G322" i="15"/>
  <c r="H322" i="15" s="1"/>
  <c r="G323" i="15"/>
  <c r="G324" i="15"/>
  <c r="F324" i="15"/>
  <c r="A324" i="15"/>
  <c r="F323" i="15"/>
  <c r="A323" i="15"/>
  <c r="F322" i="15"/>
  <c r="A322" i="15"/>
  <c r="F321" i="15"/>
  <c r="A321" i="15"/>
  <c r="F320" i="15"/>
  <c r="A320" i="15"/>
  <c r="F319" i="15"/>
  <c r="A319" i="15"/>
  <c r="F318" i="15"/>
  <c r="A318" i="15"/>
  <c r="F317" i="15"/>
  <c r="A317" i="15"/>
  <c r="F316" i="15"/>
  <c r="A316" i="15"/>
  <c r="F315" i="15"/>
  <c r="A315" i="15"/>
  <c r="F314" i="15"/>
  <c r="A314" i="15"/>
  <c r="F313" i="15"/>
  <c r="A313" i="15"/>
  <c r="F312" i="15"/>
  <c r="A312" i="15"/>
  <c r="F311" i="15"/>
  <c r="A311" i="15"/>
  <c r="F310" i="15"/>
  <c r="A310" i="15"/>
  <c r="F309" i="15"/>
  <c r="A309" i="15"/>
  <c r="F308" i="15"/>
  <c r="A308" i="15"/>
  <c r="F307" i="15"/>
  <c r="A307" i="15"/>
  <c r="F306" i="15"/>
  <c r="A306" i="15"/>
  <c r="F305" i="15"/>
  <c r="A305" i="15"/>
  <c r="F304" i="15"/>
  <c r="A304" i="15"/>
  <c r="F303" i="15"/>
  <c r="A303" i="15"/>
  <c r="F302" i="15"/>
  <c r="A302" i="15"/>
  <c r="F301" i="15"/>
  <c r="A301" i="15"/>
  <c r="F300" i="15"/>
  <c r="A300" i="15"/>
  <c r="F299" i="15"/>
  <c r="A299" i="15"/>
  <c r="F298" i="15"/>
  <c r="A298" i="15"/>
  <c r="F297" i="15"/>
  <c r="A297" i="15"/>
  <c r="F296" i="15"/>
  <c r="A296" i="15"/>
  <c r="F295" i="15"/>
  <c r="A295" i="15"/>
  <c r="F294" i="15"/>
  <c r="A294" i="15"/>
  <c r="F293" i="15"/>
  <c r="A293" i="15"/>
  <c r="F292" i="15"/>
  <c r="A292" i="15"/>
  <c r="F291" i="15"/>
  <c r="A291" i="15"/>
  <c r="F290" i="15"/>
  <c r="A290" i="15"/>
  <c r="F289" i="15"/>
  <c r="A289" i="15"/>
  <c r="F288" i="15"/>
  <c r="A288" i="15"/>
  <c r="F287" i="15"/>
  <c r="A287" i="15"/>
  <c r="F286" i="15"/>
  <c r="A286" i="15"/>
  <c r="F285" i="15"/>
  <c r="A285" i="15"/>
  <c r="F284" i="15"/>
  <c r="A284" i="15"/>
  <c r="F283" i="15"/>
  <c r="A283" i="15"/>
  <c r="F282" i="15"/>
  <c r="A282" i="15"/>
  <c r="F281" i="15"/>
  <c r="A281" i="15"/>
  <c r="F280" i="15"/>
  <c r="A280" i="15"/>
  <c r="F279" i="15"/>
  <c r="A279" i="15"/>
  <c r="F278" i="15"/>
  <c r="A278" i="15"/>
  <c r="F277" i="15"/>
  <c r="A277" i="15"/>
  <c r="F276" i="15"/>
  <c r="A276" i="15"/>
  <c r="F275" i="15"/>
  <c r="A275" i="15"/>
  <c r="F274" i="15"/>
  <c r="A274" i="15"/>
  <c r="F273" i="15"/>
  <c r="A273" i="15"/>
  <c r="F272" i="15"/>
  <c r="A272" i="15"/>
  <c r="F271" i="15"/>
  <c r="A271" i="15"/>
  <c r="F270" i="15"/>
  <c r="A270" i="15"/>
  <c r="F269" i="15"/>
  <c r="A269" i="15"/>
  <c r="F268" i="15"/>
  <c r="A268" i="15"/>
  <c r="F267" i="15"/>
  <c r="A267" i="15"/>
  <c r="F266" i="15"/>
  <c r="A266" i="15"/>
  <c r="F265" i="15"/>
  <c r="A265" i="15"/>
  <c r="F264" i="15"/>
  <c r="A264" i="15"/>
  <c r="F263" i="15"/>
  <c r="A263" i="15"/>
  <c r="F262" i="15"/>
  <c r="A262" i="15"/>
  <c r="F261" i="15"/>
  <c r="A261" i="15"/>
  <c r="F260" i="15"/>
  <c r="A260" i="15"/>
  <c r="F259" i="15"/>
  <c r="A259" i="15"/>
  <c r="F258" i="15"/>
  <c r="A258" i="15"/>
  <c r="F257" i="15"/>
  <c r="A257" i="15"/>
  <c r="F256" i="15"/>
  <c r="A256" i="15"/>
  <c r="F255" i="15"/>
  <c r="A255" i="15"/>
  <c r="F254" i="15"/>
  <c r="A254" i="15"/>
  <c r="F253" i="15"/>
  <c r="A253" i="15"/>
  <c r="F252" i="15"/>
  <c r="A252" i="15"/>
  <c r="F251" i="15"/>
  <c r="A251" i="15"/>
  <c r="F250" i="15"/>
  <c r="A250" i="15"/>
  <c r="F249" i="15"/>
  <c r="A249" i="15"/>
  <c r="F248" i="15"/>
  <c r="A248" i="15"/>
  <c r="F247" i="15"/>
  <c r="A247" i="15"/>
  <c r="F246" i="15"/>
  <c r="A246" i="15"/>
  <c r="F245" i="15"/>
  <c r="A245" i="15"/>
  <c r="F244" i="15"/>
  <c r="A244" i="15"/>
  <c r="F243" i="15"/>
  <c r="A243" i="15"/>
  <c r="F242" i="15"/>
  <c r="A242" i="15"/>
  <c r="F241" i="15"/>
  <c r="A241" i="15"/>
  <c r="F240" i="15"/>
  <c r="A240" i="15"/>
  <c r="F239" i="15"/>
  <c r="A239" i="15"/>
  <c r="F238" i="15"/>
  <c r="A238" i="15"/>
  <c r="F237" i="15"/>
  <c r="A237" i="15"/>
  <c r="F236" i="15"/>
  <c r="A236" i="15"/>
  <c r="F235" i="15"/>
  <c r="A235" i="15"/>
  <c r="F234" i="15"/>
  <c r="A234" i="15"/>
  <c r="F233" i="15"/>
  <c r="A233" i="15"/>
  <c r="F232" i="15"/>
  <c r="A232" i="15"/>
  <c r="F231" i="15"/>
  <c r="A231" i="15"/>
  <c r="F230" i="15"/>
  <c r="A230" i="15"/>
  <c r="F229" i="15"/>
  <c r="A229" i="15"/>
  <c r="F228" i="15"/>
  <c r="A228" i="15"/>
  <c r="F227" i="15"/>
  <c r="A227" i="15"/>
  <c r="F226" i="15"/>
  <c r="A226" i="15"/>
  <c r="F225" i="15"/>
  <c r="A225" i="15"/>
  <c r="F224" i="15"/>
  <c r="A224" i="15"/>
  <c r="F223" i="15"/>
  <c r="A223" i="15"/>
  <c r="F222" i="15"/>
  <c r="A222" i="15"/>
  <c r="F221" i="15"/>
  <c r="A221" i="15"/>
  <c r="F220" i="15"/>
  <c r="A220" i="15"/>
  <c r="F219" i="15"/>
  <c r="A219" i="15"/>
  <c r="F218" i="15"/>
  <c r="A218" i="15"/>
  <c r="F217" i="15"/>
  <c r="A217" i="15"/>
  <c r="F216" i="15"/>
  <c r="A216" i="15"/>
  <c r="F215" i="15"/>
  <c r="A215" i="15"/>
  <c r="F214" i="15"/>
  <c r="A214" i="15"/>
  <c r="F213" i="15"/>
  <c r="A213" i="15"/>
  <c r="F212" i="15"/>
  <c r="A212" i="15"/>
  <c r="F211" i="15"/>
  <c r="A211" i="15"/>
  <c r="F210" i="15"/>
  <c r="A210" i="15"/>
  <c r="F209" i="15"/>
  <c r="A209" i="15"/>
  <c r="F208" i="15"/>
  <c r="A208" i="15"/>
  <c r="F207" i="15"/>
  <c r="A207" i="15"/>
  <c r="F206" i="15"/>
  <c r="A206" i="15"/>
  <c r="F205" i="15"/>
  <c r="A205" i="15"/>
  <c r="F204" i="15"/>
  <c r="A204" i="15"/>
  <c r="F203" i="15"/>
  <c r="A203" i="15"/>
  <c r="F202" i="15"/>
  <c r="A202" i="15"/>
  <c r="F201" i="15"/>
  <c r="A201" i="15"/>
  <c r="F200" i="15"/>
  <c r="A200" i="15"/>
  <c r="F199" i="15"/>
  <c r="A199" i="15"/>
  <c r="F198" i="15"/>
  <c r="A198" i="15"/>
  <c r="F197" i="15"/>
  <c r="A197" i="15"/>
  <c r="F196" i="15"/>
  <c r="A196" i="15"/>
  <c r="F195" i="15"/>
  <c r="A195" i="15"/>
  <c r="F194" i="15"/>
  <c r="A194" i="15"/>
  <c r="F193" i="15"/>
  <c r="A193" i="15"/>
  <c r="F192" i="15"/>
  <c r="A192" i="15"/>
  <c r="F191" i="15"/>
  <c r="A191" i="15"/>
  <c r="F190" i="15"/>
  <c r="A190" i="15"/>
  <c r="F189" i="15"/>
  <c r="A189" i="15"/>
  <c r="F188" i="15"/>
  <c r="A188" i="15"/>
  <c r="F187" i="15"/>
  <c r="A187" i="15"/>
  <c r="F186" i="15"/>
  <c r="A186" i="15"/>
  <c r="F185" i="15"/>
  <c r="A185" i="15"/>
  <c r="A184" i="15"/>
  <c r="A183" i="15"/>
  <c r="A182" i="15"/>
  <c r="A181" i="15"/>
  <c r="A180" i="15"/>
  <c r="A179" i="15"/>
  <c r="A178" i="15"/>
  <c r="A177" i="15"/>
  <c r="A176" i="15"/>
  <c r="A175" i="15"/>
  <c r="A174" i="15"/>
  <c r="A173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H321" i="15" l="1"/>
  <c r="H317" i="15"/>
  <c r="H313" i="15"/>
  <c r="H309" i="15"/>
  <c r="H305" i="15"/>
  <c r="H301" i="15"/>
  <c r="H297" i="15"/>
  <c r="H293" i="15"/>
  <c r="H289" i="15"/>
  <c r="H285" i="15"/>
  <c r="H281" i="15"/>
  <c r="H277" i="15"/>
  <c r="H273" i="15"/>
  <c r="H269" i="15"/>
  <c r="H265" i="15"/>
  <c r="H261" i="15"/>
  <c r="H257" i="15"/>
  <c r="H253" i="15"/>
  <c r="H249" i="15"/>
  <c r="H245" i="15"/>
  <c r="H229" i="15"/>
  <c r="H221" i="15"/>
  <c r="H217" i="15"/>
  <c r="H213" i="15"/>
  <c r="H209" i="15"/>
  <c r="H205" i="15"/>
  <c r="H201" i="15"/>
  <c r="H197" i="15"/>
  <c r="H193" i="15"/>
  <c r="H189" i="15"/>
  <c r="H185" i="15"/>
  <c r="H181" i="15"/>
  <c r="H177" i="15"/>
  <c r="H173" i="15"/>
  <c r="H169" i="15"/>
  <c r="H165" i="15"/>
  <c r="H161" i="15"/>
  <c r="H157" i="15"/>
  <c r="H153" i="15"/>
  <c r="H149" i="15"/>
  <c r="H145" i="15"/>
  <c r="H141" i="15"/>
  <c r="H137" i="15"/>
  <c r="H133" i="15"/>
  <c r="H129" i="15"/>
  <c r="H125" i="15"/>
  <c r="H121" i="15"/>
  <c r="H117" i="15"/>
  <c r="H113" i="15"/>
  <c r="H109" i="15"/>
  <c r="H105" i="15"/>
  <c r="H101" i="15"/>
  <c r="H97" i="15"/>
  <c r="H93" i="15"/>
  <c r="H89" i="15"/>
  <c r="H85" i="15"/>
  <c r="H81" i="15"/>
  <c r="H77" i="15"/>
  <c r="H73" i="15"/>
  <c r="H69" i="15"/>
  <c r="H65" i="15"/>
  <c r="H61" i="15"/>
  <c r="H57" i="15"/>
  <c r="H53" i="15"/>
  <c r="H49" i="15"/>
  <c r="H45" i="15"/>
  <c r="H41" i="15"/>
  <c r="H199" i="15"/>
  <c r="H195" i="15"/>
  <c r="H191" i="15"/>
  <c r="H187" i="15"/>
  <c r="H183" i="15"/>
  <c r="H179" i="15"/>
  <c r="H175" i="15"/>
  <c r="H171" i="15"/>
  <c r="H167" i="15"/>
  <c r="H163" i="15"/>
  <c r="H159" i="15"/>
  <c r="H155" i="15"/>
  <c r="H151" i="15"/>
  <c r="H147" i="15"/>
  <c r="H143" i="15"/>
  <c r="H139" i="15"/>
  <c r="H135" i="15"/>
  <c r="H131" i="15"/>
  <c r="H127" i="15"/>
  <c r="H123" i="15"/>
  <c r="H119" i="15"/>
  <c r="H115" i="15"/>
  <c r="H111" i="15"/>
  <c r="H107" i="15"/>
  <c r="H103" i="15"/>
  <c r="H99" i="15"/>
  <c r="H95" i="15"/>
  <c r="H91" i="15"/>
  <c r="H87" i="15"/>
  <c r="H83" i="15"/>
  <c r="H79" i="15"/>
  <c r="H75" i="15"/>
  <c r="H71" i="15"/>
  <c r="H67" i="15"/>
  <c r="H63" i="15"/>
  <c r="H59" i="15"/>
  <c r="H55" i="15"/>
  <c r="H51" i="15"/>
  <c r="H47" i="15"/>
  <c r="H43" i="15"/>
  <c r="H278" i="15"/>
  <c r="H270" i="15"/>
  <c r="H241" i="15"/>
  <c r="H237" i="15"/>
  <c r="H233" i="15"/>
  <c r="H230" i="15"/>
  <c r="H222" i="15"/>
  <c r="H324" i="15"/>
  <c r="H320" i="15"/>
  <c r="H316" i="15"/>
  <c r="H312" i="15"/>
  <c r="H308" i="15"/>
  <c r="H304" i="15"/>
  <c r="H300" i="15"/>
  <c r="H296" i="15"/>
  <c r="H292" i="15"/>
  <c r="H288" i="15"/>
  <c r="H284" i="15"/>
  <c r="H280" i="15"/>
  <c r="H276" i="15"/>
  <c r="H272" i="15"/>
  <c r="H268" i="15"/>
  <c r="H264" i="15"/>
  <c r="H260" i="15"/>
  <c r="H256" i="15"/>
  <c r="H252" i="15"/>
  <c r="H248" i="15"/>
  <c r="H244" i="15"/>
  <c r="H240" i="15"/>
  <c r="H236" i="15"/>
  <c r="H225" i="15"/>
  <c r="I225" i="15"/>
  <c r="I226" i="15" s="1"/>
  <c r="I227" i="15" s="1"/>
  <c r="H232" i="15"/>
  <c r="H228" i="15"/>
  <c r="H224" i="15"/>
  <c r="H220" i="15"/>
  <c r="H216" i="15"/>
  <c r="H212" i="15"/>
  <c r="H208" i="15"/>
  <c r="H204" i="15"/>
  <c r="H200" i="15"/>
  <c r="H196" i="15"/>
  <c r="H192" i="15"/>
  <c r="H323" i="15"/>
  <c r="H319" i="15"/>
  <c r="H315" i="15"/>
  <c r="H311" i="15"/>
  <c r="H307" i="15"/>
  <c r="H303" i="15"/>
  <c r="H299" i="15"/>
  <c r="H295" i="15"/>
  <c r="H291" i="15"/>
  <c r="H287" i="15"/>
  <c r="H283" i="15"/>
  <c r="H279" i="15"/>
  <c r="H275" i="15"/>
  <c r="H271" i="15"/>
  <c r="H267" i="15"/>
  <c r="H263" i="15"/>
  <c r="H259" i="15"/>
  <c r="H255" i="15"/>
  <c r="H251" i="15"/>
  <c r="H247" i="15"/>
  <c r="H243" i="15"/>
  <c r="H239" i="15"/>
  <c r="H235" i="15"/>
  <c r="H231" i="15"/>
  <c r="H227" i="15"/>
  <c r="H223" i="15"/>
  <c r="H219" i="15"/>
  <c r="H215" i="15"/>
  <c r="H211" i="15"/>
  <c r="H207" i="15"/>
  <c r="H203" i="15"/>
  <c r="H226" i="15"/>
  <c r="H188" i="15"/>
  <c r="H184" i="15"/>
  <c r="H180" i="15"/>
  <c r="H176" i="15"/>
  <c r="H172" i="15"/>
  <c r="H168" i="15"/>
  <c r="H164" i="15"/>
  <c r="H160" i="15"/>
  <c r="H156" i="15"/>
  <c r="H152" i="15"/>
  <c r="H148" i="15"/>
  <c r="H144" i="15"/>
  <c r="H140" i="15"/>
  <c r="H136" i="15"/>
  <c r="H132" i="15"/>
  <c r="H128" i="15"/>
  <c r="H124" i="15"/>
  <c r="H120" i="15"/>
  <c r="H116" i="15"/>
  <c r="H112" i="15"/>
  <c r="H108" i="15"/>
  <c r="H104" i="15"/>
  <c r="H100" i="15"/>
  <c r="H96" i="15"/>
  <c r="H92" i="15"/>
  <c r="H88" i="15"/>
  <c r="H84" i="15"/>
  <c r="H80" i="15"/>
  <c r="H76" i="15"/>
  <c r="H72" i="15"/>
  <c r="H68" i="15"/>
  <c r="H64" i="15"/>
  <c r="H60" i="15"/>
  <c r="H56" i="15"/>
  <c r="H52" i="15"/>
  <c r="H48" i="15"/>
  <c r="H44" i="15"/>
  <c r="H40" i="15"/>
  <c r="H39" i="15"/>
  <c r="J226" i="15" l="1"/>
  <c r="J227" i="15"/>
  <c r="K227" i="15" s="1"/>
  <c r="I228" i="15"/>
  <c r="J228" i="15" l="1"/>
  <c r="K228" i="15" s="1"/>
  <c r="I229" i="15"/>
  <c r="I230" i="15" l="1"/>
  <c r="J229" i="15"/>
  <c r="K229" i="15" s="1"/>
  <c r="I231" i="15" l="1"/>
  <c r="J230" i="15"/>
  <c r="K230" i="15" s="1"/>
  <c r="I232" i="15" l="1"/>
  <c r="J231" i="15"/>
  <c r="K231" i="15" s="1"/>
  <c r="I233" i="15" l="1"/>
  <c r="J232" i="15"/>
  <c r="K232" i="15" s="1"/>
  <c r="I234" i="15" l="1"/>
  <c r="J233" i="15"/>
  <c r="K233" i="15" s="1"/>
  <c r="I235" i="15" l="1"/>
  <c r="J234" i="15"/>
  <c r="K234" i="15" s="1"/>
  <c r="I236" i="15" l="1"/>
  <c r="J235" i="15"/>
  <c r="K235" i="15" s="1"/>
  <c r="I237" i="15" l="1"/>
  <c r="J236" i="15"/>
  <c r="K236" i="15" s="1"/>
  <c r="I238" i="15" l="1"/>
  <c r="J237" i="15"/>
  <c r="K237" i="15" s="1"/>
  <c r="I239" i="15" l="1"/>
  <c r="J238" i="15"/>
  <c r="K238" i="15" s="1"/>
  <c r="I240" i="15" l="1"/>
  <c r="J239" i="15"/>
  <c r="K239" i="15" s="1"/>
  <c r="I241" i="15" l="1"/>
  <c r="J240" i="15"/>
  <c r="K240" i="15" s="1"/>
  <c r="I242" i="15" l="1"/>
  <c r="J241" i="15"/>
  <c r="K241" i="15" s="1"/>
  <c r="I243" i="15" l="1"/>
  <c r="J242" i="15"/>
  <c r="K242" i="15" s="1"/>
  <c r="I244" i="15" l="1"/>
  <c r="J243" i="15"/>
  <c r="K243" i="15" s="1"/>
  <c r="I245" i="15" l="1"/>
  <c r="J244" i="15"/>
  <c r="K244" i="15" s="1"/>
  <c r="I246" i="15" l="1"/>
  <c r="J245" i="15"/>
  <c r="K245" i="15" s="1"/>
  <c r="I247" i="15" l="1"/>
  <c r="J246" i="15"/>
  <c r="K246" i="15" s="1"/>
  <c r="I248" i="15" l="1"/>
  <c r="J247" i="15"/>
  <c r="K247" i="15" s="1"/>
  <c r="I249" i="15" l="1"/>
  <c r="J248" i="15"/>
  <c r="K248" i="15" s="1"/>
  <c r="I250" i="15" l="1"/>
  <c r="J249" i="15"/>
  <c r="K249" i="15" s="1"/>
  <c r="I251" i="15" l="1"/>
  <c r="J250" i="15"/>
  <c r="K250" i="15" s="1"/>
  <c r="I252" i="15" l="1"/>
  <c r="J251" i="15"/>
  <c r="K251" i="15" s="1"/>
  <c r="I253" i="15" l="1"/>
  <c r="J252" i="15"/>
  <c r="K252" i="15" s="1"/>
  <c r="I254" i="15" l="1"/>
  <c r="J253" i="15"/>
  <c r="K253" i="15" s="1"/>
  <c r="I255" i="15" l="1"/>
  <c r="J254" i="15"/>
  <c r="K254" i="15" s="1"/>
  <c r="I256" i="15" l="1"/>
  <c r="J255" i="15"/>
  <c r="K255" i="15" s="1"/>
  <c r="I257" i="15" l="1"/>
  <c r="J256" i="15"/>
  <c r="K256" i="15" s="1"/>
  <c r="I258" i="15" l="1"/>
  <c r="J257" i="15"/>
  <c r="K257" i="15" s="1"/>
  <c r="I259" i="15" l="1"/>
  <c r="J258" i="15"/>
  <c r="K258" i="15" s="1"/>
  <c r="I260" i="15" l="1"/>
  <c r="J259" i="15"/>
  <c r="K259" i="15" s="1"/>
  <c r="K28" i="14"/>
  <c r="K31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5" i="14"/>
  <c r="D5" i="14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D45" i="14" s="1"/>
  <c r="I261" i="15" l="1"/>
  <c r="J260" i="15"/>
  <c r="K260" i="15" s="1"/>
  <c r="I262" i="15" l="1"/>
  <c r="J261" i="15"/>
  <c r="K261" i="15" s="1"/>
  <c r="I263" i="15" l="1"/>
  <c r="J262" i="15"/>
  <c r="K262" i="15" s="1"/>
  <c r="I264" i="15" l="1"/>
  <c r="J263" i="15"/>
  <c r="K263" i="15" s="1"/>
  <c r="I265" i="15" l="1"/>
  <c r="J264" i="15"/>
  <c r="K264" i="15" s="1"/>
  <c r="I266" i="15" l="1"/>
  <c r="J265" i="15"/>
  <c r="K265" i="15" s="1"/>
  <c r="I267" i="15" l="1"/>
  <c r="J266" i="15"/>
  <c r="K266" i="15" s="1"/>
  <c r="I268" i="15" l="1"/>
  <c r="J267" i="15"/>
  <c r="K267" i="15" s="1"/>
  <c r="I269" i="15" l="1"/>
  <c r="J268" i="15"/>
  <c r="K268" i="15" s="1"/>
  <c r="I270" i="15" l="1"/>
  <c r="J269" i="15"/>
  <c r="K269" i="15" s="1"/>
  <c r="I271" i="15" l="1"/>
  <c r="J270" i="15"/>
  <c r="K270" i="15" s="1"/>
  <c r="I272" i="15" l="1"/>
  <c r="J271" i="15"/>
  <c r="K271" i="15" s="1"/>
  <c r="I273" i="15" l="1"/>
  <c r="J272" i="15"/>
  <c r="K272" i="15" s="1"/>
  <c r="I274" i="15" l="1"/>
  <c r="J273" i="15"/>
  <c r="K273" i="15" s="1"/>
  <c r="F10" i="13"/>
  <c r="I275" i="15" l="1"/>
  <c r="J274" i="15"/>
  <c r="K274" i="15" s="1"/>
  <c r="E10" i="13"/>
  <c r="I276" i="15" l="1"/>
  <c r="J275" i="15"/>
  <c r="K275" i="15" s="1"/>
  <c r="I277" i="15" l="1"/>
  <c r="J276" i="15"/>
  <c r="K276" i="15" s="1"/>
  <c r="I278" i="15" l="1"/>
  <c r="J277" i="15"/>
  <c r="K277" i="15" s="1"/>
  <c r="N27" i="12"/>
  <c r="N26" i="12"/>
  <c r="N25" i="12"/>
  <c r="N24" i="12"/>
  <c r="N23" i="12"/>
  <c r="N22" i="12"/>
  <c r="N21" i="12"/>
  <c r="N20" i="12"/>
  <c r="N19" i="12"/>
  <c r="N18" i="12"/>
  <c r="N17" i="11"/>
  <c r="F7" i="10" s="1"/>
  <c r="N18" i="11"/>
  <c r="F8" i="10" s="1"/>
  <c r="N19" i="11"/>
  <c r="F9" i="10" s="1"/>
  <c r="G9" i="10" s="1"/>
  <c r="N20" i="11"/>
  <c r="F10" i="10" s="1"/>
  <c r="N21" i="11"/>
  <c r="F11" i="10" s="1"/>
  <c r="N22" i="11"/>
  <c r="F12" i="10" s="1"/>
  <c r="G12" i="10" s="1"/>
  <c r="N23" i="11"/>
  <c r="F13" i="10" s="1"/>
  <c r="G13" i="10" s="1"/>
  <c r="N24" i="11"/>
  <c r="F14" i="10" s="1"/>
  <c r="N25" i="11"/>
  <c r="F15" i="10" s="1"/>
  <c r="N26" i="11"/>
  <c r="F16" i="10" s="1"/>
  <c r="E24" i="10"/>
  <c r="G15" i="10" l="1"/>
  <c r="G11" i="10"/>
  <c r="G14" i="10"/>
  <c r="G10" i="10"/>
  <c r="G16" i="10"/>
  <c r="G8" i="10"/>
  <c r="F23" i="16"/>
  <c r="D11" i="10"/>
  <c r="R19" i="12"/>
  <c r="F20" i="16"/>
  <c r="D8" i="10"/>
  <c r="D9" i="10"/>
  <c r="F21" i="16"/>
  <c r="D13" i="10"/>
  <c r="F25" i="16"/>
  <c r="F19" i="16"/>
  <c r="G19" i="16" s="1"/>
  <c r="R18" i="12"/>
  <c r="D7" i="10"/>
  <c r="D15" i="10"/>
  <c r="E15" i="10" s="1"/>
  <c r="F27" i="16"/>
  <c r="R23" i="12"/>
  <c r="F24" i="16"/>
  <c r="S23" i="12"/>
  <c r="D12" i="10"/>
  <c r="R27" i="12"/>
  <c r="D16" i="10"/>
  <c r="E17" i="10" s="1"/>
  <c r="F28" i="16"/>
  <c r="R28" i="12"/>
  <c r="R21" i="12"/>
  <c r="F22" i="16"/>
  <c r="G22" i="16" s="1"/>
  <c r="D10" i="10"/>
  <c r="R25" i="12"/>
  <c r="D14" i="10"/>
  <c r="F26" i="16"/>
  <c r="R22" i="12"/>
  <c r="R26" i="12"/>
  <c r="R20" i="12"/>
  <c r="R24" i="12"/>
  <c r="I279" i="15"/>
  <c r="J278" i="15"/>
  <c r="K278" i="15" s="1"/>
  <c r="E22" i="10"/>
  <c r="E20" i="10"/>
  <c r="E21" i="10"/>
  <c r="E18" i="10"/>
  <c r="E19" i="10"/>
  <c r="C7" i="10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E8" i="10" l="1"/>
  <c r="E12" i="10"/>
  <c r="E13" i="10"/>
  <c r="E14" i="10"/>
  <c r="E7" i="10"/>
  <c r="G27" i="16"/>
  <c r="E9" i="10"/>
  <c r="E11" i="10"/>
  <c r="E16" i="10"/>
  <c r="G23" i="16"/>
  <c r="E10" i="10"/>
  <c r="G28" i="16"/>
  <c r="G29" i="16"/>
  <c r="G26" i="16"/>
  <c r="G25" i="16"/>
  <c r="G24" i="16"/>
  <c r="G21" i="16"/>
  <c r="G20" i="16"/>
  <c r="I280" i="15"/>
  <c r="J279" i="15"/>
  <c r="K279" i="15" s="1"/>
  <c r="C10" i="5"/>
  <c r="C9" i="5" s="1"/>
  <c r="C8" i="5" s="1"/>
  <c r="C7" i="5" s="1"/>
  <c r="C6" i="5" s="1"/>
  <c r="C5" i="5" s="1"/>
  <c r="I281" i="15" l="1"/>
  <c r="J280" i="15"/>
  <c r="K280" i="15" s="1"/>
  <c r="I282" i="15" l="1"/>
  <c r="J281" i="15"/>
  <c r="K281" i="15" s="1"/>
  <c r="I283" i="15" l="1"/>
  <c r="J282" i="15"/>
  <c r="K282" i="15" s="1"/>
  <c r="I284" i="15" l="1"/>
  <c r="J283" i="15"/>
  <c r="K283" i="15" s="1"/>
  <c r="I285" i="15" l="1"/>
  <c r="J284" i="15"/>
  <c r="K284" i="15" s="1"/>
  <c r="I286" i="15" l="1"/>
  <c r="J285" i="15"/>
  <c r="K285" i="15" s="1"/>
  <c r="I287" i="15" l="1"/>
  <c r="J286" i="15"/>
  <c r="K286" i="15" s="1"/>
  <c r="I288" i="15" l="1"/>
  <c r="J287" i="15"/>
  <c r="K287" i="15" s="1"/>
  <c r="I289" i="15" l="1"/>
  <c r="J288" i="15"/>
  <c r="K288" i="15" s="1"/>
  <c r="I290" i="15" l="1"/>
  <c r="J289" i="15"/>
  <c r="K289" i="15" s="1"/>
  <c r="I291" i="15" l="1"/>
  <c r="J290" i="15"/>
  <c r="K290" i="15" s="1"/>
  <c r="I292" i="15" l="1"/>
  <c r="J291" i="15"/>
  <c r="K291" i="15" s="1"/>
  <c r="I293" i="15" l="1"/>
  <c r="J292" i="15"/>
  <c r="K292" i="15" s="1"/>
  <c r="I294" i="15" l="1"/>
  <c r="J293" i="15"/>
  <c r="K293" i="15" s="1"/>
  <c r="I295" i="15" l="1"/>
  <c r="J294" i="15"/>
  <c r="K294" i="15" s="1"/>
  <c r="I296" i="15" l="1"/>
  <c r="J295" i="15"/>
  <c r="K295" i="15" s="1"/>
  <c r="I297" i="15" l="1"/>
  <c r="J296" i="15"/>
  <c r="K296" i="15" s="1"/>
  <c r="I298" i="15" l="1"/>
  <c r="J297" i="15"/>
  <c r="K297" i="15" s="1"/>
  <c r="D6" i="7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E26" i="7" l="1"/>
  <c r="E25" i="7"/>
  <c r="E23" i="7"/>
  <c r="I299" i="15"/>
  <c r="J298" i="15"/>
  <c r="K298" i="15" s="1"/>
  <c r="I300" i="15" l="1"/>
  <c r="J299" i="15"/>
  <c r="K299" i="15" s="1"/>
  <c r="C12" i="5"/>
  <c r="C13" i="5" s="1"/>
  <c r="C14" i="5" s="1"/>
  <c r="C15" i="5" s="1"/>
  <c r="C16" i="5" s="1"/>
  <c r="C17" i="5" s="1"/>
  <c r="C18" i="5" s="1"/>
  <c r="C19" i="5" s="1"/>
  <c r="C20" i="5" s="1"/>
  <c r="C21" i="5" s="1"/>
  <c r="D107" i="6"/>
  <c r="C107" i="6"/>
  <c r="H106" i="6"/>
  <c r="D106" i="6"/>
  <c r="C106" i="6"/>
  <c r="I105" i="6"/>
  <c r="D105" i="6"/>
  <c r="C105" i="6"/>
  <c r="H104" i="6"/>
  <c r="D104" i="6"/>
  <c r="C104" i="6"/>
  <c r="D103" i="6"/>
  <c r="C103" i="6"/>
  <c r="D102" i="6"/>
  <c r="C102" i="6"/>
  <c r="I101" i="6"/>
  <c r="D101" i="6"/>
  <c r="C101" i="6"/>
  <c r="H100" i="6"/>
  <c r="D100" i="6"/>
  <c r="C100" i="6"/>
  <c r="D99" i="6"/>
  <c r="C99" i="6"/>
  <c r="D98" i="6"/>
  <c r="C98" i="6"/>
  <c r="I97" i="6"/>
  <c r="D97" i="6"/>
  <c r="C97" i="6"/>
  <c r="H96" i="6"/>
  <c r="D96" i="6"/>
  <c r="C96" i="6"/>
  <c r="D95" i="6"/>
  <c r="C95" i="6"/>
  <c r="H94" i="6"/>
  <c r="D94" i="6"/>
  <c r="C94" i="6"/>
  <c r="I93" i="6"/>
  <c r="D93" i="6"/>
  <c r="C93" i="6"/>
  <c r="H92" i="6"/>
  <c r="D92" i="6"/>
  <c r="C92" i="6"/>
  <c r="D91" i="6"/>
  <c r="C91" i="6"/>
  <c r="D90" i="6"/>
  <c r="C90" i="6"/>
  <c r="I89" i="6"/>
  <c r="D89" i="6"/>
  <c r="C89" i="6"/>
  <c r="H88" i="6"/>
  <c r="D88" i="6"/>
  <c r="C88" i="6"/>
  <c r="D87" i="6"/>
  <c r="C87" i="6"/>
  <c r="D86" i="6"/>
  <c r="C86" i="6"/>
  <c r="I85" i="6"/>
  <c r="D85" i="6"/>
  <c r="C85" i="6"/>
  <c r="H84" i="6"/>
  <c r="D84" i="6"/>
  <c r="C84" i="6"/>
  <c r="H83" i="6"/>
  <c r="D83" i="6"/>
  <c r="C83" i="6"/>
  <c r="H82" i="6"/>
  <c r="D82" i="6"/>
  <c r="C82" i="6"/>
  <c r="I81" i="6"/>
  <c r="D81" i="6"/>
  <c r="C81" i="6"/>
  <c r="H80" i="6"/>
  <c r="D80" i="6"/>
  <c r="C80" i="6"/>
  <c r="H79" i="6"/>
  <c r="D79" i="6"/>
  <c r="C79" i="6"/>
  <c r="H78" i="6"/>
  <c r="D78" i="6"/>
  <c r="C78" i="6"/>
  <c r="I77" i="6"/>
  <c r="D77" i="6"/>
  <c r="C77" i="6"/>
  <c r="H76" i="6"/>
  <c r="D76" i="6"/>
  <c r="C76" i="6"/>
  <c r="D75" i="6"/>
  <c r="C75" i="6"/>
  <c r="H74" i="6"/>
  <c r="D74" i="6"/>
  <c r="C74" i="6"/>
  <c r="I73" i="6"/>
  <c r="D73" i="6"/>
  <c r="C73" i="6"/>
  <c r="D72" i="6"/>
  <c r="C72" i="6"/>
  <c r="D71" i="6"/>
  <c r="C71" i="6"/>
  <c r="H70" i="6"/>
  <c r="D70" i="6"/>
  <c r="C70" i="6"/>
  <c r="I69" i="6"/>
  <c r="D69" i="6"/>
  <c r="C69" i="6"/>
  <c r="D68" i="6"/>
  <c r="C68" i="6"/>
  <c r="D67" i="6"/>
  <c r="C67" i="6"/>
  <c r="H66" i="6"/>
  <c r="D66" i="6"/>
  <c r="C66" i="6"/>
  <c r="I65" i="6"/>
  <c r="D65" i="6"/>
  <c r="C65" i="6"/>
  <c r="D64" i="6"/>
  <c r="C64" i="6"/>
  <c r="D63" i="6"/>
  <c r="C63" i="6"/>
  <c r="D62" i="6"/>
  <c r="C62" i="6"/>
  <c r="D61" i="6"/>
  <c r="C61" i="6"/>
  <c r="P22" i="1"/>
  <c r="P16" i="1"/>
  <c r="P15" i="1"/>
  <c r="P14" i="1"/>
  <c r="F46" i="6"/>
  <c r="H45" i="6"/>
  <c r="F45" i="6"/>
  <c r="H44" i="6"/>
  <c r="F44" i="6"/>
  <c r="H43" i="6"/>
  <c r="F43" i="6"/>
  <c r="H42" i="6"/>
  <c r="F42" i="6"/>
  <c r="H41" i="6"/>
  <c r="F41" i="6"/>
  <c r="H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G12" i="6"/>
  <c r="D6" i="5" l="1"/>
  <c r="F6" i="5" s="1"/>
  <c r="G6" i="7"/>
  <c r="I6" i="7" s="1"/>
  <c r="J6" i="7" s="1"/>
  <c r="D5" i="5"/>
  <c r="F5" i="5" s="1"/>
  <c r="G5" i="7"/>
  <c r="I5" i="7" s="1"/>
  <c r="J5" i="7" s="1"/>
  <c r="D7" i="5"/>
  <c r="F7" i="5" s="1"/>
  <c r="G7" i="7"/>
  <c r="I7" i="7" s="1"/>
  <c r="J7" i="7" s="1"/>
  <c r="P43" i="1"/>
  <c r="F98" i="6"/>
  <c r="F102" i="6"/>
  <c r="H46" i="6"/>
  <c r="H47" i="6"/>
  <c r="H69" i="6"/>
  <c r="G70" i="6"/>
  <c r="F86" i="6"/>
  <c r="F90" i="6"/>
  <c r="G62" i="6"/>
  <c r="G71" i="6"/>
  <c r="G74" i="6"/>
  <c r="F61" i="6"/>
  <c r="D18" i="5" s="1"/>
  <c r="F18" i="5" s="1"/>
  <c r="H51" i="6"/>
  <c r="H73" i="6"/>
  <c r="G75" i="6"/>
  <c r="G107" i="6"/>
  <c r="G67" i="6"/>
  <c r="I301" i="15"/>
  <c r="J300" i="15"/>
  <c r="K300" i="15" s="1"/>
  <c r="G106" i="6"/>
  <c r="F51" i="6"/>
  <c r="P17" i="1"/>
  <c r="Q18" i="1" s="1"/>
  <c r="R18" i="1" s="1"/>
  <c r="I60" i="6"/>
  <c r="P26" i="1"/>
  <c r="P44" i="1" s="1"/>
  <c r="F25" i="5"/>
  <c r="H67" i="6"/>
  <c r="H71" i="6"/>
  <c r="H75" i="6"/>
  <c r="G90" i="6"/>
  <c r="G91" i="6"/>
  <c r="H93" i="6"/>
  <c r="G94" i="6"/>
  <c r="G95" i="6"/>
  <c r="H97" i="6"/>
  <c r="G98" i="6"/>
  <c r="G99" i="6"/>
  <c r="H101" i="6"/>
  <c r="G102" i="6"/>
  <c r="G103" i="6"/>
  <c r="H107" i="6"/>
  <c r="F62" i="6"/>
  <c r="P24" i="1"/>
  <c r="G66" i="6"/>
  <c r="H52" i="6"/>
  <c r="G63" i="6"/>
  <c r="P25" i="1"/>
  <c r="F47" i="6"/>
  <c r="F50" i="6"/>
  <c r="H62" i="6"/>
  <c r="H63" i="6"/>
  <c r="F78" i="6"/>
  <c r="F82" i="6"/>
  <c r="G86" i="6"/>
  <c r="G87" i="6"/>
  <c r="H90" i="6"/>
  <c r="H91" i="6"/>
  <c r="H95" i="6"/>
  <c r="H98" i="6"/>
  <c r="H99" i="6"/>
  <c r="H102" i="6"/>
  <c r="H103" i="6"/>
  <c r="I61" i="6"/>
  <c r="F24" i="5"/>
  <c r="P23" i="1"/>
  <c r="P42" i="1" s="1"/>
  <c r="F94" i="6"/>
  <c r="D8" i="5"/>
  <c r="F8" i="5" s="1"/>
  <c r="G8" i="7"/>
  <c r="I8" i="7" s="1"/>
  <c r="J8" i="7" s="1"/>
  <c r="H48" i="6"/>
  <c r="F66" i="6"/>
  <c r="F70" i="6"/>
  <c r="F74" i="6"/>
  <c r="G78" i="6"/>
  <c r="G79" i="6"/>
  <c r="H81" i="6"/>
  <c r="G82" i="6"/>
  <c r="G83" i="6"/>
  <c r="H86" i="6"/>
  <c r="H87" i="6"/>
  <c r="F106" i="6"/>
  <c r="H64" i="6"/>
  <c r="F64" i="6"/>
  <c r="G64" i="6"/>
  <c r="G65" i="6"/>
  <c r="H68" i="6"/>
  <c r="G69" i="6"/>
  <c r="F68" i="6"/>
  <c r="G68" i="6"/>
  <c r="F53" i="6"/>
  <c r="H53" i="6"/>
  <c r="I64" i="6"/>
  <c r="F65" i="6"/>
  <c r="H49" i="6"/>
  <c r="H50" i="6"/>
  <c r="F49" i="6"/>
  <c r="I68" i="6"/>
  <c r="F69" i="6"/>
  <c r="H60" i="6"/>
  <c r="G61" i="6"/>
  <c r="G13" i="6"/>
  <c r="H72" i="6"/>
  <c r="G73" i="6"/>
  <c r="F72" i="6"/>
  <c r="F73" i="6"/>
  <c r="G72" i="6"/>
  <c r="I72" i="6"/>
  <c r="I76" i="6"/>
  <c r="I80" i="6"/>
  <c r="I84" i="6"/>
  <c r="F89" i="6"/>
  <c r="I96" i="6"/>
  <c r="I100" i="6"/>
  <c r="I63" i="6"/>
  <c r="I67" i="6"/>
  <c r="I71" i="6"/>
  <c r="I75" i="6"/>
  <c r="G77" i="6"/>
  <c r="F80" i="6"/>
  <c r="G81" i="6"/>
  <c r="I87" i="6"/>
  <c r="F88" i="6"/>
  <c r="G89" i="6"/>
  <c r="I95" i="6"/>
  <c r="I99" i="6"/>
  <c r="F100" i="6"/>
  <c r="G101" i="6"/>
  <c r="I103" i="6"/>
  <c r="F104" i="6"/>
  <c r="G105" i="6"/>
  <c r="I107" i="6"/>
  <c r="F48" i="6"/>
  <c r="F52" i="6"/>
  <c r="H61" i="6"/>
  <c r="I62" i="6"/>
  <c r="F63" i="6"/>
  <c r="H65" i="6"/>
  <c r="I66" i="6"/>
  <c r="F67" i="6"/>
  <c r="I70" i="6"/>
  <c r="F71" i="6"/>
  <c r="I74" i="6"/>
  <c r="F75" i="6"/>
  <c r="G76" i="6"/>
  <c r="H77" i="6"/>
  <c r="I78" i="6"/>
  <c r="F79" i="6"/>
  <c r="G80" i="6"/>
  <c r="I82" i="6"/>
  <c r="F83" i="6"/>
  <c r="G84" i="6"/>
  <c r="H85" i="6"/>
  <c r="I86" i="6"/>
  <c r="F87" i="6"/>
  <c r="G88" i="6"/>
  <c r="H89" i="6"/>
  <c r="I90" i="6"/>
  <c r="F91" i="6"/>
  <c r="G92" i="6"/>
  <c r="I94" i="6"/>
  <c r="F95" i="6"/>
  <c r="G96" i="6"/>
  <c r="I98" i="6"/>
  <c r="F99" i="6"/>
  <c r="G100" i="6"/>
  <c r="I102" i="6"/>
  <c r="F103" i="6"/>
  <c r="G104" i="6"/>
  <c r="H105" i="6"/>
  <c r="I106" i="6"/>
  <c r="F107" i="6"/>
  <c r="F77" i="6"/>
  <c r="F81" i="6"/>
  <c r="F85" i="6"/>
  <c r="I88" i="6"/>
  <c r="I92" i="6"/>
  <c r="F93" i="6"/>
  <c r="F97" i="6"/>
  <c r="F101" i="6"/>
  <c r="I104" i="6"/>
  <c r="F105" i="6"/>
  <c r="F76" i="6"/>
  <c r="I79" i="6"/>
  <c r="I83" i="6"/>
  <c r="F84" i="6"/>
  <c r="G85" i="6"/>
  <c r="I91" i="6"/>
  <c r="F92" i="6"/>
  <c r="G93" i="6"/>
  <c r="F96" i="6"/>
  <c r="G97" i="6"/>
  <c r="P38" i="1" l="1"/>
  <c r="G18" i="7"/>
  <c r="I18" i="7" s="1"/>
  <c r="J18" i="7" s="1"/>
  <c r="Q19" i="1"/>
  <c r="R19" i="1" s="1"/>
  <c r="Q20" i="1"/>
  <c r="R20" i="1" s="1"/>
  <c r="Q17" i="1"/>
  <c r="R17" i="1" s="1"/>
  <c r="I302" i="15"/>
  <c r="J301" i="15"/>
  <c r="K301" i="15" s="1"/>
  <c r="G15" i="7"/>
  <c r="I15" i="7" s="1"/>
  <c r="J15" i="7" s="1"/>
  <c r="D15" i="5"/>
  <c r="F15" i="5" s="1"/>
  <c r="Q25" i="1"/>
  <c r="R25" i="1" s="1"/>
  <c r="G21" i="7"/>
  <c r="I21" i="7" s="1"/>
  <c r="J21" i="7" s="1"/>
  <c r="D21" i="5"/>
  <c r="F21" i="5" s="1"/>
  <c r="D9" i="5"/>
  <c r="F9" i="5" s="1"/>
  <c r="G9" i="7"/>
  <c r="I9" i="7" s="1"/>
  <c r="J9" i="7" s="1"/>
  <c r="Q26" i="1"/>
  <c r="R26" i="1" s="1"/>
  <c r="G20" i="7"/>
  <c r="I20" i="7" s="1"/>
  <c r="J20" i="7" s="1"/>
  <c r="D20" i="5"/>
  <c r="F20" i="5" s="1"/>
  <c r="G14" i="7"/>
  <c r="I14" i="7" s="1"/>
  <c r="J14" i="7" s="1"/>
  <c r="D14" i="5"/>
  <c r="F14" i="5" s="1"/>
  <c r="G11" i="7"/>
  <c r="I11" i="7" s="1"/>
  <c r="J11" i="7" s="1"/>
  <c r="D11" i="5"/>
  <c r="F11" i="5" s="1"/>
  <c r="Q23" i="1"/>
  <c r="R23" i="1" s="1"/>
  <c r="Q24" i="1"/>
  <c r="R24" i="1" s="1"/>
  <c r="D10" i="5"/>
  <c r="F10" i="5" s="1"/>
  <c r="G10" i="7"/>
  <c r="I10" i="7" s="1"/>
  <c r="J10" i="7" s="1"/>
  <c r="G12" i="7"/>
  <c r="I12" i="7" s="1"/>
  <c r="J12" i="7" s="1"/>
  <c r="D12" i="5"/>
  <c r="F12" i="5" s="1"/>
  <c r="G19" i="7"/>
  <c r="I19" i="7" s="1"/>
  <c r="J19" i="7" s="1"/>
  <c r="D19" i="5"/>
  <c r="F19" i="5" s="1"/>
  <c r="G13" i="7"/>
  <c r="I13" i="7" s="1"/>
  <c r="J13" i="7" s="1"/>
  <c r="D13" i="5"/>
  <c r="F13" i="5" s="1"/>
  <c r="I303" i="15" l="1"/>
  <c r="J302" i="15"/>
  <c r="K302" i="15" s="1"/>
  <c r="A20" i="1"/>
  <c r="A21" i="1" s="1"/>
  <c r="A22" i="1" s="1"/>
  <c r="A23" i="1" s="1"/>
  <c r="A24" i="1" s="1"/>
  <c r="A25" i="1" s="1"/>
  <c r="A26" i="1" s="1"/>
  <c r="I304" i="15" l="1"/>
  <c r="J303" i="15"/>
  <c r="K303" i="15" s="1"/>
  <c r="I305" i="15" l="1"/>
  <c r="J304" i="15"/>
  <c r="K304" i="15" s="1"/>
  <c r="I306" i="15" l="1"/>
  <c r="J305" i="15"/>
  <c r="K305" i="15" s="1"/>
  <c r="B8" i="1"/>
  <c r="I307" i="15" l="1"/>
  <c r="J306" i="15"/>
  <c r="K306" i="15" s="1"/>
  <c r="I308" i="15" l="1"/>
  <c r="J307" i="15"/>
  <c r="K307" i="15" s="1"/>
  <c r="I309" i="15" l="1"/>
  <c r="J308" i="15"/>
  <c r="K308" i="15" s="1"/>
  <c r="I310" i="15" l="1"/>
  <c r="J309" i="15"/>
  <c r="K309" i="15" s="1"/>
  <c r="I311" i="15" l="1"/>
  <c r="J310" i="15"/>
  <c r="K310" i="15" s="1"/>
  <c r="I312" i="15" l="1"/>
  <c r="J311" i="15"/>
  <c r="K311" i="15" s="1"/>
  <c r="I313" i="15" l="1"/>
  <c r="J312" i="15"/>
  <c r="K312" i="15" s="1"/>
  <c r="I314" i="15" l="1"/>
  <c r="J313" i="15"/>
  <c r="K313" i="15" s="1"/>
  <c r="I315" i="15" l="1"/>
  <c r="J314" i="15"/>
  <c r="K314" i="15" s="1"/>
  <c r="I316" i="15" l="1"/>
  <c r="J315" i="15"/>
  <c r="K315" i="15" s="1"/>
  <c r="I317" i="15" l="1"/>
  <c r="J316" i="15"/>
  <c r="K316" i="15" s="1"/>
  <c r="I318" i="15" l="1"/>
  <c r="J317" i="15"/>
  <c r="K317" i="15" s="1"/>
  <c r="I319" i="15" l="1"/>
  <c r="J318" i="15"/>
  <c r="K318" i="15" s="1"/>
  <c r="I320" i="15" l="1"/>
  <c r="J319" i="15"/>
  <c r="K319" i="15" s="1"/>
  <c r="I321" i="15" l="1"/>
  <c r="J320" i="15"/>
  <c r="K320" i="15" s="1"/>
  <c r="I322" i="15" l="1"/>
  <c r="J321" i="15"/>
  <c r="K321" i="15" s="1"/>
  <c r="I323" i="15" l="1"/>
  <c r="J322" i="15"/>
  <c r="K322" i="15" s="1"/>
  <c r="I324" i="15" l="1"/>
  <c r="J324" i="15" s="1"/>
  <c r="K324" i="15" s="1"/>
  <c r="J323" i="15"/>
  <c r="K323" i="15" s="1"/>
  <c r="I17" i="8" l="1"/>
  <c r="I15" i="8"/>
  <c r="I13" i="8"/>
  <c r="C41" i="8" l="1"/>
  <c r="G41" i="8"/>
  <c r="D43" i="8"/>
  <c r="E43" i="8"/>
  <c r="H43" i="8"/>
  <c r="C43" i="8"/>
  <c r="F43" i="8"/>
  <c r="G43" i="8"/>
  <c r="H41" i="8"/>
  <c r="E41" i="8"/>
  <c r="F41" i="8"/>
  <c r="I14" i="8"/>
  <c r="J14" i="8" s="1"/>
  <c r="D41" i="8"/>
  <c r="I16" i="8"/>
  <c r="J16" i="8" s="1"/>
  <c r="J17" i="8" l="1"/>
  <c r="J15" i="8"/>
  <c r="D44" i="8"/>
  <c r="I56" i="8"/>
  <c r="I57" i="8"/>
  <c r="D42" i="8"/>
  <c r="I54" i="8"/>
  <c r="I55" i="8"/>
  <c r="I41" i="8"/>
  <c r="E44" i="8"/>
  <c r="H44" i="8"/>
  <c r="G44" i="8"/>
  <c r="C44" i="8"/>
  <c r="F44" i="8"/>
  <c r="C42" i="8"/>
  <c r="K14" i="8"/>
  <c r="L14" i="8" s="1"/>
  <c r="E42" i="8"/>
  <c r="H42" i="8"/>
  <c r="F42" i="8"/>
  <c r="G42" i="8"/>
  <c r="I43" i="8"/>
  <c r="L24" i="1" l="1"/>
  <c r="I42" i="8"/>
  <c r="I44" i="8"/>
  <c r="L25" i="1"/>
  <c r="L26" i="1"/>
  <c r="L23" i="1"/>
  <c r="D54" i="6" l="1"/>
  <c r="P41" i="1"/>
  <c r="P35" i="1"/>
  <c r="Q29" i="1"/>
  <c r="P34" i="1"/>
  <c r="P30" i="1"/>
  <c r="P33" i="1"/>
  <c r="P29" i="1"/>
  <c r="Q30" i="1"/>
  <c r="Q33" i="1"/>
  <c r="P36" i="1"/>
  <c r="Q34" i="1"/>
  <c r="Q22" i="1"/>
  <c r="R22" i="1" s="1"/>
  <c r="P31" i="1"/>
  <c r="Q21" i="1"/>
  <c r="R21" i="1" s="1"/>
  <c r="G10" i="6" l="1"/>
  <c r="F60" i="6"/>
  <c r="D60" i="6"/>
  <c r="C60" i="6"/>
  <c r="F12" i="6" s="1"/>
  <c r="G8" i="6"/>
  <c r="J54" i="6"/>
  <c r="H54" i="6"/>
  <c r="G60" i="6"/>
  <c r="F54" i="6"/>
  <c r="F13" i="6" l="1"/>
  <c r="G17" i="7"/>
  <c r="D17" i="5"/>
  <c r="F17" i="5" s="1"/>
  <c r="D16" i="5"/>
  <c r="F16" i="5" s="1"/>
  <c r="H16" i="5" s="1"/>
  <c r="G16" i="7"/>
  <c r="F10" i="6"/>
  <c r="F8" i="6"/>
  <c r="G23" i="7" l="1"/>
  <c r="I17" i="7"/>
  <c r="J17" i="7" s="1"/>
  <c r="I16" i="7"/>
  <c r="J16" i="7" s="1"/>
  <c r="G25" i="7"/>
  <c r="G26" i="7"/>
  <c r="E11" i="23" l="1"/>
  <c r="H11" i="23"/>
  <c r="E12" i="23"/>
  <c r="H12" i="23"/>
  <c r="F16" i="1" l="1"/>
  <c r="T14" i="1"/>
  <c r="M27" i="1" l="1"/>
  <c r="H15" i="1"/>
  <c r="F17" i="1"/>
  <c r="H16" i="1"/>
  <c r="M42" i="1"/>
  <c r="M38" i="1"/>
  <c r="M47" i="1"/>
  <c r="N23" i="1"/>
  <c r="M48" i="1"/>
  <c r="T23" i="1"/>
  <c r="N17" i="1"/>
  <c r="T17" i="1"/>
  <c r="C17" i="1"/>
  <c r="H17" i="1"/>
  <c r="T22" i="1"/>
  <c r="T18" i="1"/>
  <c r="N18" i="1"/>
  <c r="E45" i="1"/>
  <c r="E43" i="1"/>
  <c r="F20" i="1"/>
  <c r="T20" i="1"/>
  <c r="M45" i="1"/>
  <c r="H20" i="23"/>
  <c r="M43" i="1"/>
  <c r="N20" i="1"/>
  <c r="F18" i="1"/>
  <c r="F19" i="1"/>
  <c r="T15" i="1"/>
  <c r="U15" i="1" s="1"/>
  <c r="N15" i="1"/>
  <c r="N26" i="1"/>
  <c r="M44" i="1"/>
  <c r="T26" i="1"/>
  <c r="H6" i="23"/>
  <c r="E6" i="23"/>
  <c r="H7" i="23"/>
  <c r="E7" i="23"/>
  <c r="N19" i="1"/>
  <c r="T19" i="1"/>
  <c r="H19" i="1"/>
  <c r="C19" i="1"/>
  <c r="T16" i="1"/>
  <c r="N16" i="1"/>
  <c r="H14" i="1"/>
  <c r="T25" i="1"/>
  <c r="N25" i="1"/>
  <c r="B45" i="1"/>
  <c r="H20" i="1"/>
  <c r="B43" i="1"/>
  <c r="C20" i="1"/>
  <c r="N24" i="1"/>
  <c r="T24" i="1"/>
  <c r="H8" i="23"/>
  <c r="E8" i="23"/>
  <c r="H4" i="23"/>
  <c r="E4" i="23"/>
  <c r="H5" i="23"/>
  <c r="E5" i="23"/>
  <c r="H18" i="1"/>
  <c r="C18" i="1"/>
  <c r="B50" i="1"/>
  <c r="I16" i="1" l="1"/>
  <c r="I15" i="1"/>
  <c r="U18" i="1"/>
  <c r="I17" i="1"/>
  <c r="U25" i="1"/>
  <c r="I18" i="1"/>
  <c r="U19" i="1"/>
  <c r="U16" i="1"/>
  <c r="U23" i="1"/>
  <c r="T42" i="1"/>
  <c r="T38" i="1"/>
  <c r="B31" i="1"/>
  <c r="C24" i="1"/>
  <c r="C22" i="1"/>
  <c r="B44" i="1"/>
  <c r="H26" i="1"/>
  <c r="B30" i="1"/>
  <c r="C26" i="1"/>
  <c r="B41" i="1"/>
  <c r="C21" i="1"/>
  <c r="B36" i="1"/>
  <c r="B33" i="1"/>
  <c r="B35" i="1"/>
  <c r="B34" i="1"/>
  <c r="N39" i="1" s="1"/>
  <c r="H21" i="1"/>
  <c r="T43" i="1"/>
  <c r="U20" i="1"/>
  <c r="N38" i="1"/>
  <c r="H43" i="1"/>
  <c r="I20" i="1"/>
  <c r="I45" i="1" s="1"/>
  <c r="H45" i="1"/>
  <c r="T44" i="1"/>
  <c r="U26" i="1"/>
  <c r="H25" i="1"/>
  <c r="C25" i="1"/>
  <c r="B48" i="1"/>
  <c r="B42" i="1"/>
  <c r="C23" i="1"/>
  <c r="C38" i="1" s="1"/>
  <c r="B47" i="1"/>
  <c r="B29" i="1"/>
  <c r="B38" i="1"/>
  <c r="E44" i="1"/>
  <c r="E30" i="1"/>
  <c r="F26" i="1"/>
  <c r="E41" i="1"/>
  <c r="E35" i="1"/>
  <c r="E33" i="1"/>
  <c r="F21" i="1"/>
  <c r="F41" i="1" s="1"/>
  <c r="E36" i="1"/>
  <c r="E34" i="1"/>
  <c r="H9" i="23"/>
  <c r="E9" i="23"/>
  <c r="U24" i="1"/>
  <c r="I19" i="1"/>
  <c r="U17" i="1"/>
  <c r="H23" i="1"/>
  <c r="F22" i="1"/>
  <c r="H22" i="1" l="1"/>
  <c r="I23" i="1" s="1"/>
  <c r="I38" i="1" s="1"/>
  <c r="H38" i="1"/>
  <c r="H29" i="1"/>
  <c r="H47" i="1"/>
  <c r="H42" i="1"/>
  <c r="H48" i="1"/>
  <c r="H13" i="23"/>
  <c r="E13" i="23"/>
  <c r="E48" i="1"/>
  <c r="E29" i="1"/>
  <c r="E38" i="1"/>
  <c r="E42" i="1"/>
  <c r="F23" i="1"/>
  <c r="F38" i="1" s="1"/>
  <c r="E47" i="1"/>
  <c r="D16" i="23"/>
  <c r="E31" i="1"/>
  <c r="F24" i="1"/>
  <c r="H41" i="1"/>
  <c r="H33" i="1"/>
  <c r="H34" i="1"/>
  <c r="I21" i="1"/>
  <c r="I41" i="1" s="1"/>
  <c r="H35" i="1"/>
  <c r="H36" i="1"/>
  <c r="H14" i="23"/>
  <c r="E14" i="23"/>
  <c r="F25" i="1"/>
  <c r="M41" i="1"/>
  <c r="M35" i="1"/>
  <c r="M33" i="1"/>
  <c r="T21" i="1"/>
  <c r="T31" i="1" s="1"/>
  <c r="M34" i="1"/>
  <c r="N21" i="1"/>
  <c r="N41" i="1" s="1"/>
  <c r="M36" i="1"/>
  <c r="M29" i="1"/>
  <c r="M31" i="1"/>
  <c r="M30" i="1"/>
  <c r="N22" i="1"/>
  <c r="H15" i="23"/>
  <c r="E15" i="23"/>
  <c r="H44" i="1"/>
  <c r="H30" i="1"/>
  <c r="I26" i="1"/>
  <c r="H24" i="1"/>
  <c r="I25" i="1" s="1"/>
  <c r="E10" i="23"/>
  <c r="H10" i="23"/>
  <c r="I22" i="1" l="1"/>
  <c r="H16" i="23"/>
  <c r="I16" i="23" s="1"/>
  <c r="T41" i="1"/>
  <c r="U21" i="1"/>
  <c r="T34" i="1"/>
  <c r="T33" i="1"/>
  <c r="T36" i="1"/>
  <c r="T35" i="1"/>
  <c r="T29" i="1"/>
  <c r="U22" i="1"/>
  <c r="T30" i="1"/>
  <c r="H31" i="1"/>
  <c r="I24" i="1"/>
  <c r="G53" i="8" l="1"/>
  <c r="G52" i="8"/>
  <c r="H52" i="8" l="1"/>
  <c r="H53" i="8"/>
  <c r="F52" i="8" l="1"/>
  <c r="F53" i="8"/>
  <c r="E48" i="8" l="1"/>
  <c r="E49" i="8" l="1"/>
  <c r="E50" i="8" l="1"/>
  <c r="E51" i="8" l="1"/>
  <c r="E52" i="8" l="1"/>
  <c r="E53" i="8"/>
  <c r="D48" i="8" l="1"/>
  <c r="D49" i="8" l="1"/>
  <c r="D50" i="8" l="1"/>
  <c r="D51" i="8" l="1"/>
  <c r="D52" i="8" l="1"/>
  <c r="D53" i="8"/>
  <c r="I27" i="8" l="1"/>
  <c r="I25" i="8" l="1"/>
  <c r="I24" i="8"/>
  <c r="I23" i="8"/>
  <c r="I26" i="8"/>
  <c r="C50" i="8" l="1"/>
  <c r="I10" i="8"/>
  <c r="C38" i="8" s="1"/>
  <c r="C48" i="8"/>
  <c r="I8" i="8"/>
  <c r="C36" i="8" s="1"/>
  <c r="I7" i="8"/>
  <c r="C35" i="8" s="1"/>
  <c r="C51" i="8"/>
  <c r="I11" i="8"/>
  <c r="C39" i="8" s="1"/>
  <c r="C49" i="8"/>
  <c r="I9" i="8"/>
  <c r="C37" i="8" s="1"/>
  <c r="I48" i="8" l="1"/>
  <c r="G35" i="8"/>
  <c r="H35" i="8"/>
  <c r="F35" i="8"/>
  <c r="E35" i="8"/>
  <c r="D35" i="8"/>
  <c r="G39" i="8"/>
  <c r="H39" i="8"/>
  <c r="F39" i="8"/>
  <c r="I51" i="8"/>
  <c r="J11" i="8"/>
  <c r="E39" i="8"/>
  <c r="D39" i="8"/>
  <c r="J10" i="8"/>
  <c r="H38" i="8"/>
  <c r="G38" i="8"/>
  <c r="F38" i="8"/>
  <c r="I50" i="8"/>
  <c r="E38" i="8"/>
  <c r="D38" i="8"/>
  <c r="J9" i="8"/>
  <c r="G37" i="8"/>
  <c r="I49" i="8"/>
  <c r="H37" i="8"/>
  <c r="F37" i="8"/>
  <c r="E37" i="8"/>
  <c r="D37" i="8"/>
  <c r="G36" i="8"/>
  <c r="H36" i="8"/>
  <c r="F36" i="8"/>
  <c r="J8" i="8"/>
  <c r="E36" i="8"/>
  <c r="D36" i="8"/>
  <c r="I37" i="8" l="1"/>
  <c r="I35" i="8"/>
  <c r="I38" i="8"/>
  <c r="I36" i="8"/>
  <c r="I39" i="8"/>
  <c r="I28" i="8" l="1"/>
  <c r="C52" i="8" l="1"/>
  <c r="C53" i="8"/>
  <c r="I12" i="8"/>
  <c r="J13" i="8" l="1"/>
  <c r="I53" i="8"/>
  <c r="J12" i="8"/>
  <c r="I52" i="8"/>
  <c r="G40" i="8"/>
  <c r="H40" i="8"/>
  <c r="F40" i="8"/>
  <c r="E40" i="8"/>
  <c r="I40" i="8" s="1"/>
  <c r="D40" i="8"/>
  <c r="C40" i="8"/>
  <c r="K45" i="1" l="1"/>
  <c r="K42" i="1"/>
  <c r="K38" i="1"/>
  <c r="K44" i="1"/>
  <c r="L20" i="1"/>
  <c r="K47" i="1"/>
  <c r="K48" i="1"/>
  <c r="K43" i="1" l="1"/>
  <c r="L45" i="1"/>
  <c r="L38" i="1"/>
  <c r="L18" i="1" l="1"/>
  <c r="L19" i="1"/>
  <c r="K31" i="1" l="1"/>
  <c r="L22" i="1"/>
  <c r="K30" i="1"/>
  <c r="K35" i="1"/>
  <c r="K36" i="1"/>
  <c r="K29" i="1"/>
  <c r="K34" i="1"/>
  <c r="L21" i="1"/>
  <c r="L36" i="1" s="1"/>
  <c r="K41" i="1"/>
  <c r="K33" i="1"/>
</calcChain>
</file>

<file path=xl/sharedStrings.xml><?xml version="1.0" encoding="utf-8"?>
<sst xmlns="http://schemas.openxmlformats.org/spreadsheetml/2006/main" count="1596" uniqueCount="314">
  <si>
    <t>WN Actual 2013</t>
  </si>
  <si>
    <t>Forecast</t>
  </si>
  <si>
    <t>Variance</t>
  </si>
  <si>
    <t>Accurracy of the Last Test Year Filing</t>
  </si>
  <si>
    <t>WN NEL</t>
  </si>
  <si>
    <t>2015-2017 CAGR</t>
  </si>
  <si>
    <t>2015-2020 CAGR</t>
  </si>
  <si>
    <t>2013-2015 CAGR</t>
  </si>
  <si>
    <t>LCEC</t>
  </si>
  <si>
    <t>2011-2015</t>
  </si>
  <si>
    <t>Weather-Normalized Billed Sales</t>
  </si>
  <si>
    <t>Residential</t>
  </si>
  <si>
    <t>Commercial</t>
  </si>
  <si>
    <t>Industrial</t>
  </si>
  <si>
    <t>Street &amp; Highway</t>
  </si>
  <si>
    <t>Railroads &amp; Railways</t>
  </si>
  <si>
    <t>Other</t>
  </si>
  <si>
    <t>Total Retail</t>
  </si>
  <si>
    <t>Wholesale</t>
  </si>
  <si>
    <t>NEL</t>
  </si>
  <si>
    <t>R2</t>
  </si>
  <si>
    <t>MAPE</t>
  </si>
  <si>
    <t>Sales</t>
  </si>
  <si>
    <t>Customers</t>
  </si>
  <si>
    <t>Total</t>
  </si>
  <si>
    <t>Small Commercial</t>
  </si>
  <si>
    <t>Med Commercial</t>
  </si>
  <si>
    <t>Large Comm</t>
  </si>
  <si>
    <t>TOTAL AVERAGE CUSTOMERS</t>
  </si>
  <si>
    <t>AVERAGE ANNUAL GROWTH</t>
  </si>
  <si>
    <t>HISTORY (1980 to 2015)</t>
  </si>
  <si>
    <t>HISTORY (1990 to 2015)</t>
  </si>
  <si>
    <t>Based on 2015 TYSP (2016 to 2025)</t>
  </si>
  <si>
    <t>Based on Current Forecast (2016 to 2025)</t>
  </si>
  <si>
    <t>HISTORY</t>
  </si>
  <si>
    <t>Growth</t>
  </si>
  <si>
    <t>Absolute</t>
  </si>
  <si>
    <t>%</t>
  </si>
  <si>
    <t>FORECAST</t>
  </si>
  <si>
    <t>Customer Growth</t>
  </si>
  <si>
    <t>UKU Impact</t>
  </si>
  <si>
    <t>w/o UKU</t>
  </si>
  <si>
    <t>NSA</t>
  </si>
  <si>
    <t>chg in inactive</t>
  </si>
  <si>
    <t>Avg 2016-2020</t>
  </si>
  <si>
    <t>Weather Impact</t>
  </si>
  <si>
    <t>Employment</t>
  </si>
  <si>
    <t>GI</t>
  </si>
  <si>
    <t>BLS</t>
  </si>
  <si>
    <t>State and Area Employment, Hours, and Earnings</t>
  </si>
  <si>
    <t>Original Data Value</t>
  </si>
  <si>
    <t>Series Id:</t>
  </si>
  <si>
    <t>SMS12000000000000001</t>
  </si>
  <si>
    <t>Seasonally Adjusted</t>
  </si>
  <si>
    <t>State:</t>
  </si>
  <si>
    <t>Florida</t>
  </si>
  <si>
    <t>Area:</t>
  </si>
  <si>
    <t>Statewide</t>
  </si>
  <si>
    <t>Supersector:</t>
  </si>
  <si>
    <t>Total Nonfarm</t>
  </si>
  <si>
    <t>Industry:</t>
  </si>
  <si>
    <t>Data Type:</t>
  </si>
  <si>
    <t>All Employees, In Thousands</t>
  </si>
  <si>
    <t>Years:</t>
  </si>
  <si>
    <t>2005 to 2015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</si>
  <si>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</si>
  <si>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</si>
  <si>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</si>
  <si>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</si>
  <si>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</si>
  <si>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</si>
  <si>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</si>
  <si>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</si>
  <si>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</si>
  <si>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</si>
  <si>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</si>
  <si>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</si>
  <si>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</si>
  <si>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Recovery in its 5th year</t>
  </si>
  <si>
    <t>some deceleration in growth</t>
  </si>
  <si>
    <t>SMU12000000000000001</t>
  </si>
  <si>
    <t>Not Seasonally Adjusted</t>
  </si>
  <si>
    <t>2013-2017 Increase</t>
  </si>
  <si>
    <t>2014-2020 Increase</t>
  </si>
  <si>
    <t>WN Billed Retail Sales</t>
  </si>
  <si>
    <t>WN Retail Delivered Sales</t>
  </si>
  <si>
    <t>2012-2015 CAGR</t>
  </si>
  <si>
    <t xml:space="preserve"> NEL</t>
  </si>
  <si>
    <t xml:space="preserve"> CDH</t>
  </si>
  <si>
    <t xml:space="preserve"> HDD</t>
  </si>
  <si>
    <t>Actual</t>
  </si>
  <si>
    <t>Wn Retail Sales per Customer</t>
  </si>
  <si>
    <t>CAGE 2015-2020</t>
  </si>
  <si>
    <t>CAGR 2012-2015</t>
  </si>
  <si>
    <t>1990 to current</t>
  </si>
  <si>
    <t>Month/Year</t>
  </si>
  <si>
    <t>Series ID</t>
  </si>
  <si>
    <t>Period</t>
  </si>
  <si>
    <t>Value</t>
  </si>
  <si>
    <t>Annual Change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</si>
  <si>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</si>
  <si>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</si>
  <si>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</si>
  <si>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</si>
  <si>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</si>
  <si>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</si>
  <si>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</si>
  <si>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</si>
  <si>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</si>
  <si>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</si>
  <si>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</si>
  <si>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</si>
  <si>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Calendar Days</t>
  </si>
  <si>
    <t>total-MWH</t>
  </si>
  <si>
    <t>Monthly MWH</t>
  </si>
  <si>
    <t>weight</t>
  </si>
  <si>
    <t>check from FORECAST worksheet</t>
  </si>
  <si>
    <t xml:space="preserve">FPL EV  Forecast </t>
  </si>
  <si>
    <t xml:space="preserve">LDV Forecast </t>
  </si>
  <si>
    <t>Revised</t>
  </si>
  <si>
    <t xml:space="preserve">Truck Forecast </t>
  </si>
  <si>
    <t>FPL LDV</t>
  </si>
  <si>
    <t>FPL Truck</t>
  </si>
  <si>
    <t>FPL Total EV</t>
  </si>
  <si>
    <t>Incremental MWh</t>
  </si>
  <si>
    <t>Base Revenue</t>
  </si>
  <si>
    <t>US Cumulative</t>
  </si>
  <si>
    <t>US Annual Change</t>
  </si>
  <si>
    <t>FL Cumulative</t>
  </si>
  <si>
    <t>FL Annual Change</t>
  </si>
  <si>
    <t>FPL Cumulative</t>
  </si>
  <si>
    <t>FPL Annual Change</t>
  </si>
  <si>
    <t>FPL as a % of National</t>
  </si>
  <si>
    <t>US EV Growth Rate</t>
  </si>
  <si>
    <t>Previous FPL Forecast</t>
  </si>
  <si>
    <t>Forecast Change</t>
  </si>
  <si>
    <t>2011*</t>
  </si>
  <si>
    <t>2011¹</t>
  </si>
  <si>
    <t>2012*</t>
  </si>
  <si>
    <t>2012²</t>
  </si>
  <si>
    <t>2013*</t>
  </si>
  <si>
    <t>2014*</t>
  </si>
  <si>
    <t>*Actual sales numbers</t>
  </si>
  <si>
    <t>Peak Assumptions:</t>
  </si>
  <si>
    <t>Truck Annual Assumptions</t>
  </si>
  <si>
    <t>Vehicle Demand</t>
  </si>
  <si>
    <t>kW</t>
  </si>
  <si>
    <t>LDV Assumptions</t>
  </si>
  <si>
    <t>% HD Truck</t>
  </si>
  <si>
    <t>No one appears to be making or estimating Class 8 trucks</t>
  </si>
  <si>
    <t>Percent Charging at:</t>
  </si>
  <si>
    <t>Charge days</t>
  </si>
  <si>
    <t>% MD Truck</t>
  </si>
  <si>
    <t>based on the relative number of busses verses HD and MD trucks as per U.S Freight Transportation Forecast to 2024 and http://www.fhwa.dot.gov/policyinformation/statistics/2010/mv1.cfm bus count</t>
  </si>
  <si>
    <t>WP</t>
  </si>
  <si>
    <t>7-8 AM</t>
  </si>
  <si>
    <t>Avg miles driven/day</t>
  </si>
  <si>
    <t>2009 EP Household Transportation Study, p23</t>
  </si>
  <si>
    <t>% Bus</t>
  </si>
  <si>
    <t>SP</t>
  </si>
  <si>
    <t>4-5 PM</t>
  </si>
  <si>
    <t>Miles per Kwh</t>
  </si>
  <si>
    <t>Based on Experience to date with the fleet EVs</t>
  </si>
  <si>
    <t>Operating Days/YR HD</t>
  </si>
  <si>
    <t>N/A</t>
  </si>
  <si>
    <t>Avg Kwh/day</t>
  </si>
  <si>
    <t>Operating Days/YR MD</t>
  </si>
  <si>
    <t>Truck Demand</t>
  </si>
  <si>
    <t xml:space="preserve">Base revenue </t>
  </si>
  <si>
    <t>Operating Days/YR BUS</t>
  </si>
  <si>
    <t>Busses average 36,424 per year - http://www.apta.com/resources/statistics/Documents/FactBook/APTA_2012_Fact%20Book.pdf; assumed 100 miles per day based on discussions with CCW and busses they have deployed in Utah.</t>
  </si>
  <si>
    <t>Miles per Day - HD</t>
  </si>
  <si>
    <t>Miles per Day - MD</t>
  </si>
  <si>
    <t xml:space="preserve">average miles per day class 4-7; year 2024; U.S Freight Transportation Forecast to 2024 by the American trucking Association via http://fleetowner.com/site-files/fleetowner.com/files/uploads/2013/07/future-trucking.jpg </t>
  </si>
  <si>
    <t>Miles per Day - BUS</t>
  </si>
  <si>
    <r>
      <t>Source: </t>
    </r>
    <r>
      <rPr>
        <u/>
        <sz val="10"/>
        <color rgb="FF183C56"/>
        <rFont val="Arial"/>
        <family val="2"/>
      </rPr>
      <t>Federal Highway Administration</t>
    </r>
    <r>
      <rPr>
        <sz val="10"/>
        <color rgb="FF333333"/>
        <rFont val="Arial"/>
        <family val="2"/>
      </rPr>
      <t> Table VM-1 </t>
    </r>
    <r>
      <rPr>
        <u/>
        <sz val="10"/>
        <color rgb="FF183C56"/>
        <rFont val="Arial"/>
        <family val="2"/>
      </rPr>
      <t>American Public Transit Association's Public Transportation Fact Book</t>
    </r>
    <r>
      <rPr>
        <sz val="10"/>
        <color rgb="FF333333"/>
        <rFont val="Arial"/>
        <family val="2"/>
      </rPr>
      <t> Tables 8, 16, and 21 plus interview with CCW</t>
    </r>
  </si>
  <si>
    <t>Bus Demand</t>
  </si>
  <si>
    <t>Based on conversations with Proterra and stated charge rates by BYD and CCW</t>
  </si>
  <si>
    <t>2013 est</t>
  </si>
  <si>
    <t>Avg miles/Kwh HD</t>
  </si>
  <si>
    <t>Avg miles/Kwh MD</t>
  </si>
  <si>
    <t>based on a stated  100 mile range on 120kWh battery for a Smith Newton; FPL id getting 80 miles on an 80kWh battery on its E-Stars (1mile/kWh)</t>
  </si>
  <si>
    <t>2014 est</t>
  </si>
  <si>
    <t>Avg miles/Kwh BUS</t>
  </si>
  <si>
    <t>based on Complete Coachworks(CCW) estimates of 85/115 miles range on 213/242kWh battery</t>
  </si>
  <si>
    <t>(GSLD-1 base rate)</t>
  </si>
  <si>
    <t>W/N NEL - Wholesale</t>
  </si>
  <si>
    <t>Calendar NEL</t>
  </si>
  <si>
    <t>Wholesale NEL</t>
  </si>
  <si>
    <t>Retail NEL</t>
  </si>
  <si>
    <t>W/N NEL</t>
  </si>
  <si>
    <t>Retail Delivered</t>
  </si>
  <si>
    <t>W/N Retail Delivered</t>
  </si>
  <si>
    <t>Weather</t>
  </si>
  <si>
    <t>Avg Retail</t>
  </si>
  <si>
    <t>W/N Ret Del %</t>
  </si>
  <si>
    <t>W/N Retail Delivered 12mos avg</t>
  </si>
  <si>
    <t>Customers 12 mos average</t>
  </si>
  <si>
    <t>12 mos use per customer</t>
  </si>
  <si>
    <t>% Change</t>
  </si>
  <si>
    <t>Total Delivered</t>
  </si>
  <si>
    <t>2008</t>
  </si>
  <si>
    <t>2009</t>
  </si>
  <si>
    <t>2010</t>
  </si>
  <si>
    <t>2011</t>
  </si>
  <si>
    <t>2012</t>
  </si>
  <si>
    <t>2013</t>
  </si>
  <si>
    <t>2014</t>
  </si>
  <si>
    <t>WN Retail NEL</t>
  </si>
  <si>
    <t>2009-2015 CAGR</t>
  </si>
  <si>
    <t>2014-2017 CAGR</t>
  </si>
  <si>
    <t>2010-2015 CAGR</t>
  </si>
  <si>
    <t>2010-2014 CAGR</t>
  </si>
  <si>
    <t>2014-2020 CAGR</t>
  </si>
  <si>
    <t>2008-2014 CAGR</t>
  </si>
  <si>
    <t>Cumulative 2013-2017</t>
  </si>
  <si>
    <t>2015-2018 CAGR</t>
  </si>
  <si>
    <t>Billed Sales (mWh)</t>
  </si>
  <si>
    <t>2014 Actual</t>
  </si>
  <si>
    <t>Prior</t>
  </si>
  <si>
    <t>INCLUDE 2014 DATA</t>
  </si>
  <si>
    <t>CHECK &gt;&gt;&gt;&gt;</t>
  </si>
  <si>
    <t>Sales Growth (%)</t>
  </si>
  <si>
    <t>Year/Month</t>
  </si>
  <si>
    <t>Florida Keys</t>
  </si>
  <si>
    <t>Key West</t>
  </si>
  <si>
    <t>Lee County</t>
  </si>
  <si>
    <t>Metro Dade</t>
  </si>
  <si>
    <t>Seminole Agreement</t>
  </si>
  <si>
    <t>Wauchula</t>
  </si>
  <si>
    <t>City of Blountstown</t>
  </si>
  <si>
    <t>Winter Park</t>
  </si>
  <si>
    <t>New Smyrna Beach</t>
  </si>
  <si>
    <t>Total Wholesale</t>
  </si>
  <si>
    <t>2014 YTD</t>
  </si>
  <si>
    <t>2013 YTD</t>
  </si>
  <si>
    <t>Delivered Sales (mWh)</t>
  </si>
  <si>
    <t>Delivered Sales Growth (%)</t>
  </si>
  <si>
    <t>NEL (mWh)</t>
  </si>
  <si>
    <t>NEL Growth (%)</t>
  </si>
  <si>
    <t>Peaks (MW)</t>
  </si>
  <si>
    <t>Peak Forecast Variance</t>
  </si>
  <si>
    <t>Notes:</t>
  </si>
  <si>
    <t>Billed sales is consumption from prior month.</t>
  </si>
  <si>
    <t>Lee County billed sales is prior month consumption grossed up for losses.</t>
  </si>
  <si>
    <t>Demands are based on the actual month of consumption, unlike billed sales.</t>
  </si>
  <si>
    <t>Compared to LF Forecast</t>
  </si>
  <si>
    <t>Corp Forecast</t>
  </si>
  <si>
    <t>ABS</t>
  </si>
  <si>
    <t>Revised Forecast</t>
  </si>
  <si>
    <t>YTD Totals</t>
  </si>
  <si>
    <t>2020 Cumulative since 2013</t>
  </si>
  <si>
    <t>2017 Cumulative since 2017</t>
  </si>
  <si>
    <t>FloridaKeys</t>
  </si>
  <si>
    <t>KeyWest</t>
  </si>
  <si>
    <t>Metro-Dade</t>
  </si>
  <si>
    <t>Seminole</t>
  </si>
  <si>
    <t>Homestead</t>
  </si>
  <si>
    <t>Quincy</t>
  </si>
  <si>
    <t xml:space="preserve">Total Wholesale </t>
  </si>
  <si>
    <t>FMPA</t>
  </si>
  <si>
    <t>Annual Jun-Jul</t>
  </si>
  <si>
    <t>(not included in total)</t>
  </si>
  <si>
    <t>Note: FKEC uses 2008 expansion factor. (RF:1-27-2011)</t>
  </si>
  <si>
    <t>2009 Loss Study Energy Expansion Factor</t>
  </si>
  <si>
    <t>Average (July 2001-June 2011</t>
  </si>
  <si>
    <t>CHECK TOTAL</t>
  </si>
  <si>
    <t>NET ENERGY FOR LOAD</t>
  </si>
  <si>
    <t>AVERAGE ANNUAL FLORIDA POPULATION (Based on average of monthly data)</t>
  </si>
  <si>
    <t>Max</t>
  </si>
  <si>
    <t>Min</t>
  </si>
  <si>
    <t>per capita income</t>
  </si>
  <si>
    <t>REAL PER CAPITA INCOME (Thousands 2009$)</t>
  </si>
  <si>
    <t>HISTORY (1982 to 2015)</t>
  </si>
  <si>
    <t>2015 TYSP Forecast</t>
  </si>
  <si>
    <t>Current Forecast</t>
  </si>
  <si>
    <t xml:space="preserve">Delta </t>
  </si>
  <si>
    <t>(Thousands 2009$)</t>
  </si>
  <si>
    <t>REAL PER CAPITA INCOME (Thousands 2009$) Weighted by Percent Employed</t>
  </si>
  <si>
    <t xml:space="preserve">Summer Peak </t>
  </si>
  <si>
    <t>DW</t>
  </si>
  <si>
    <t>Winter Peak</t>
  </si>
  <si>
    <t>Forecasted 2013 Test Year</t>
  </si>
  <si>
    <t>CAGR 1015-2020</t>
  </si>
  <si>
    <t>2013 - 2020 Growth</t>
  </si>
  <si>
    <t>2015 YTD</t>
  </si>
  <si>
    <t>2015 YTD - AVG</t>
  </si>
  <si>
    <t>Blountstown</t>
  </si>
  <si>
    <t>Total Wholesale NEL</t>
  </si>
  <si>
    <t>OPC 010509</t>
  </si>
  <si>
    <t>FPL RC-16</t>
  </si>
  <si>
    <t>OPC 010510</t>
  </si>
  <si>
    <t>OPC 010511</t>
  </si>
  <si>
    <t>OPC 010512</t>
  </si>
  <si>
    <t>OPC 010513</t>
  </si>
  <si>
    <t>OPC 010514</t>
  </si>
  <si>
    <t>OPC 010515</t>
  </si>
  <si>
    <t>OPC 010516</t>
  </si>
  <si>
    <t>OPC 010517</t>
  </si>
  <si>
    <t>OPC 010518</t>
  </si>
  <si>
    <t>OPC 010519</t>
  </si>
  <si>
    <t>OPC 010520</t>
  </si>
  <si>
    <t>OPC 010521</t>
  </si>
  <si>
    <t>OPC 010522</t>
  </si>
  <si>
    <t>OPC 010523</t>
  </si>
  <si>
    <t>OPC 010524</t>
  </si>
  <si>
    <t>OPC 010525</t>
  </si>
  <si>
    <t>OPC 010526</t>
  </si>
  <si>
    <t>OPC 010527</t>
  </si>
  <si>
    <t>OPC 010528</t>
  </si>
  <si>
    <t>OPC 010529</t>
  </si>
  <si>
    <t>OPC 010530</t>
  </si>
  <si>
    <t>OPC 010531</t>
  </si>
  <si>
    <t>OPC 010532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</si>
</sst>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00"/>
    <numFmt numFmtId="167" formatCode="_(&quot;$&quot;* #,##0_);_(&quot;$&quot;* \(#,##0\);_(&quot;$&quot;* &quot;-&quot;??_);_(@_)"/>
    <numFmt numFmtId="168" formatCode="#0.0"/>
    <numFmt numFmtId="169" formatCode="mmm\ yyyy"/>
    <numFmt numFmtId="170" formatCode="_(* #,##0.0_);_(* \(#,##0.0\);_(* &quot;-&quot;??_);_(@_)"/>
    <numFmt numFmtId="171" formatCode="_-* #,##0.00\ _D_M_-;\-* #,##0.00\ _D_M_-;_-* &quot;-&quot;??\ _D_M_-;_-@_-"/>
    <numFmt numFmtId="172" formatCode="0.0000%"/>
    <numFmt numFmtId="173" formatCode="#,##0.0"/>
    <numFmt numFmtId="174" formatCode="[$-409]mmm\-yy;@"/>
    <numFmt numFmtId="175" formatCode="&quot;$&quot;#,##0.000"/>
    <numFmt numFmtId="176" formatCode="#,##0.00%"/>
    <numFmt numFmtId="177" formatCode="&quot;£&quot;#,##0_);[Red]\(&quot;£&quot;#,##0\)"/>
    <numFmt numFmtId="178" formatCode="0.000_)"/>
    <numFmt numFmtId="179" formatCode="_-&quot;£&quot;* #,##0.00_-;\-&quot;£&quot;* #,##0.00_-;_-&quot;£&quot;* &quot;-&quot;??_-;_-@_-"/>
    <numFmt numFmtId="180" formatCode="yyyy:mm"/>
    <numFmt numFmtId="181" formatCode="#,##0.0000"/>
    <numFmt numFmtId="182" formatCode="#,##0.0000000_);[Red]\(#,##0.0000000\)"/>
    <numFmt numFmtId="183" formatCode="0.000%"/>
    <numFmt numFmtId="184" formatCode="0.0"/>
    <numFmt numFmtId="185" formatCode="_(* #,##0.0000_);_(* \(#,##0.0000\);_(* &quot;-&quot;??_);_(@_)"/>
    <numFmt numFmtId="186" formatCode="0.000;\-0.000"/>
  </numFmts>
  <fonts count="96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3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Arial"/>
      <family val="2"/>
    </font>
    <font>
      <u/>
      <sz val="10"/>
      <color rgb="FF183C56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9"/>
      <name val="Verdana"/>
      <family val="2"/>
    </font>
    <font>
      <sz val="11"/>
      <name val="Tms Rmn"/>
      <family val="1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8"/>
      <name val="Helv"/>
    </font>
    <font>
      <b/>
      <sz val="19"/>
      <name val="Arial"/>
      <family val="2"/>
    </font>
    <font>
      <b/>
      <sz val="10"/>
      <color indexed="9"/>
      <name val="Verdana"/>
      <family val="2"/>
    </font>
    <font>
      <b/>
      <sz val="8"/>
      <color indexed="8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12"/>
      <color indexed="1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0061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2"/>
      <name val="Arial"/>
      <family val="2"/>
    </font>
    <font>
      <sz val="10"/>
      <name val="Arial MT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Times New Roman"/>
      <family val="1"/>
    </font>
  </fonts>
  <fills count="8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 style="thick">
        <color theme="4"/>
      </top>
      <bottom style="thick">
        <color theme="4" tint="0.499984740745262"/>
      </bottom>
      <diagonal/>
    </border>
    <border>
      <left/>
      <right/>
      <top style="thick">
        <color theme="4"/>
      </top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9" fillId="2" borderId="2" applyNumberFormat="0" applyProtection="0">
      <alignment vertical="center"/>
    </xf>
    <xf numFmtId="4" fontId="10" fillId="3" borderId="2" applyNumberFormat="0" applyProtection="0">
      <alignment vertical="center"/>
    </xf>
    <xf numFmtId="4" fontId="9" fillId="3" borderId="2" applyNumberFormat="0" applyProtection="0">
      <alignment horizontal="left" vertical="center" indent="1"/>
    </xf>
    <xf numFmtId="0" fontId="9" fillId="3" borderId="2" applyNumberFormat="0" applyProtection="0">
      <alignment horizontal="left" vertical="top" indent="1"/>
    </xf>
    <xf numFmtId="4" fontId="11" fillId="0" borderId="0" applyNumberFormat="0" applyProtection="0">
      <alignment horizontal="left"/>
    </xf>
    <xf numFmtId="4" fontId="12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2" fillId="5" borderId="2" applyNumberFormat="0" applyProtection="0">
      <alignment horizontal="right" vertical="center"/>
    </xf>
    <xf numFmtId="4" fontId="12" fillId="5" borderId="2" applyNumberFormat="0" applyProtection="0">
      <alignment horizontal="right" vertical="center"/>
    </xf>
    <xf numFmtId="4" fontId="12" fillId="6" borderId="2" applyNumberFormat="0" applyProtection="0">
      <alignment horizontal="right" vertical="center"/>
    </xf>
    <xf numFmtId="4" fontId="12" fillId="6" borderId="2" applyNumberFormat="0" applyProtection="0">
      <alignment horizontal="right" vertical="center"/>
    </xf>
    <xf numFmtId="4" fontId="12" fillId="7" borderId="2" applyNumberFormat="0" applyProtection="0">
      <alignment horizontal="right" vertical="center"/>
    </xf>
    <xf numFmtId="4" fontId="12" fillId="7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9" fillId="13" borderId="3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3" fillId="14" borderId="0" applyNumberFormat="0" applyProtection="0">
      <alignment horizontal="left" vertical="center" indent="1"/>
    </xf>
    <xf numFmtId="4" fontId="12" fillId="15" borderId="2" applyNumberFormat="0" applyProtection="0">
      <alignment horizontal="right" vertical="center"/>
    </xf>
    <xf numFmtId="4" fontId="12" fillId="15" borderId="2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0" fontId="14" fillId="14" borderId="2" applyNumberFormat="0" applyProtection="0">
      <alignment horizontal="left" vertical="center" indent="1"/>
    </xf>
    <xf numFmtId="0" fontId="3" fillId="14" borderId="2" applyNumberFormat="0" applyProtection="0">
      <alignment horizontal="left" vertical="top" indent="1"/>
    </xf>
    <xf numFmtId="0" fontId="3" fillId="16" borderId="2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3" fillId="16" borderId="2" applyNumberFormat="0" applyProtection="0">
      <alignment horizontal="left" vertical="top" indent="1"/>
    </xf>
    <xf numFmtId="0" fontId="3" fillId="17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7" borderId="2" applyNumberFormat="0" applyProtection="0">
      <alignment horizontal="left" vertical="top" indent="1"/>
    </xf>
    <xf numFmtId="0" fontId="3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top" indent="1"/>
    </xf>
    <xf numFmtId="0" fontId="3" fillId="0" borderId="0"/>
    <xf numFmtId="4" fontId="12" fillId="19" borderId="2" applyNumberFormat="0" applyProtection="0">
      <alignment vertical="center"/>
    </xf>
    <xf numFmtId="4" fontId="12" fillId="19" borderId="2" applyNumberFormat="0" applyProtection="0">
      <alignment vertical="center"/>
    </xf>
    <xf numFmtId="4" fontId="16" fillId="19" borderId="2" applyNumberFormat="0" applyProtection="0">
      <alignment vertical="center"/>
    </xf>
    <xf numFmtId="4" fontId="12" fillId="19" borderId="2" applyNumberFormat="0" applyProtection="0">
      <alignment horizontal="left" vertical="center" indent="1"/>
    </xf>
    <xf numFmtId="4" fontId="12" fillId="19" borderId="2" applyNumberFormat="0" applyProtection="0">
      <alignment horizontal="left" vertical="center" indent="1"/>
    </xf>
    <xf numFmtId="0" fontId="12" fillId="19" borderId="2" applyNumberFormat="0" applyProtection="0">
      <alignment horizontal="left" vertical="top" indent="1"/>
    </xf>
    <xf numFmtId="0" fontId="12" fillId="19" borderId="2" applyNumberFormat="0" applyProtection="0">
      <alignment horizontal="left" vertical="top" indent="1"/>
    </xf>
    <xf numFmtId="4" fontId="12" fillId="0" borderId="0" applyNumberFormat="0" applyProtection="0">
      <alignment horizontal="right"/>
    </xf>
    <xf numFmtId="4" fontId="12" fillId="0" borderId="0" applyNumberFormat="0" applyProtection="0">
      <alignment horizontal="right" vertical="justify"/>
    </xf>
    <xf numFmtId="4" fontId="12" fillId="0" borderId="0" applyNumberFormat="0" applyProtection="0">
      <alignment horizontal="right"/>
    </xf>
    <xf numFmtId="4" fontId="12" fillId="0" borderId="0" applyNumberFormat="0" applyProtection="0">
      <alignment horizontal="right" vertical="justify"/>
    </xf>
    <xf numFmtId="4" fontId="9" fillId="0" borderId="4" applyNumberFormat="0" applyProtection="0">
      <alignment horizontal="right" vertical="center"/>
    </xf>
    <xf numFmtId="4" fontId="9" fillId="0" borderId="0" applyNumberFormat="0" applyProtection="0">
      <alignment horizontal="left" vertical="center" wrapText="1" indent="1"/>
    </xf>
    <xf numFmtId="0" fontId="11" fillId="0" borderId="0" applyNumberFormat="0" applyProtection="0">
      <alignment horizontal="center" wrapText="1"/>
    </xf>
    <xf numFmtId="4" fontId="17" fillId="0" borderId="0" applyNumberFormat="0" applyProtection="0">
      <alignment horizontal="left"/>
    </xf>
    <xf numFmtId="4" fontId="18" fillId="0" borderId="0" applyNumberFormat="0" applyProtection="0">
      <alignment horizontal="right"/>
    </xf>
    <xf numFmtId="4" fontId="18" fillId="0" borderId="0" applyNumberFormat="0" applyProtection="0">
      <alignment horizontal="right"/>
    </xf>
    <xf numFmtId="166" fontId="3" fillId="0" borderId="0">
      <alignment horizontal="left" wrapText="1"/>
    </xf>
    <xf numFmtId="9" fontId="3" fillId="0" borderId="0" applyFont="0" applyFill="0" applyBorder="0" applyAlignment="0" applyProtection="0"/>
    <xf numFmtId="0" fontId="22" fillId="0" borderId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0" fillId="23" borderId="0" applyNumberFormat="0" applyBorder="0" applyAlignment="0" applyProtection="0"/>
    <xf numFmtId="0" fontId="2" fillId="24" borderId="0" applyNumberFormat="0" applyBorder="0" applyAlignment="0" applyProtection="0"/>
    <xf numFmtId="166" fontId="3" fillId="0" borderId="0">
      <alignment horizontal="left" wrapText="1"/>
    </xf>
    <xf numFmtId="171" fontId="3" fillId="0" borderId="0" applyFont="0" applyFill="0" applyBorder="0" applyAlignment="0" applyProtection="0"/>
    <xf numFmtId="0" fontId="3" fillId="0" borderId="0"/>
    <xf numFmtId="0" fontId="32" fillId="0" borderId="0"/>
    <xf numFmtId="0" fontId="3" fillId="0" borderId="0"/>
    <xf numFmtId="0" fontId="40" fillId="21" borderId="0" applyNumberFormat="0" applyBorder="0" applyAlignment="0" applyProtection="0"/>
    <xf numFmtId="0" fontId="41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3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3" fillId="36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3" fillId="3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3" fillId="28" borderId="0" applyNumberFormat="0" applyBorder="0" applyAlignment="0" applyProtection="0"/>
    <xf numFmtId="0" fontId="42" fillId="37" borderId="0" applyNumberFormat="0" applyBorder="0" applyAlignment="0" applyProtection="0"/>
    <xf numFmtId="0" fontId="42" fillId="32" borderId="0" applyNumberFormat="0" applyBorder="0" applyAlignment="0" applyProtection="0"/>
    <xf numFmtId="0" fontId="43" fillId="38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6" fontId="3" fillId="0" borderId="0">
      <alignment horizontal="left" wrapText="1"/>
    </xf>
    <xf numFmtId="166" fontId="3" fillId="0" borderId="0">
      <alignment horizontal="left" wrapText="1"/>
    </xf>
    <xf numFmtId="0" fontId="49" fillId="42" borderId="27" applyNumberFormat="0">
      <alignment readingOrder="1"/>
      <protection locked="0"/>
    </xf>
    <xf numFmtId="0" fontId="49" fillId="42" borderId="27" applyNumberFormat="0">
      <alignment readingOrder="1"/>
      <protection locked="0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50" fillId="0" borderId="27" applyNumberFormat="0">
      <alignment readingOrder="1"/>
      <protection locked="0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51" fillId="0" borderId="27" applyNumberFormat="0">
      <alignment readingOrder="1"/>
      <protection locked="0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76" fontId="51" fillId="42" borderId="27">
      <alignment readingOrder="1"/>
      <protection locked="0"/>
    </xf>
    <xf numFmtId="176" fontId="52" fillId="42" borderId="27">
      <alignment readingOrder="1"/>
      <protection locked="0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51" fillId="43" borderId="27" applyNumberFormat="0">
      <alignment readingOrder="1"/>
      <protection locked="0"/>
    </xf>
    <xf numFmtId="4" fontId="51" fillId="44" borderId="27">
      <alignment readingOrder="1"/>
      <protection locked="0"/>
    </xf>
    <xf numFmtId="4" fontId="53" fillId="45" borderId="27">
      <alignment readingOrder="1"/>
      <protection locked="0"/>
    </xf>
    <xf numFmtId="4" fontId="51" fillId="46" borderId="27">
      <alignment readingOrder="1"/>
      <protection locked="0"/>
    </xf>
    <xf numFmtId="4" fontId="53" fillId="45" borderId="27">
      <alignment horizontal="center" readingOrder="1"/>
      <protection locked="0"/>
    </xf>
    <xf numFmtId="4" fontId="51" fillId="46" borderId="27">
      <alignment horizontal="center" readingOrder="1"/>
      <protection locked="0"/>
    </xf>
    <xf numFmtId="0" fontId="51" fillId="44" borderId="27" applyNumberFormat="0">
      <alignment horizontal="center" readingOrder="1"/>
      <protection locked="0"/>
    </xf>
    <xf numFmtId="4" fontId="51" fillId="44" borderId="27">
      <alignment readingOrder="1"/>
      <protection locked="0"/>
    </xf>
    <xf numFmtId="4" fontId="53" fillId="45" borderId="27">
      <alignment readingOrder="1"/>
      <protection locked="0"/>
    </xf>
    <xf numFmtId="4" fontId="51" fillId="46" borderId="27">
      <alignment readingOrder="1"/>
      <protection locked="0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77" fontId="3" fillId="0" borderId="0" applyFill="0" applyBorder="0" applyAlignment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43" fontId="3" fillId="0" borderId="0" applyFont="0" applyFill="0" applyBorder="0" applyAlignment="0" applyProtection="0"/>
    <xf numFmtId="0" fontId="55" fillId="0" borderId="0" applyNumberFormat="0" applyAlignment="0">
      <alignment horizontal="left"/>
    </xf>
    <xf numFmtId="8" fontId="56" fillId="0" borderId="0" applyFont="0" applyFill="0" applyBorder="0" applyAlignment="0" applyProtection="0"/>
    <xf numFmtId="0" fontId="57" fillId="0" borderId="0" applyNumberFormat="0" applyAlignment="0">
      <alignment horizontal="left"/>
    </xf>
    <xf numFmtId="38" fontId="58" fillId="42" borderId="0" applyNumberFormat="0" applyBorder="0" applyAlignment="0" applyProtection="0"/>
    <xf numFmtId="0" fontId="59" fillId="0" borderId="28" applyNumberFormat="0" applyAlignment="0" applyProtection="0">
      <alignment horizontal="left" vertical="center"/>
    </xf>
    <xf numFmtId="0" fontId="59" fillId="0" borderId="29">
      <alignment horizontal="left"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10" fontId="58" fillId="19" borderId="8" applyNumberFormat="0" applyBorder="0" applyAlignment="0" applyProtection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2" fillId="39" borderId="26" applyNumberFormat="0" applyFont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14" fontId="62" fillId="0" borderId="0" applyNumberFormat="0" applyFill="0" applyBorder="0" applyAlignment="0" applyProtection="0">
      <alignment horizontal="left"/>
    </xf>
    <xf numFmtId="4" fontId="12" fillId="3" borderId="30" applyNumberFormat="0" applyProtection="0">
      <alignment vertical="center"/>
    </xf>
    <xf numFmtId="4" fontId="9" fillId="2" borderId="2" applyNumberFormat="0" applyProtection="0">
      <alignment vertical="center"/>
    </xf>
    <xf numFmtId="4" fontId="16" fillId="3" borderId="30" applyNumberFormat="0" applyProtection="0">
      <alignment vertical="center"/>
    </xf>
    <xf numFmtId="4" fontId="12" fillId="3" borderId="30" applyNumberFormat="0" applyProtection="0">
      <alignment horizontal="left" vertical="center" indent="1"/>
    </xf>
    <xf numFmtId="4" fontId="9" fillId="3" borderId="2" applyNumberFormat="0" applyProtection="0">
      <alignment horizontal="left" vertical="center" indent="1"/>
    </xf>
    <xf numFmtId="4" fontId="12" fillId="3" borderId="30" applyNumberFormat="0" applyProtection="0">
      <alignment horizontal="left" vertical="center" indent="1"/>
    </xf>
    <xf numFmtId="0" fontId="9" fillId="3" borderId="2" applyNumberFormat="0" applyProtection="0">
      <alignment horizontal="left" vertical="top" indent="1"/>
    </xf>
    <xf numFmtId="0" fontId="10" fillId="0" borderId="30" applyNumberFormat="0" applyProtection="0">
      <alignment horizontal="left" vertical="center" indent="1"/>
    </xf>
    <xf numFmtId="4" fontId="12" fillId="4" borderId="2" applyNumberFormat="0" applyProtection="0">
      <alignment horizontal="right" vertical="center"/>
    </xf>
    <xf numFmtId="4" fontId="12" fillId="5" borderId="2" applyNumberFormat="0" applyProtection="0">
      <alignment horizontal="right" vertical="center"/>
    </xf>
    <xf numFmtId="4" fontId="12" fillId="6" borderId="2" applyNumberFormat="0" applyProtection="0">
      <alignment horizontal="right" vertical="center"/>
    </xf>
    <xf numFmtId="4" fontId="12" fillId="7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9" fillId="0" borderId="0" applyNumberFormat="0" applyProtection="0">
      <alignment horizontal="left" vertical="center" indent="1"/>
    </xf>
    <xf numFmtId="4" fontId="9" fillId="47" borderId="30" applyNumberFormat="0" applyProtection="0">
      <alignment horizontal="left" vertical="center" indent="1"/>
    </xf>
    <xf numFmtId="4" fontId="9" fillId="13" borderId="3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3" fillId="14" borderId="0" applyNumberFormat="0" applyProtection="0">
      <alignment horizontal="left" vertical="center" indent="1"/>
    </xf>
    <xf numFmtId="4" fontId="13" fillId="14" borderId="0" applyNumberFormat="0" applyProtection="0">
      <alignment horizontal="left" vertical="center" indent="1"/>
    </xf>
    <xf numFmtId="4" fontId="13" fillId="14" borderId="0" applyNumberFormat="0" applyProtection="0">
      <alignment horizontal="left" vertical="center" indent="1"/>
    </xf>
    <xf numFmtId="4" fontId="12" fillId="15" borderId="2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0" fontId="3" fillId="0" borderId="30" applyNumberFormat="0" applyProtection="0">
      <alignment horizontal="left" vertical="center" indent="1"/>
    </xf>
    <xf numFmtId="0" fontId="3" fillId="14" borderId="2" applyNumberFormat="0" applyProtection="0">
      <alignment horizontal="left" vertical="top" indent="1"/>
    </xf>
    <xf numFmtId="0" fontId="3" fillId="48" borderId="30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3" fillId="0" borderId="30" applyNumberFormat="0" applyProtection="0">
      <alignment horizontal="left" vertical="center" indent="1"/>
    </xf>
    <xf numFmtId="0" fontId="3" fillId="16" borderId="2" applyNumberFormat="0" applyProtection="0">
      <alignment horizontal="left" vertical="top" indent="1"/>
    </xf>
    <xf numFmtId="0" fontId="3" fillId="46" borderId="30" applyNumberFormat="0" applyProtection="0">
      <alignment horizontal="left" vertical="center" indent="1"/>
    </xf>
    <xf numFmtId="0" fontId="3" fillId="17" borderId="2" applyNumberFormat="0" applyProtection="0">
      <alignment horizontal="left" vertical="top" indent="1"/>
    </xf>
    <xf numFmtId="0" fontId="3" fillId="42" borderId="30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0" borderId="30" applyNumberFormat="0" applyProtection="0">
      <alignment horizontal="left" vertical="center" indent="1"/>
    </xf>
    <xf numFmtId="0" fontId="3" fillId="18" borderId="2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0" borderId="0"/>
    <xf numFmtId="4" fontId="12" fillId="19" borderId="2" applyNumberFormat="0" applyProtection="0">
      <alignment vertical="center"/>
    </xf>
    <xf numFmtId="4" fontId="16" fillId="19" borderId="30" applyNumberFormat="0" applyProtection="0">
      <alignment vertical="center"/>
    </xf>
    <xf numFmtId="4" fontId="12" fillId="19" borderId="2" applyNumberFormat="0" applyProtection="0">
      <alignment horizontal="left" vertical="center" indent="1"/>
    </xf>
    <xf numFmtId="0" fontId="12" fillId="19" borderId="2" applyNumberFormat="0" applyProtection="0">
      <alignment horizontal="left" vertical="top" indent="1"/>
    </xf>
    <xf numFmtId="4" fontId="12" fillId="0" borderId="0" applyNumberFormat="0" applyProtection="0">
      <alignment horizontal="right" vertical="justify"/>
    </xf>
    <xf numFmtId="4" fontId="12" fillId="0" borderId="0" applyNumberFormat="0" applyProtection="0">
      <alignment horizontal="right"/>
    </xf>
    <xf numFmtId="4" fontId="16" fillId="49" borderId="30" applyNumberFormat="0" applyProtection="0">
      <alignment horizontal="right" vertical="center"/>
    </xf>
    <xf numFmtId="4" fontId="9" fillId="0" borderId="4" applyNumberFormat="0" applyProtection="0">
      <alignment horizontal="right" vertical="center"/>
    </xf>
    <xf numFmtId="0" fontId="3" fillId="43" borderId="30" applyNumberFormat="0" applyProtection="0">
      <alignment horizontal="left" vertical="center" indent="1"/>
    </xf>
    <xf numFmtId="4" fontId="9" fillId="0" borderId="0" applyNumberFormat="0" applyProtection="0">
      <alignment horizontal="left" vertical="center" wrapText="1" indent="1"/>
    </xf>
    <xf numFmtId="0" fontId="14" fillId="0" borderId="30" applyNumberFormat="0" applyProtection="0">
      <alignment horizontal="left" vertical="center" indent="1"/>
    </xf>
    <xf numFmtId="0" fontId="63" fillId="0" borderId="0"/>
    <xf numFmtId="2" fontId="64" fillId="50" borderId="31" applyProtection="0"/>
    <xf numFmtId="2" fontId="51" fillId="51" borderId="31" applyProtection="0"/>
    <xf numFmtId="2" fontId="51" fillId="52" borderId="31" applyProtection="0"/>
    <xf numFmtId="40" fontId="65" fillId="0" borderId="0" applyBorder="0">
      <alignment horizontal="right"/>
    </xf>
    <xf numFmtId="0" fontId="75" fillId="0" borderId="0"/>
    <xf numFmtId="9" fontId="2" fillId="0" borderId="0" applyFont="0" applyFill="0" applyBorder="0" applyAlignment="0" applyProtection="0"/>
    <xf numFmtId="166" fontId="3" fillId="0" borderId="0">
      <alignment horizontal="left" wrapText="1"/>
    </xf>
    <xf numFmtId="0" fontId="2" fillId="21" borderId="0" applyNumberFormat="0" applyBorder="0" applyAlignment="0" applyProtection="0"/>
    <xf numFmtId="0" fontId="40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40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24" borderId="0" applyNumberFormat="0" applyBorder="0" applyAlignment="0" applyProtection="0"/>
    <xf numFmtId="0" fontId="2" fillId="24" borderId="0" applyNumberFormat="0" applyBorder="0" applyAlignment="0" applyProtection="0"/>
    <xf numFmtId="0" fontId="40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40" fillId="67" borderId="0" applyNumberFormat="0" applyBorder="0" applyAlignment="0" applyProtection="0"/>
    <xf numFmtId="0" fontId="2" fillId="67" borderId="0" applyNumberFormat="0" applyBorder="0" applyAlignment="0" applyProtection="0"/>
    <xf numFmtId="0" fontId="40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40" fillId="71" borderId="0" applyNumberFormat="0" applyBorder="0" applyAlignment="0" applyProtection="0"/>
    <xf numFmtId="0" fontId="2" fillId="71" borderId="0" applyNumberFormat="0" applyBorder="0" applyAlignment="0" applyProtection="0"/>
    <xf numFmtId="0" fontId="40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40" fillId="75" borderId="0" applyNumberFormat="0" applyBorder="0" applyAlignment="0" applyProtection="0"/>
    <xf numFmtId="0" fontId="2" fillId="75" borderId="0" applyNumberFormat="0" applyBorder="0" applyAlignment="0" applyProtection="0"/>
    <xf numFmtId="0" fontId="40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40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61" borderId="0" applyNumberFormat="0" applyBorder="0" applyAlignment="0" applyProtection="0"/>
    <xf numFmtId="0" fontId="2" fillId="61" borderId="0" applyNumberFormat="0" applyBorder="0" applyAlignment="0" applyProtection="0"/>
    <xf numFmtId="0" fontId="40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40" fillId="64" borderId="0" applyNumberFormat="0" applyBorder="0" applyAlignment="0" applyProtection="0"/>
    <xf numFmtId="0" fontId="2" fillId="64" borderId="0" applyNumberFormat="0" applyBorder="0" applyAlignment="0" applyProtection="0"/>
    <xf numFmtId="0" fontId="40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40" fillId="68" borderId="0" applyNumberFormat="0" applyBorder="0" applyAlignment="0" applyProtection="0"/>
    <xf numFmtId="0" fontId="2" fillId="68" borderId="0" applyNumberFormat="0" applyBorder="0" applyAlignment="0" applyProtection="0"/>
    <xf numFmtId="0" fontId="40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40" fillId="72" borderId="0" applyNumberFormat="0" applyBorder="0" applyAlignment="0" applyProtection="0"/>
    <xf numFmtId="0" fontId="2" fillId="72" borderId="0" applyNumberFormat="0" applyBorder="0" applyAlignment="0" applyProtection="0"/>
    <xf numFmtId="0" fontId="40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40" fillId="76" borderId="0" applyNumberFormat="0" applyBorder="0" applyAlignment="0" applyProtection="0"/>
    <xf numFmtId="0" fontId="2" fillId="76" borderId="0" applyNumberFormat="0" applyBorder="0" applyAlignment="0" applyProtection="0"/>
    <xf numFmtId="0" fontId="40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30" fillId="23" borderId="0" applyNumberFormat="0" applyBorder="0" applyAlignment="0" applyProtection="0"/>
    <xf numFmtId="0" fontId="41" fillId="62" borderId="0" applyNumberFormat="0" applyBorder="0" applyAlignment="0" applyProtection="0"/>
    <xf numFmtId="0" fontId="30" fillId="62" borderId="0" applyNumberFormat="0" applyBorder="0" applyAlignment="0" applyProtection="0"/>
    <xf numFmtId="0" fontId="41" fillId="65" borderId="0" applyNumberFormat="0" applyBorder="0" applyAlignment="0" applyProtection="0"/>
    <xf numFmtId="0" fontId="30" fillId="65" borderId="0" applyNumberFormat="0" applyBorder="0" applyAlignment="0" applyProtection="0"/>
    <xf numFmtId="0" fontId="41" fillId="69" borderId="0" applyNumberFormat="0" applyBorder="0" applyAlignment="0" applyProtection="0"/>
    <xf numFmtId="0" fontId="30" fillId="69" borderId="0" applyNumberFormat="0" applyBorder="0" applyAlignment="0" applyProtection="0"/>
    <xf numFmtId="0" fontId="41" fillId="73" borderId="0" applyNumberFormat="0" applyBorder="0" applyAlignment="0" applyProtection="0"/>
    <xf numFmtId="0" fontId="30" fillId="73" borderId="0" applyNumberFormat="0" applyBorder="0" applyAlignment="0" applyProtection="0"/>
    <xf numFmtId="0" fontId="41" fillId="77" borderId="0" applyNumberFormat="0" applyBorder="0" applyAlignment="0" applyProtection="0"/>
    <xf numFmtId="0" fontId="30" fillId="77" borderId="0" applyNumberFormat="0" applyBorder="0" applyAlignment="0" applyProtection="0"/>
    <xf numFmtId="0" fontId="30" fillId="20" borderId="0" applyNumberFormat="0" applyBorder="0" applyAlignment="0" applyProtection="0"/>
    <xf numFmtId="0" fontId="41" fillId="59" borderId="0" applyNumberFormat="0" applyBorder="0" applyAlignment="0" applyProtection="0"/>
    <xf numFmtId="0" fontId="30" fillId="59" borderId="0" applyNumberFormat="0" applyBorder="0" applyAlignment="0" applyProtection="0"/>
    <xf numFmtId="0" fontId="41" fillId="63" borderId="0" applyNumberFormat="0" applyBorder="0" applyAlignment="0" applyProtection="0"/>
    <xf numFmtId="0" fontId="30" fillId="63" borderId="0" applyNumberFormat="0" applyBorder="0" applyAlignment="0" applyProtection="0"/>
    <xf numFmtId="0" fontId="41" fillId="66" borderId="0" applyNumberFormat="0" applyBorder="0" applyAlignment="0" applyProtection="0"/>
    <xf numFmtId="0" fontId="30" fillId="66" borderId="0" applyNumberFormat="0" applyBorder="0" applyAlignment="0" applyProtection="0"/>
    <xf numFmtId="0" fontId="41" fillId="70" borderId="0" applyNumberFormat="0" applyBorder="0" applyAlignment="0" applyProtection="0"/>
    <xf numFmtId="0" fontId="30" fillId="70" borderId="0" applyNumberFormat="0" applyBorder="0" applyAlignment="0" applyProtection="0"/>
    <xf numFmtId="0" fontId="41" fillId="74" borderId="0" applyNumberFormat="0" applyBorder="0" applyAlignment="0" applyProtection="0"/>
    <xf numFmtId="0" fontId="30" fillId="74" borderId="0" applyNumberFormat="0" applyBorder="0" applyAlignment="0" applyProtection="0"/>
    <xf numFmtId="0" fontId="79" fillId="54" borderId="0" applyNumberFormat="0" applyBorder="0" applyAlignment="0" applyProtection="0"/>
    <xf numFmtId="0" fontId="67" fillId="54" borderId="0" applyNumberFormat="0" applyBorder="0" applyAlignment="0" applyProtection="0"/>
    <xf numFmtId="0" fontId="80" fillId="57" borderId="35" applyNumberFormat="0" applyAlignment="0" applyProtection="0"/>
    <xf numFmtId="0" fontId="71" fillId="57" borderId="35" applyNumberFormat="0" applyAlignment="0" applyProtection="0"/>
    <xf numFmtId="0" fontId="81" fillId="58" borderId="38" applyNumberFormat="0" applyAlignment="0" applyProtection="0"/>
    <xf numFmtId="0" fontId="73" fillId="58" borderId="38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82" fillId="53" borderId="0" applyNumberFormat="0" applyBorder="0" applyAlignment="0" applyProtection="0"/>
    <xf numFmtId="0" fontId="66" fillId="53" borderId="0" applyNumberFormat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83" fillId="0" borderId="34" applyNumberFormat="0" applyFill="0" applyAlignment="0" applyProtection="0"/>
    <xf numFmtId="0" fontId="29" fillId="0" borderId="34" applyNumberFormat="0" applyFill="0" applyAlignment="0" applyProtection="0"/>
    <xf numFmtId="0" fontId="29" fillId="0" borderId="0" applyNumberFormat="0" applyFill="0" applyBorder="0" applyAlignment="0" applyProtection="0"/>
    <xf numFmtId="0" fontId="84" fillId="56" borderId="35" applyNumberFormat="0" applyAlignment="0" applyProtection="0"/>
    <xf numFmtId="0" fontId="69" fillId="56" borderId="35" applyNumberFormat="0" applyAlignment="0" applyProtection="0"/>
    <xf numFmtId="0" fontId="85" fillId="0" borderId="37" applyNumberFormat="0" applyFill="0" applyAlignment="0" applyProtection="0"/>
    <xf numFmtId="0" fontId="72" fillId="0" borderId="37" applyNumberFormat="0" applyFill="0" applyAlignment="0" applyProtection="0"/>
    <xf numFmtId="0" fontId="86" fillId="55" borderId="0" applyNumberFormat="0" applyBorder="0" applyAlignment="0" applyProtection="0"/>
    <xf numFmtId="0" fontId="68" fillId="55" borderId="0" applyNumberFormat="0" applyBorder="0" applyAlignment="0" applyProtection="0"/>
    <xf numFmtId="0" fontId="3" fillId="0" borderId="0"/>
    <xf numFmtId="0" fontId="87" fillId="0" borderId="0"/>
    <xf numFmtId="0" fontId="40" fillId="0" borderId="0"/>
    <xf numFmtId="0" fontId="2" fillId="0" borderId="0"/>
    <xf numFmtId="0" fontId="40" fillId="0" borderId="0"/>
    <xf numFmtId="0" fontId="88" fillId="0" borderId="0"/>
    <xf numFmtId="0" fontId="40" fillId="0" borderId="0"/>
    <xf numFmtId="0" fontId="2" fillId="0" borderId="0"/>
    <xf numFmtId="0" fontId="2" fillId="0" borderId="0"/>
    <xf numFmtId="0" fontId="3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2" fillId="39" borderId="26" applyNumberFormat="0" applyFont="0" applyAlignment="0" applyProtection="0"/>
    <xf numFmtId="0" fontId="40" fillId="39" borderId="26" applyNumberFormat="0" applyFont="0" applyAlignment="0" applyProtection="0"/>
    <xf numFmtId="0" fontId="2" fillId="39" borderId="26" applyNumberFormat="0" applyFont="0" applyAlignment="0" applyProtection="0"/>
    <xf numFmtId="0" fontId="40" fillId="39" borderId="26" applyNumberFormat="0" applyFont="0" applyAlignment="0" applyProtection="0"/>
    <xf numFmtId="0" fontId="2" fillId="39" borderId="26" applyNumberFormat="0" applyFont="0" applyAlignment="0" applyProtection="0"/>
    <xf numFmtId="0" fontId="42" fillId="39" borderId="26" applyNumberFormat="0" applyFont="0" applyAlignment="0" applyProtection="0"/>
    <xf numFmtId="0" fontId="40" fillId="39" borderId="26" applyNumberFormat="0" applyFont="0" applyAlignment="0" applyProtection="0"/>
    <xf numFmtId="0" fontId="40" fillId="39" borderId="26" applyNumberFormat="0" applyFont="0" applyAlignment="0" applyProtection="0"/>
    <xf numFmtId="0" fontId="42" fillId="39" borderId="26" applyNumberFormat="0" applyFont="0" applyAlignment="0" applyProtection="0"/>
    <xf numFmtId="0" fontId="40" fillId="39" borderId="26" applyNumberFormat="0" applyFont="0" applyAlignment="0" applyProtection="0"/>
    <xf numFmtId="0" fontId="89" fillId="57" borderId="36" applyNumberFormat="0" applyAlignment="0" applyProtection="0"/>
    <xf numFmtId="0" fontId="70" fillId="57" borderId="36" applyNumberFormat="0" applyAlignment="0" applyProtection="0"/>
    <xf numFmtId="0" fontId="90" fillId="0" borderId="39" applyNumberFormat="0" applyFill="0" applyAlignment="0" applyProtection="0"/>
    <xf numFmtId="0" fontId="24" fillId="0" borderId="39" applyNumberFormat="0" applyFill="0" applyAlignment="0" applyProtection="0"/>
    <xf numFmtId="0" fontId="9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2" fillId="0" borderId="0"/>
  </cellStyleXfs>
  <cellXfs count="454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0" fontId="0" fillId="0" borderId="0" xfId="0" applyNumberFormat="1"/>
    <xf numFmtId="0" fontId="3" fillId="0" borderId="0" xfId="4"/>
    <xf numFmtId="0" fontId="4" fillId="0" borderId="0" xfId="4" applyFont="1" applyBorder="1" applyAlignment="1">
      <alignment horizontal="center"/>
    </xf>
    <xf numFmtId="0" fontId="6" fillId="0" borderId="0" xfId="4" applyFont="1"/>
    <xf numFmtId="0" fontId="6" fillId="0" borderId="0" xfId="4" quotePrefix="1" applyFont="1" applyAlignment="1">
      <alignment horizontal="left"/>
    </xf>
    <xf numFmtId="3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quotePrefix="1" applyFont="1"/>
    <xf numFmtId="164" fontId="6" fillId="0" borderId="0" xfId="5" applyNumberFormat="1" applyFont="1" applyAlignment="1">
      <alignment horizontal="center"/>
    </xf>
    <xf numFmtId="0" fontId="5" fillId="0" borderId="0" xfId="4" applyFont="1" applyBorder="1" applyAlignment="1">
      <alignment horizontal="centerContinuous"/>
    </xf>
    <xf numFmtId="0" fontId="6" fillId="0" borderId="0" xfId="4" applyFont="1" applyAlignment="1">
      <alignment horizontal="centerContinuous"/>
    </xf>
    <xf numFmtId="0" fontId="6" fillId="0" borderId="0" xfId="4" applyFont="1" applyBorder="1" applyAlignment="1">
      <alignment horizontal="centerContinuous"/>
    </xf>
    <xf numFmtId="3" fontId="6" fillId="0" borderId="0" xfId="4" quotePrefix="1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6" fillId="0" borderId="0" xfId="4" applyFont="1" applyAlignment="1"/>
    <xf numFmtId="2" fontId="3" fillId="0" borderId="0" xfId="4" applyNumberFormat="1"/>
    <xf numFmtId="2" fontId="3" fillId="0" borderId="0" xfId="5" applyNumberFormat="1"/>
    <xf numFmtId="165" fontId="0" fillId="0" borderId="0" xfId="6" applyNumberFormat="1" applyFont="1"/>
    <xf numFmtId="16" fontId="6" fillId="0" borderId="0" xfId="4" quotePrefix="1" applyNumberFormat="1" applyFont="1" applyAlignment="1">
      <alignment horizontal="center"/>
    </xf>
    <xf numFmtId="17" fontId="7" fillId="0" borderId="0" xfId="4" applyNumberFormat="1" applyFont="1" applyAlignment="1">
      <alignment horizontal="center"/>
    </xf>
    <xf numFmtId="17" fontId="7" fillId="0" borderId="0" xfId="4" applyNumberFormat="1" applyFont="1" applyAlignment="1">
      <alignment horizontal="center" wrapText="1"/>
    </xf>
    <xf numFmtId="0" fontId="7" fillId="0" borderId="0" xfId="4" applyFont="1" applyAlignment="1">
      <alignment horizontal="center"/>
    </xf>
    <xf numFmtId="0" fontId="7" fillId="0" borderId="0" xfId="4" applyFont="1" applyAlignment="1">
      <alignment horizontal="center" wrapText="1"/>
    </xf>
    <xf numFmtId="3" fontId="8" fillId="0" borderId="0" xfId="4" applyNumberFormat="1" applyFont="1" applyAlignment="1">
      <alignment horizontal="center"/>
    </xf>
    <xf numFmtId="164" fontId="0" fillId="0" borderId="0" xfId="5" applyNumberFormat="1" applyFont="1"/>
    <xf numFmtId="164" fontId="3" fillId="0" borderId="0" xfId="4" applyNumberFormat="1"/>
    <xf numFmtId="10" fontId="6" fillId="0" borderId="0" xfId="4" applyNumberFormat="1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37" fontId="2" fillId="0" borderId="0" xfId="2" applyNumberFormat="1" applyFont="1" applyAlignment="1">
      <alignment horizontal="center"/>
    </xf>
    <xf numFmtId="37" fontId="0" fillId="0" borderId="0" xfId="0" applyNumberFormat="1"/>
    <xf numFmtId="0" fontId="20" fillId="0" borderId="0" xfId="0" applyFont="1" applyAlignment="1">
      <alignment vertical="center"/>
    </xf>
    <xf numFmtId="167" fontId="0" fillId="0" borderId="0" xfId="3" applyNumberFormat="1" applyFont="1"/>
    <xf numFmtId="165" fontId="0" fillId="0" borderId="0" xfId="2" applyNumberFormat="1" applyFont="1"/>
    <xf numFmtId="4" fontId="0" fillId="0" borderId="0" xfId="0" applyNumberFormat="1"/>
    <xf numFmtId="0" fontId="22" fillId="0" borderId="0" xfId="115"/>
    <xf numFmtId="0" fontId="9" fillId="0" borderId="0" xfId="115" applyFont="1" applyFill="1" applyAlignment="1">
      <alignment horizontal="left" vertical="top" wrapText="1"/>
    </xf>
    <xf numFmtId="0" fontId="9" fillId="0" borderId="5" xfId="115" applyFont="1" applyFill="1" applyBorder="1" applyAlignment="1">
      <alignment horizontal="center" wrapText="1"/>
    </xf>
    <xf numFmtId="0" fontId="9" fillId="0" borderId="0" xfId="115" applyFont="1" applyFill="1" applyAlignment="1">
      <alignment horizontal="left"/>
    </xf>
    <xf numFmtId="168" fontId="12" fillId="0" borderId="0" xfId="115" applyNumberFormat="1" applyFont="1" applyFill="1" applyAlignment="1">
      <alignment horizontal="right"/>
    </xf>
    <xf numFmtId="168" fontId="22" fillId="0" borderId="0" xfId="115" applyNumberFormat="1"/>
    <xf numFmtId="10" fontId="0" fillId="0" borderId="0" xfId="1" applyNumberFormat="1" applyFont="1"/>
    <xf numFmtId="0" fontId="9" fillId="0" borderId="0" xfId="0" applyFont="1" applyFill="1" applyAlignment="1">
      <alignment horizontal="left" vertical="top" wrapText="1"/>
    </xf>
    <xf numFmtId="0" fontId="9" fillId="0" borderId="5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169" fontId="24" fillId="0" borderId="0" xfId="0" applyNumberFormat="1" applyFont="1"/>
    <xf numFmtId="0" fontId="12" fillId="0" borderId="0" xfId="0" applyFont="1" applyFill="1" applyAlignment="1">
      <alignment horizontal="left"/>
    </xf>
    <xf numFmtId="168" fontId="12" fillId="0" borderId="0" xfId="0" applyNumberFormat="1" applyFont="1" applyFill="1" applyAlignment="1">
      <alignment horizontal="right"/>
    </xf>
    <xf numFmtId="168" fontId="0" fillId="0" borderId="0" xfId="0" applyNumberFormat="1"/>
    <xf numFmtId="0" fontId="0" fillId="0" borderId="0" xfId="0"/>
    <xf numFmtId="0" fontId="14" fillId="0" borderId="0" xfId="124" applyNumberFormat="1" applyFont="1" applyBorder="1" applyAlignment="1">
      <alignment horizontal="center"/>
    </xf>
    <xf numFmtId="0" fontId="3" fillId="0" borderId="0" xfId="124" applyNumberFormat="1" applyBorder="1" applyAlignment="1"/>
    <xf numFmtId="166" fontId="14" fillId="0" borderId="0" xfId="124" applyFont="1" applyBorder="1" applyAlignment="1">
      <alignment horizontal="center" wrapText="1"/>
    </xf>
    <xf numFmtId="165" fontId="14" fillId="0" borderId="0" xfId="125" quotePrefix="1" applyNumberFormat="1" applyFont="1" applyAlignment="1">
      <alignment horizontal="center"/>
    </xf>
    <xf numFmtId="0" fontId="14" fillId="0" borderId="0" xfId="126" applyFont="1" applyAlignment="1">
      <alignment horizontal="center"/>
    </xf>
    <xf numFmtId="0" fontId="3" fillId="0" borderId="0" xfId="126"/>
    <xf numFmtId="166" fontId="3" fillId="0" borderId="0" xfId="124" applyBorder="1">
      <alignment horizontal="left" wrapText="1"/>
    </xf>
    <xf numFmtId="165" fontId="3" fillId="0" borderId="0" xfId="125" applyNumberFormat="1" applyFont="1"/>
    <xf numFmtId="0" fontId="3" fillId="0" borderId="0" xfId="124" applyNumberFormat="1" applyAlignment="1"/>
    <xf numFmtId="165" fontId="3" fillId="0" borderId="0" xfId="125" applyNumberFormat="1" applyFont="1" applyAlignment="1">
      <alignment horizontal="center"/>
    </xf>
    <xf numFmtId="172" fontId="3" fillId="0" borderId="0" xfId="124" applyNumberFormat="1" applyAlignment="1">
      <alignment horizontal="center" wrapText="1"/>
    </xf>
    <xf numFmtId="173" fontId="3" fillId="0" borderId="0" xfId="125" applyNumberFormat="1" applyFont="1"/>
    <xf numFmtId="172" fontId="3" fillId="0" borderId="0" xfId="126" applyNumberFormat="1"/>
    <xf numFmtId="165" fontId="3" fillId="0" borderId="0" xfId="124" applyNumberFormat="1">
      <alignment horizontal="left" wrapText="1"/>
    </xf>
    <xf numFmtId="165" fontId="3" fillId="0" borderId="0" xfId="6" applyNumberFormat="1"/>
    <xf numFmtId="166" fontId="3" fillId="0" borderId="0" xfId="124">
      <alignment horizontal="left" wrapText="1"/>
    </xf>
    <xf numFmtId="0" fontId="0" fillId="0" borderId="0" xfId="126" applyFont="1"/>
    <xf numFmtId="0" fontId="30" fillId="20" borderId="0" xfId="119"/>
    <xf numFmtId="49" fontId="30" fillId="20" borderId="0" xfId="119" applyNumberFormat="1" applyBorder="1" applyAlignment="1"/>
    <xf numFmtId="165" fontId="30" fillId="20" borderId="0" xfId="119" applyNumberFormat="1" applyAlignment="1">
      <alignment horizontal="left"/>
    </xf>
    <xf numFmtId="0" fontId="30" fillId="20" borderId="0" xfId="119" applyAlignment="1">
      <alignment horizontal="center"/>
    </xf>
    <xf numFmtId="2" fontId="30" fillId="20" borderId="0" xfId="119" applyNumberFormat="1" applyAlignment="1">
      <alignment horizontal="center"/>
    </xf>
    <xf numFmtId="0" fontId="3" fillId="0" borderId="0" xfId="127" applyFont="1"/>
    <xf numFmtId="0" fontId="27" fillId="25" borderId="6" xfId="116" applyFill="1" applyAlignment="1">
      <alignment horizontal="right" wrapText="1"/>
    </xf>
    <xf numFmtId="0" fontId="30" fillId="23" borderId="6" xfId="122" applyBorder="1" applyAlignment="1">
      <alignment horizontal="left" wrapText="1"/>
    </xf>
    <xf numFmtId="0" fontId="27" fillId="25" borderId="6" xfId="116" applyFill="1" applyAlignment="1">
      <alignment wrapText="1"/>
    </xf>
    <xf numFmtId="0" fontId="30" fillId="20" borderId="6" xfId="119" applyBorder="1" applyAlignment="1">
      <alignment wrapText="1"/>
    </xf>
    <xf numFmtId="174" fontId="30" fillId="23" borderId="6" xfId="122" applyNumberFormat="1" applyBorder="1" applyAlignment="1">
      <alignment horizontal="left" wrapText="1"/>
    </xf>
    <xf numFmtId="2" fontId="30" fillId="20" borderId="6" xfId="119" applyNumberFormat="1" applyBorder="1" applyAlignment="1">
      <alignment horizontal="center"/>
    </xf>
    <xf numFmtId="0" fontId="30" fillId="20" borderId="0" xfId="119" applyAlignment="1">
      <alignment horizontal="center" wrapText="1"/>
    </xf>
    <xf numFmtId="0" fontId="28" fillId="25" borderId="7" xfId="117" applyFill="1" applyAlignment="1">
      <alignment horizontal="center" wrapText="1"/>
    </xf>
    <xf numFmtId="165" fontId="28" fillId="25" borderId="7" xfId="117" applyNumberFormat="1" applyFill="1" applyAlignment="1">
      <alignment horizontal="center" wrapText="1"/>
    </xf>
    <xf numFmtId="165" fontId="30" fillId="20" borderId="0" xfId="119" applyNumberFormat="1" applyBorder="1" applyAlignment="1">
      <alignment horizontal="center" wrapText="1"/>
    </xf>
    <xf numFmtId="0" fontId="28" fillId="25" borderId="0" xfId="117" applyFill="1" applyBorder="1" applyAlignment="1">
      <alignment horizontal="center" wrapText="1"/>
    </xf>
    <xf numFmtId="2" fontId="30" fillId="20" borderId="0" xfId="119" applyNumberFormat="1" applyBorder="1" applyAlignment="1">
      <alignment horizontal="center" wrapText="1"/>
    </xf>
    <xf numFmtId="0" fontId="28" fillId="25" borderId="7" xfId="117" applyFill="1" applyAlignment="1">
      <alignment wrapText="1"/>
    </xf>
    <xf numFmtId="0" fontId="30" fillId="20" borderId="8" xfId="119" applyNumberFormat="1" applyBorder="1" applyAlignment="1">
      <alignment horizontal="center"/>
    </xf>
    <xf numFmtId="165" fontId="2" fillId="21" borderId="8" xfId="120" applyNumberFormat="1" applyBorder="1" applyAlignment="1">
      <alignment horizontal="left"/>
    </xf>
    <xf numFmtId="165" fontId="2" fillId="21" borderId="8" xfId="120" applyNumberFormat="1" applyFont="1" applyBorder="1" applyAlignment="1">
      <alignment horizontal="left"/>
    </xf>
    <xf numFmtId="165" fontId="2" fillId="21" borderId="9" xfId="120" applyNumberFormat="1" applyFont="1" applyBorder="1" applyAlignment="1">
      <alignment horizontal="left"/>
    </xf>
    <xf numFmtId="44" fontId="2" fillId="21" borderId="9" xfId="15" applyNumberFormat="1" applyFont="1" applyFill="1" applyBorder="1" applyAlignment="1">
      <alignment horizontal="center"/>
    </xf>
    <xf numFmtId="165" fontId="30" fillId="20" borderId="0" xfId="119" applyNumberFormat="1" applyBorder="1" applyAlignment="1">
      <alignment horizontal="left"/>
    </xf>
    <xf numFmtId="165" fontId="2" fillId="25" borderId="8" xfId="120" applyNumberFormat="1" applyFill="1" applyBorder="1" applyAlignment="1">
      <alignment horizontal="left"/>
    </xf>
    <xf numFmtId="165" fontId="2" fillId="24" borderId="8" xfId="123" applyNumberFormat="1" applyBorder="1" applyAlignment="1">
      <alignment horizontal="left"/>
    </xf>
    <xf numFmtId="165" fontId="2" fillId="22" borderId="8" xfId="121" applyNumberFormat="1" applyBorder="1" applyAlignment="1">
      <alignment horizontal="left"/>
    </xf>
    <xf numFmtId="10" fontId="2" fillId="21" borderId="8" xfId="5" applyNumberFormat="1" applyFont="1" applyFill="1" applyBorder="1" applyAlignment="1">
      <alignment horizontal="left"/>
    </xf>
    <xf numFmtId="44" fontId="2" fillId="21" borderId="8" xfId="15" applyFont="1" applyFill="1" applyBorder="1" applyAlignment="1">
      <alignment horizontal="left"/>
    </xf>
    <xf numFmtId="9" fontId="30" fillId="20" borderId="0" xfId="119" applyNumberFormat="1" applyBorder="1" applyAlignment="1">
      <alignment horizontal="center"/>
    </xf>
    <xf numFmtId="0" fontId="30" fillId="26" borderId="8" xfId="119" applyNumberFormat="1" applyFill="1" applyBorder="1" applyAlignment="1">
      <alignment horizontal="center"/>
    </xf>
    <xf numFmtId="165" fontId="2" fillId="0" borderId="8" xfId="120" applyNumberFormat="1" applyFill="1" applyBorder="1" applyAlignment="1">
      <alignment horizontal="left"/>
    </xf>
    <xf numFmtId="165" fontId="2" fillId="21" borderId="8" xfId="120" applyNumberFormat="1" applyBorder="1" applyAlignment="1">
      <alignment horizontal="center"/>
    </xf>
    <xf numFmtId="38" fontId="2" fillId="21" borderId="8" xfId="120" applyNumberFormat="1" applyBorder="1" applyAlignment="1">
      <alignment horizontal="center"/>
    </xf>
    <xf numFmtId="44" fontId="2" fillId="21" borderId="8" xfId="120" applyNumberFormat="1" applyBorder="1" applyAlignment="1">
      <alignment horizontal="center"/>
    </xf>
    <xf numFmtId="165" fontId="3" fillId="0" borderId="0" xfId="127" applyNumberFormat="1" applyFont="1"/>
    <xf numFmtId="3" fontId="3" fillId="0" borderId="0" xfId="127" applyNumberFormat="1" applyFont="1"/>
    <xf numFmtId="167" fontId="2" fillId="21" borderId="9" xfId="15" applyNumberFormat="1" applyFont="1" applyFill="1" applyBorder="1" applyAlignment="1">
      <alignment horizontal="center"/>
    </xf>
    <xf numFmtId="10" fontId="2" fillId="21" borderId="8" xfId="120" applyNumberFormat="1" applyBorder="1" applyAlignment="1">
      <alignment horizontal="left"/>
    </xf>
    <xf numFmtId="2" fontId="2" fillId="21" borderId="8" xfId="120" applyNumberFormat="1" applyBorder="1" applyAlignment="1">
      <alignment horizontal="left"/>
    </xf>
    <xf numFmtId="167" fontId="2" fillId="21" borderId="8" xfId="15" applyNumberFormat="1" applyFont="1" applyFill="1" applyBorder="1" applyAlignment="1">
      <alignment horizontal="left"/>
    </xf>
    <xf numFmtId="0" fontId="30" fillId="26" borderId="8" xfId="122" applyNumberFormat="1" applyFill="1" applyBorder="1" applyAlignment="1">
      <alignment horizontal="center"/>
    </xf>
    <xf numFmtId="0" fontId="30" fillId="26" borderId="8" xfId="121" applyNumberFormat="1" applyFont="1" applyFill="1" applyBorder="1" applyAlignment="1">
      <alignment horizontal="center"/>
    </xf>
    <xf numFmtId="167" fontId="2" fillId="21" borderId="8" xfId="120" applyNumberFormat="1" applyBorder="1" applyAlignment="1">
      <alignment horizontal="center"/>
    </xf>
    <xf numFmtId="0" fontId="2" fillId="22" borderId="8" xfId="121" applyNumberFormat="1" applyBorder="1" applyAlignment="1">
      <alignment horizontal="center"/>
    </xf>
    <xf numFmtId="2" fontId="30" fillId="20" borderId="0" xfId="119" applyNumberFormat="1" applyBorder="1" applyAlignment="1">
      <alignment horizontal="center"/>
    </xf>
    <xf numFmtId="0" fontId="1" fillId="0" borderId="0" xfId="127" applyFont="1"/>
    <xf numFmtId="2" fontId="3" fillId="0" borderId="0" xfId="127" applyNumberFormat="1" applyFont="1" applyFill="1" applyBorder="1" applyAlignment="1">
      <alignment horizontal="center"/>
    </xf>
    <xf numFmtId="0" fontId="27" fillId="0" borderId="10" xfId="116" applyBorder="1"/>
    <xf numFmtId="0" fontId="27" fillId="0" borderId="11" xfId="116" applyBorder="1"/>
    <xf numFmtId="0" fontId="27" fillId="0" borderId="12" xfId="116" applyBorder="1"/>
    <xf numFmtId="49" fontId="3" fillId="0" borderId="0" xfId="127" applyNumberFormat="1" applyFont="1" applyFill="1" applyBorder="1" applyAlignment="1"/>
    <xf numFmtId="165" fontId="3" fillId="0" borderId="0" xfId="6" applyNumberFormat="1" applyFont="1" applyAlignment="1">
      <alignment horizontal="left"/>
    </xf>
    <xf numFmtId="0" fontId="3" fillId="0" borderId="0" xfId="127" applyFont="1" applyAlignment="1">
      <alignment horizontal="center"/>
    </xf>
    <xf numFmtId="49" fontId="27" fillId="0" borderId="6" xfId="116" applyNumberFormat="1" applyFill="1" applyAlignment="1"/>
    <xf numFmtId="165" fontId="27" fillId="0" borderId="6" xfId="116" applyNumberFormat="1" applyAlignment="1">
      <alignment horizontal="left"/>
    </xf>
    <xf numFmtId="0" fontId="28" fillId="0" borderId="13" xfId="117" applyBorder="1" applyAlignment="1">
      <alignment horizontal="left"/>
    </xf>
    <xf numFmtId="0" fontId="28" fillId="0" borderId="14" xfId="117" applyBorder="1" applyAlignment="1">
      <alignment horizontal="right"/>
    </xf>
    <xf numFmtId="0" fontId="34" fillId="0" borderId="7" xfId="117" applyFont="1" applyBorder="1" applyAlignment="1">
      <alignment horizontal="right"/>
    </xf>
    <xf numFmtId="0" fontId="34" fillId="0" borderId="15" xfId="117" applyFont="1" applyBorder="1" applyAlignment="1">
      <alignment horizontal="left"/>
    </xf>
    <xf numFmtId="174" fontId="27" fillId="0" borderId="6" xfId="116" applyNumberFormat="1" applyFill="1" applyAlignment="1" applyProtection="1">
      <protection locked="0"/>
    </xf>
    <xf numFmtId="0" fontId="3" fillId="0" borderId="0" xfId="127" applyFont="1" applyBorder="1" applyAlignment="1">
      <alignment horizontal="center"/>
    </xf>
    <xf numFmtId="49" fontId="2" fillId="21" borderId="0" xfId="120" applyNumberFormat="1" applyFont="1" applyBorder="1" applyAlignment="1"/>
    <xf numFmtId="9" fontId="2" fillId="21" borderId="0" xfId="5" applyFont="1" applyFill="1" applyAlignment="1"/>
    <xf numFmtId="0" fontId="28" fillId="0" borderId="16" xfId="117" quotePrefix="1" applyBorder="1" applyAlignment="1">
      <alignment horizontal="left"/>
    </xf>
    <xf numFmtId="0" fontId="28" fillId="0" borderId="7" xfId="117" applyBorder="1"/>
    <xf numFmtId="0" fontId="28" fillId="0" borderId="7" xfId="117" applyBorder="1" applyAlignment="1">
      <alignment horizontal="center"/>
    </xf>
    <xf numFmtId="0" fontId="28" fillId="0" borderId="15" xfId="117" applyBorder="1"/>
    <xf numFmtId="49" fontId="2" fillId="21" borderId="0" xfId="120" applyNumberFormat="1" applyBorder="1" applyAlignment="1"/>
    <xf numFmtId="165" fontId="2" fillId="21" borderId="0" xfId="120" applyNumberFormat="1" applyAlignment="1"/>
    <xf numFmtId="165" fontId="0" fillId="0" borderId="0" xfId="6" applyNumberFormat="1" applyFont="1" applyBorder="1"/>
    <xf numFmtId="2" fontId="3" fillId="0" borderId="0" xfId="127" applyNumberFormat="1" applyFont="1" applyAlignment="1">
      <alignment horizontal="center"/>
    </xf>
    <xf numFmtId="9" fontId="35" fillId="21" borderId="0" xfId="5" applyFont="1" applyFill="1" applyAlignment="1"/>
    <xf numFmtId="0" fontId="3" fillId="0" borderId="0" xfId="127" applyFont="1" applyFill="1"/>
    <xf numFmtId="0" fontId="3" fillId="0" borderId="0" xfId="128" applyNumberFormat="1" applyFont="1" applyAlignment="1">
      <alignment horizontal="center"/>
    </xf>
    <xf numFmtId="165" fontId="3" fillId="0" borderId="0" xfId="6" applyNumberFormat="1" applyFont="1" applyAlignment="1">
      <alignment horizontal="center"/>
    </xf>
    <xf numFmtId="0" fontId="2" fillId="21" borderId="17" xfId="120" applyBorder="1" applyAlignment="1">
      <alignment horizontal="center"/>
    </xf>
    <xf numFmtId="0" fontId="2" fillId="21" borderId="0" xfId="120" applyBorder="1"/>
    <xf numFmtId="9" fontId="2" fillId="21" borderId="0" xfId="120" applyNumberFormat="1" applyBorder="1" applyAlignment="1">
      <alignment horizontal="center"/>
    </xf>
    <xf numFmtId="0" fontId="2" fillId="21" borderId="18" xfId="120" applyBorder="1"/>
    <xf numFmtId="170" fontId="2" fillId="21" borderId="0" xfId="120" applyNumberFormat="1" applyAlignment="1"/>
    <xf numFmtId="0" fontId="3" fillId="0" borderId="0" xfId="128" applyNumberFormat="1" applyAlignment="1">
      <alignment horizontal="center"/>
    </xf>
    <xf numFmtId="170" fontId="2" fillId="21" borderId="0" xfId="120" applyNumberFormat="1" applyFont="1" applyAlignment="1"/>
    <xf numFmtId="0" fontId="27" fillId="0" borderId="19" xfId="116" applyBorder="1"/>
    <xf numFmtId="0" fontId="27" fillId="0" borderId="6" xfId="116" applyBorder="1"/>
    <xf numFmtId="0" fontId="27" fillId="0" borderId="6" xfId="116" applyBorder="1" applyAlignment="1">
      <alignment horizontal="center"/>
    </xf>
    <xf numFmtId="0" fontId="27" fillId="0" borderId="20" xfId="116" applyBorder="1"/>
    <xf numFmtId="43" fontId="2" fillId="21" borderId="0" xfId="120" applyNumberFormat="1" applyAlignment="1"/>
    <xf numFmtId="170" fontId="36" fillId="0" borderId="0" xfId="118" applyNumberFormat="1" applyFont="1" applyAlignment="1">
      <alignment horizontal="left"/>
    </xf>
    <xf numFmtId="175" fontId="2" fillId="21" borderId="0" xfId="120" applyNumberFormat="1" applyAlignment="1"/>
    <xf numFmtId="170" fontId="37" fillId="21" borderId="0" xfId="120" applyNumberFormat="1" applyFont="1" applyAlignment="1"/>
    <xf numFmtId="175" fontId="3" fillId="0" borderId="0" xfId="6" applyNumberFormat="1" applyFont="1" applyAlignment="1"/>
    <xf numFmtId="165" fontId="3" fillId="0" borderId="0" xfId="127" applyNumberFormat="1" applyFont="1" applyAlignment="1">
      <alignment horizontal="center"/>
    </xf>
    <xf numFmtId="0" fontId="2" fillId="21" borderId="21" xfId="120" applyBorder="1" applyAlignment="1">
      <alignment horizontal="center"/>
    </xf>
    <xf numFmtId="0" fontId="2" fillId="21" borderId="22" xfId="120" applyBorder="1"/>
    <xf numFmtId="9" fontId="2" fillId="21" borderId="22" xfId="120" applyNumberFormat="1" applyBorder="1" applyAlignment="1">
      <alignment horizontal="center"/>
    </xf>
    <xf numFmtId="0" fontId="2" fillId="21" borderId="23" xfId="120" applyBorder="1"/>
    <xf numFmtId="0" fontId="38" fillId="0" borderId="0" xfId="4" applyFont="1"/>
    <xf numFmtId="167" fontId="3" fillId="0" borderId="0" xfId="15" applyNumberFormat="1" applyFont="1"/>
    <xf numFmtId="43" fontId="2" fillId="21" borderId="0" xfId="120" applyNumberFormat="1" applyFont="1" applyAlignment="1"/>
    <xf numFmtId="165" fontId="3" fillId="0" borderId="0" xfId="6" applyNumberFormat="1" applyFont="1"/>
    <xf numFmtId="1" fontId="3" fillId="0" borderId="0" xfId="127" applyNumberFormat="1" applyFont="1"/>
    <xf numFmtId="0" fontId="0" fillId="0" borderId="0" xfId="127" applyFont="1"/>
    <xf numFmtId="170" fontId="3" fillId="0" borderId="0" xfId="127" applyNumberFormat="1" applyFont="1"/>
    <xf numFmtId="165" fontId="3" fillId="0" borderId="0" xfId="2" applyNumberFormat="1" applyFont="1"/>
    <xf numFmtId="165" fontId="3" fillId="0" borderId="0" xfId="126" applyNumberFormat="1"/>
    <xf numFmtId="0" fontId="3" fillId="0" borderId="0" xfId="4" applyFill="1"/>
    <xf numFmtId="3" fontId="3" fillId="0" borderId="0" xfId="4" applyNumberFormat="1" applyFill="1"/>
    <xf numFmtId="43" fontId="3" fillId="0" borderId="0" xfId="4" applyNumberFormat="1" applyFill="1"/>
    <xf numFmtId="0" fontId="3" fillId="0" borderId="0" xfId="4" quotePrefix="1" applyFill="1" applyAlignment="1">
      <alignment horizontal="left"/>
    </xf>
    <xf numFmtId="0" fontId="3" fillId="0" borderId="0" xfId="4" applyFont="1" applyFill="1"/>
    <xf numFmtId="0" fontId="3" fillId="0" borderId="0" xfId="4" applyFont="1" applyFill="1" applyAlignment="1">
      <alignment wrapText="1"/>
    </xf>
    <xf numFmtId="17" fontId="3" fillId="0" borderId="0" xfId="4" applyNumberFormat="1" applyFill="1"/>
    <xf numFmtId="165" fontId="3" fillId="0" borderId="0" xfId="6" applyNumberFormat="1" applyFill="1"/>
    <xf numFmtId="165" fontId="3" fillId="0" borderId="0" xfId="4" applyNumberFormat="1" applyFill="1"/>
    <xf numFmtId="3" fontId="3" fillId="40" borderId="0" xfId="4" applyNumberFormat="1" applyFill="1"/>
    <xf numFmtId="170" fontId="0" fillId="0" borderId="0" xfId="6" applyNumberFormat="1" applyFont="1" applyFill="1"/>
    <xf numFmtId="164" fontId="0" fillId="0" borderId="0" xfId="5" applyNumberFormat="1" applyFont="1" applyFill="1"/>
    <xf numFmtId="164" fontId="3" fillId="0" borderId="0" xfId="5" applyNumberFormat="1" applyFill="1"/>
    <xf numFmtId="17" fontId="3" fillId="0" borderId="1" xfId="4" applyNumberFormat="1" applyFill="1" applyBorder="1"/>
    <xf numFmtId="3" fontId="3" fillId="0" borderId="1" xfId="4" applyNumberFormat="1" applyFill="1" applyBorder="1"/>
    <xf numFmtId="165" fontId="3" fillId="0" borderId="1" xfId="6" applyNumberFormat="1" applyFill="1" applyBorder="1"/>
    <xf numFmtId="164" fontId="3" fillId="0" borderId="1" xfId="5" applyNumberFormat="1" applyFill="1" applyBorder="1"/>
    <xf numFmtId="0" fontId="3" fillId="0" borderId="1" xfId="4" applyFill="1" applyBorder="1"/>
    <xf numFmtId="165" fontId="3" fillId="0" borderId="1" xfId="4" applyNumberFormat="1" applyFill="1" applyBorder="1"/>
    <xf numFmtId="0" fontId="3" fillId="0" borderId="1" xfId="4" applyFont="1" applyFill="1" applyBorder="1"/>
    <xf numFmtId="17" fontId="3" fillId="0" borderId="0" xfId="4" applyNumberFormat="1" applyFill="1" applyBorder="1"/>
    <xf numFmtId="0" fontId="3" fillId="0" borderId="0" xfId="4" applyFill="1" applyBorder="1"/>
    <xf numFmtId="3" fontId="3" fillId="18" borderId="0" xfId="4" applyNumberFormat="1" applyFill="1"/>
    <xf numFmtId="3" fontId="3" fillId="41" borderId="0" xfId="4" applyNumberFormat="1" applyFill="1"/>
    <xf numFmtId="165" fontId="3" fillId="41" borderId="0" xfId="6" applyNumberFormat="1" applyFill="1"/>
    <xf numFmtId="165" fontId="3" fillId="0" borderId="0" xfId="6" applyNumberFormat="1" applyFont="1" applyFill="1" applyAlignment="1">
      <alignment horizontal="center"/>
    </xf>
    <xf numFmtId="0" fontId="3" fillId="0" borderId="0" xfId="4" applyFill="1" applyAlignment="1">
      <alignment horizontal="center"/>
    </xf>
    <xf numFmtId="1" fontId="3" fillId="0" borderId="0" xfId="4" applyNumberFormat="1" applyFill="1"/>
    <xf numFmtId="3" fontId="3" fillId="0" borderId="0" xfId="4" applyNumberFormat="1" applyFill="1" applyAlignment="1">
      <alignment horizontal="center"/>
    </xf>
    <xf numFmtId="165" fontId="3" fillId="0" borderId="0" xfId="6" applyNumberFormat="1" applyFill="1" applyAlignment="1">
      <alignment horizontal="center"/>
    </xf>
    <xf numFmtId="17" fontId="3" fillId="0" borderId="0" xfId="4" quotePrefix="1" applyNumberFormat="1" applyFill="1"/>
    <xf numFmtId="164" fontId="0" fillId="0" borderId="0" xfId="5" applyNumberFormat="1" applyFont="1" applyFill="1" applyAlignment="1">
      <alignment horizontal="center"/>
    </xf>
    <xf numFmtId="164" fontId="3" fillId="0" borderId="0" xfId="5" applyNumberFormat="1" applyFill="1" applyAlignment="1">
      <alignment horizontal="center"/>
    </xf>
    <xf numFmtId="0" fontId="3" fillId="0" borderId="0" xfId="4" quotePrefix="1" applyFill="1"/>
    <xf numFmtId="0" fontId="3" fillId="0" borderId="0" xfId="4" applyFill="1" applyAlignment="1">
      <alignment horizontal="left"/>
    </xf>
    <xf numFmtId="0" fontId="0" fillId="0" borderId="0" xfId="0"/>
    <xf numFmtId="3" fontId="0" fillId="40" borderId="0" xfId="0" applyNumberFormat="1" applyFill="1"/>
    <xf numFmtId="164" fontId="0" fillId="40" borderId="0" xfId="1" applyNumberFormat="1" applyFont="1" applyFill="1"/>
    <xf numFmtId="170" fontId="0" fillId="0" borderId="0" xfId="2" applyNumberFormat="1" applyFont="1"/>
    <xf numFmtId="17" fontId="0" fillId="0" borderId="0" xfId="0" applyNumberFormat="1"/>
    <xf numFmtId="170" fontId="0" fillId="0" borderId="0" xfId="0" applyNumberFormat="1"/>
    <xf numFmtId="164" fontId="0" fillId="0" borderId="32" xfId="1" applyNumberFormat="1" applyFont="1" applyBorder="1"/>
    <xf numFmtId="164" fontId="0" fillId="0" borderId="33" xfId="1" applyNumberFormat="1" applyFont="1" applyBorder="1"/>
    <xf numFmtId="0" fontId="0" fillId="0" borderId="0" xfId="0"/>
    <xf numFmtId="0" fontId="0" fillId="0" borderId="0" xfId="0"/>
    <xf numFmtId="3" fontId="76" fillId="0" borderId="0" xfId="306" applyNumberFormat="1" applyFont="1" applyAlignment="1">
      <alignment horizontal="center"/>
    </xf>
    <xf numFmtId="0" fontId="14" fillId="0" borderId="0" xfId="306" quotePrefix="1" applyFont="1" applyAlignment="1">
      <alignment horizontal="center" wrapText="1"/>
    </xf>
    <xf numFmtId="0" fontId="59" fillId="0" borderId="0" xfId="306" applyFont="1" applyAlignment="1">
      <alignment horizontal="center" wrapText="1"/>
    </xf>
    <xf numFmtId="0" fontId="3" fillId="0" borderId="0" xfId="306" applyFont="1" applyAlignment="1">
      <alignment horizontal="center" wrapText="1"/>
    </xf>
    <xf numFmtId="3" fontId="3" fillId="0" borderId="0" xfId="306" applyNumberFormat="1" applyFont="1" applyAlignment="1">
      <alignment horizontal="center" wrapText="1"/>
    </xf>
    <xf numFmtId="0" fontId="15" fillId="0" borderId="0" xfId="306" quotePrefix="1" applyFont="1" applyAlignment="1">
      <alignment horizontal="center" wrapText="1"/>
    </xf>
    <xf numFmtId="0" fontId="25" fillId="0" borderId="0" xfId="306" applyFont="1" applyAlignment="1">
      <alignment horizontal="center" wrapText="1"/>
    </xf>
    <xf numFmtId="0" fontId="75" fillId="0" borderId="0" xfId="306"/>
    <xf numFmtId="0" fontId="14" fillId="0" borderId="0" xfId="306" quotePrefix="1" applyFont="1" applyAlignment="1">
      <alignment horizontal="left"/>
    </xf>
    <xf numFmtId="0" fontId="77" fillId="0" borderId="22" xfId="306" applyFont="1" applyBorder="1" applyAlignment="1">
      <alignment horizontal="center" wrapText="1"/>
    </xf>
    <xf numFmtId="3" fontId="31" fillId="0" borderId="22" xfId="306" applyNumberFormat="1" applyFont="1" applyBorder="1" applyAlignment="1">
      <alignment horizontal="center" wrapText="1"/>
    </xf>
    <xf numFmtId="0" fontId="75" fillId="0" borderId="22" xfId="306" applyBorder="1" applyAlignment="1">
      <alignment horizontal="center" wrapText="1"/>
    </xf>
    <xf numFmtId="0" fontId="14" fillId="0" borderId="22" xfId="306" applyFont="1" applyBorder="1" applyAlignment="1">
      <alignment horizontal="center" wrapText="1"/>
    </xf>
    <xf numFmtId="0" fontId="26" fillId="78" borderId="22" xfId="306" applyFont="1" applyFill="1" applyBorder="1" applyAlignment="1">
      <alignment horizontal="center" wrapText="1"/>
    </xf>
    <xf numFmtId="3" fontId="76" fillId="0" borderId="22" xfId="306" applyNumberFormat="1" applyFont="1" applyBorder="1" applyAlignment="1">
      <alignment horizontal="center" wrapText="1"/>
    </xf>
    <xf numFmtId="180" fontId="77" fillId="0" borderId="0" xfId="306" quotePrefix="1" applyNumberFormat="1" applyFont="1" applyFill="1" applyBorder="1" applyAlignment="1">
      <alignment horizontal="center"/>
    </xf>
    <xf numFmtId="3" fontId="31" fillId="0" borderId="0" xfId="306" applyNumberFormat="1" applyFont="1" applyAlignment="1">
      <alignment horizontal="center"/>
    </xf>
    <xf numFmtId="3" fontId="31" fillId="0" borderId="0" xfId="306" applyNumberFormat="1" applyFont="1" applyBorder="1" applyAlignment="1">
      <alignment horizontal="center"/>
    </xf>
    <xf numFmtId="3" fontId="76" fillId="0" borderId="0" xfId="306" applyNumberFormat="1" applyFont="1" applyBorder="1" applyAlignment="1">
      <alignment horizontal="center"/>
    </xf>
    <xf numFmtId="180" fontId="77" fillId="0" borderId="0" xfId="306" quotePrefix="1" applyNumberFormat="1" applyFont="1" applyFill="1" applyAlignment="1">
      <alignment horizontal="center"/>
    </xf>
    <xf numFmtId="164" fontId="75" fillId="0" borderId="0" xfId="306" applyNumberFormat="1" applyAlignment="1">
      <alignment horizontal="center"/>
    </xf>
    <xf numFmtId="164" fontId="14" fillId="0" borderId="0" xfId="306" applyNumberFormat="1" applyFont="1" applyAlignment="1">
      <alignment horizontal="center"/>
    </xf>
    <xf numFmtId="3" fontId="75" fillId="0" borderId="0" xfId="306" applyNumberFormat="1" applyAlignment="1">
      <alignment horizontal="center"/>
    </xf>
    <xf numFmtId="3" fontId="14" fillId="0" borderId="0" xfId="306" applyNumberFormat="1" applyFont="1" applyAlignment="1">
      <alignment wrapText="1"/>
    </xf>
    <xf numFmtId="3" fontId="14" fillId="0" borderId="0" xfId="306" applyNumberFormat="1" applyFont="1" applyAlignment="1">
      <alignment horizontal="center"/>
    </xf>
    <xf numFmtId="0" fontId="14" fillId="0" borderId="0" xfId="306" applyFont="1"/>
    <xf numFmtId="0" fontId="78" fillId="0" borderId="0" xfId="306" applyFont="1"/>
    <xf numFmtId="1" fontId="31" fillId="0" borderId="0" xfId="306" applyNumberFormat="1" applyFont="1" applyAlignment="1">
      <alignment horizontal="center"/>
    </xf>
    <xf numFmtId="0" fontId="31" fillId="0" borderId="0" xfId="306" applyFont="1" applyAlignment="1">
      <alignment horizontal="center"/>
    </xf>
    <xf numFmtId="164" fontId="75" fillId="0" borderId="0" xfId="306" applyNumberFormat="1"/>
    <xf numFmtId="164" fontId="14" fillId="0" borderId="0" xfId="306" applyNumberFormat="1" applyFont="1"/>
    <xf numFmtId="1" fontId="75" fillId="0" borderId="0" xfId="306" applyNumberFormat="1" applyAlignment="1">
      <alignment horizontal="center"/>
    </xf>
    <xf numFmtId="164" fontId="3" fillId="0" borderId="0" xfId="5" applyNumberFormat="1" applyAlignment="1">
      <alignment horizontal="center"/>
    </xf>
    <xf numFmtId="165" fontId="14" fillId="0" borderId="0" xfId="6" applyNumberFormat="1" applyFont="1" applyAlignment="1">
      <alignment wrapText="1"/>
    </xf>
    <xf numFmtId="3" fontId="75" fillId="0" borderId="22" xfId="306" applyNumberFormat="1" applyBorder="1" applyAlignment="1">
      <alignment horizontal="center" wrapText="1"/>
    </xf>
    <xf numFmtId="3" fontId="14" fillId="0" borderId="0" xfId="306" applyNumberFormat="1" applyFont="1" applyBorder="1" applyAlignment="1">
      <alignment horizontal="center" wrapText="1"/>
    </xf>
    <xf numFmtId="0" fontId="75" fillId="0" borderId="0" xfId="306" applyAlignment="1">
      <alignment horizontal="center"/>
    </xf>
    <xf numFmtId="0" fontId="14" fillId="0" borderId="0" xfId="306" applyFont="1" applyAlignment="1">
      <alignment wrapText="1"/>
    </xf>
    <xf numFmtId="0" fontId="26" fillId="0" borderId="0" xfId="306" applyFont="1" applyAlignment="1">
      <alignment horizontal="center"/>
    </xf>
    <xf numFmtId="3" fontId="3" fillId="0" borderId="0" xfId="306" applyNumberFormat="1" applyFont="1" applyAlignment="1">
      <alignment horizontal="center"/>
    </xf>
    <xf numFmtId="38" fontId="18" fillId="0" borderId="0" xfId="306" applyNumberFormat="1" applyFont="1" applyAlignment="1">
      <alignment horizontal="center"/>
    </xf>
    <xf numFmtId="38" fontId="3" fillId="0" borderId="0" xfId="306" applyNumberFormat="1" applyFont="1" applyAlignment="1">
      <alignment horizontal="center"/>
    </xf>
    <xf numFmtId="164" fontId="18" fillId="0" borderId="0" xfId="5" applyNumberFormat="1" applyFont="1" applyAlignment="1">
      <alignment horizontal="center"/>
    </xf>
    <xf numFmtId="173" fontId="14" fillId="0" borderId="0" xfId="306" applyNumberFormat="1" applyFont="1" applyAlignment="1">
      <alignment horizontal="center"/>
    </xf>
    <xf numFmtId="3" fontId="14" fillId="0" borderId="0" xfId="306" applyNumberFormat="1" applyFont="1" applyAlignment="1">
      <alignment horizontal="center" wrapText="1"/>
    </xf>
    <xf numFmtId="180" fontId="14" fillId="41" borderId="0" xfId="306" applyNumberFormat="1" applyFont="1" applyFill="1" applyAlignment="1">
      <alignment horizontal="center"/>
    </xf>
    <xf numFmtId="0" fontId="14" fillId="41" borderId="0" xfId="306" applyFont="1" applyFill="1" applyAlignment="1">
      <alignment horizontal="left"/>
    </xf>
    <xf numFmtId="0" fontId="75" fillId="41" borderId="0" xfId="306" applyFill="1" applyAlignment="1">
      <alignment horizontal="center"/>
    </xf>
    <xf numFmtId="0" fontId="14" fillId="41" borderId="0" xfId="306" applyFont="1" applyFill="1" applyAlignment="1">
      <alignment wrapText="1"/>
    </xf>
    <xf numFmtId="0" fontId="75" fillId="41" borderId="0" xfId="306" applyFill="1"/>
    <xf numFmtId="0" fontId="75" fillId="41" borderId="0" xfId="306" applyFill="1" applyAlignment="1">
      <alignment wrapText="1"/>
    </xf>
    <xf numFmtId="0" fontId="14" fillId="41" borderId="0" xfId="306" quotePrefix="1" applyFont="1" applyFill="1" applyAlignment="1">
      <alignment horizontal="left"/>
    </xf>
    <xf numFmtId="181" fontId="75" fillId="0" borderId="0" xfId="306" applyNumberFormat="1" applyAlignment="1">
      <alignment horizontal="center"/>
    </xf>
    <xf numFmtId="0" fontId="75" fillId="0" borderId="0" xfId="306" applyAlignment="1">
      <alignment wrapText="1"/>
    </xf>
    <xf numFmtId="0" fontId="14" fillId="0" borderId="0" xfId="306" applyFont="1" applyAlignment="1">
      <alignment horizontal="center"/>
    </xf>
    <xf numFmtId="0" fontId="3" fillId="0" borderId="0" xfId="306" applyFont="1"/>
    <xf numFmtId="174" fontId="75" fillId="0" borderId="0" xfId="306" applyNumberFormat="1" applyAlignment="1">
      <alignment horizontal="center"/>
    </xf>
    <xf numFmtId="3" fontId="75" fillId="79" borderId="0" xfId="306" applyNumberFormat="1" applyFill="1" applyAlignment="1">
      <alignment horizontal="center"/>
    </xf>
    <xf numFmtId="3" fontId="75" fillId="0" borderId="0" xfId="306" applyNumberFormat="1"/>
    <xf numFmtId="174" fontId="75" fillId="0" borderId="1" xfId="306" applyNumberFormat="1" applyBorder="1" applyAlignment="1">
      <alignment horizontal="center"/>
    </xf>
    <xf numFmtId="3" fontId="75" fillId="0" borderId="1" xfId="306" applyNumberFormat="1" applyBorder="1" applyAlignment="1">
      <alignment horizontal="center"/>
    </xf>
    <xf numFmtId="3" fontId="75" fillId="79" borderId="1" xfId="306" applyNumberFormat="1" applyFill="1" applyBorder="1" applyAlignment="1">
      <alignment horizontal="center"/>
    </xf>
    <xf numFmtId="0" fontId="75" fillId="0" borderId="1" xfId="306" applyBorder="1"/>
    <xf numFmtId="164" fontId="75" fillId="0" borderId="1" xfId="306" applyNumberFormat="1" applyBorder="1"/>
    <xf numFmtId="3" fontId="75" fillId="0" borderId="1" xfId="306" applyNumberFormat="1" applyBorder="1"/>
    <xf numFmtId="164" fontId="0" fillId="0" borderId="1" xfId="5" applyNumberFormat="1" applyFont="1" applyBorder="1"/>
    <xf numFmtId="3" fontId="14" fillId="79" borderId="0" xfId="306" applyNumberFormat="1" applyFont="1" applyFill="1" applyAlignment="1">
      <alignment horizontal="center"/>
    </xf>
    <xf numFmtId="3" fontId="14" fillId="0" borderId="0" xfId="306" applyNumberFormat="1" applyFont="1"/>
    <xf numFmtId="3" fontId="75" fillId="0" borderId="0" xfId="306" quotePrefix="1" applyNumberFormat="1"/>
    <xf numFmtId="0" fontId="31" fillId="0" borderId="8" xfId="306" applyFont="1" applyFill="1" applyBorder="1" applyAlignment="1">
      <alignment horizontal="center" vertical="center"/>
    </xf>
    <xf numFmtId="3" fontId="31" fillId="0" borderId="0" xfId="306" quotePrefix="1" applyNumberFormat="1" applyFont="1" applyAlignment="1">
      <alignment horizontal="center" wrapText="1"/>
    </xf>
    <xf numFmtId="3" fontId="31" fillId="0" borderId="0" xfId="306" applyNumberFormat="1" applyFont="1" applyAlignment="1">
      <alignment horizontal="center" wrapText="1"/>
    </xf>
    <xf numFmtId="3" fontId="31" fillId="0" borderId="0" xfId="306" quotePrefix="1" applyNumberFormat="1" applyFont="1" applyFill="1" applyBorder="1" applyAlignment="1">
      <alignment horizontal="center" wrapText="1"/>
    </xf>
    <xf numFmtId="0" fontId="31" fillId="0" borderId="0" xfId="306" applyFont="1" applyAlignment="1">
      <alignment horizontal="center" vertical="center"/>
    </xf>
    <xf numFmtId="0" fontId="31" fillId="0" borderId="0" xfId="306" applyFont="1" applyBorder="1" applyAlignment="1">
      <alignment horizontal="center" vertical="center"/>
    </xf>
    <xf numFmtId="0" fontId="75" fillId="0" borderId="0" xfId="306" quotePrefix="1" applyAlignment="1">
      <alignment horizontal="left"/>
    </xf>
    <xf numFmtId="0" fontId="75" fillId="0" borderId="40" xfId="306" applyBorder="1"/>
    <xf numFmtId="0" fontId="75" fillId="0" borderId="28" xfId="306" applyBorder="1"/>
    <xf numFmtId="182" fontId="3" fillId="0" borderId="41" xfId="6" applyNumberFormat="1" applyFont="1" applyBorder="1" applyProtection="1"/>
    <xf numFmtId="0" fontId="31" fillId="0" borderId="1" xfId="306" applyFont="1" applyBorder="1" applyAlignment="1">
      <alignment horizontal="center"/>
    </xf>
    <xf numFmtId="3" fontId="31" fillId="0" borderId="1" xfId="306" applyNumberFormat="1" applyFont="1" applyBorder="1" applyAlignment="1">
      <alignment horizontal="center"/>
    </xf>
    <xf numFmtId="0" fontId="75" fillId="0" borderId="1" xfId="306" applyBorder="1" applyAlignment="1">
      <alignment horizontal="center"/>
    </xf>
    <xf numFmtId="0" fontId="0" fillId="0" borderId="0" xfId="0"/>
    <xf numFmtId="3" fontId="31" fillId="25" borderId="0" xfId="306" applyNumberFormat="1" applyFont="1" applyFill="1" applyAlignment="1">
      <alignment horizontal="center"/>
    </xf>
    <xf numFmtId="3" fontId="31" fillId="25" borderId="1" xfId="306" applyNumberFormat="1" applyFont="1" applyFill="1" applyBorder="1" applyAlignment="1">
      <alignment horizontal="center"/>
    </xf>
    <xf numFmtId="3" fontId="76" fillId="25" borderId="0" xfId="306" applyNumberFormat="1" applyFont="1" applyFill="1" applyAlignment="1">
      <alignment horizontal="center"/>
    </xf>
    <xf numFmtId="3" fontId="76" fillId="25" borderId="1" xfId="306" applyNumberFormat="1" applyFont="1" applyFill="1" applyBorder="1" applyAlignment="1">
      <alignment horizontal="center"/>
    </xf>
    <xf numFmtId="3" fontId="0" fillId="25" borderId="0" xfId="0" applyNumberFormat="1" applyFill="1"/>
    <xf numFmtId="0" fontId="0" fillId="25" borderId="0" xfId="0" applyFill="1"/>
    <xf numFmtId="164" fontId="0" fillId="25" borderId="0" xfId="1" applyNumberFormat="1" applyFont="1" applyFill="1"/>
    <xf numFmtId="0" fontId="22" fillId="0" borderId="0" xfId="115"/>
    <xf numFmtId="0" fontId="0" fillId="0" borderId="0" xfId="0"/>
    <xf numFmtId="164" fontId="19" fillId="0" borderId="0" xfId="1" applyNumberFormat="1" applyFont="1"/>
    <xf numFmtId="183" fontId="0" fillId="0" borderId="0" xfId="1" applyNumberFormat="1" applyFont="1"/>
    <xf numFmtId="9" fontId="0" fillId="0" borderId="0" xfId="1" applyFont="1"/>
    <xf numFmtId="0" fontId="3" fillId="0" borderId="0" xfId="455" applyFont="1"/>
    <xf numFmtId="0" fontId="14" fillId="0" borderId="0" xfId="455" applyFont="1" applyBorder="1" applyAlignment="1">
      <alignment horizontal="center"/>
    </xf>
    <xf numFmtId="0" fontId="3" fillId="0" borderId="0" xfId="455" quotePrefix="1" applyFont="1" applyFill="1" applyAlignment="1">
      <alignment horizontal="left"/>
    </xf>
    <xf numFmtId="0" fontId="3" fillId="0" borderId="0" xfId="455" applyFont="1" applyFill="1"/>
    <xf numFmtId="3" fontId="3" fillId="0" borderId="0" xfId="455" applyNumberFormat="1" applyFont="1" applyFill="1" applyAlignment="1">
      <alignment horizontal="center"/>
    </xf>
    <xf numFmtId="164" fontId="3" fillId="0" borderId="0" xfId="455" applyNumberFormat="1" applyFont="1" applyFill="1" applyAlignment="1">
      <alignment horizontal="center"/>
    </xf>
    <xf numFmtId="0" fontId="3" fillId="0" borderId="0" xfId="455" applyFont="1" applyAlignment="1">
      <alignment horizontal="center"/>
    </xf>
    <xf numFmtId="0" fontId="3" fillId="0" borderId="0" xfId="4" quotePrefix="1" applyFont="1" applyFill="1" applyAlignment="1">
      <alignment horizontal="left"/>
    </xf>
    <xf numFmtId="0" fontId="3" fillId="0" borderId="0" xfId="455" quotePrefix="1" applyFont="1"/>
    <xf numFmtId="0" fontId="3" fillId="0" borderId="0" xfId="455" quotePrefix="1" applyFont="1" applyAlignment="1">
      <alignment horizontal="left"/>
    </xf>
    <xf numFmtId="3" fontId="3" fillId="0" borderId="0" xfId="455" applyNumberFormat="1" applyFont="1" applyAlignment="1">
      <alignment horizontal="center"/>
    </xf>
    <xf numFmtId="164" fontId="3" fillId="0" borderId="0" xfId="455" applyNumberFormat="1" applyFont="1" applyAlignment="1">
      <alignment horizontal="center"/>
    </xf>
    <xf numFmtId="164" fontId="3" fillId="0" borderId="0" xfId="455" applyNumberFormat="1" applyFont="1"/>
    <xf numFmtId="0" fontId="14" fillId="0" borderId="0" xfId="455" applyFont="1" applyBorder="1" applyAlignment="1">
      <alignment horizontal="centerContinuous"/>
    </xf>
    <xf numFmtId="0" fontId="3" fillId="0" borderId="0" xfId="455" applyFont="1" applyAlignment="1">
      <alignment horizontal="centerContinuous"/>
    </xf>
    <xf numFmtId="0" fontId="3" fillId="0" borderId="0" xfId="455" applyFont="1" applyBorder="1" applyAlignment="1">
      <alignment horizontal="centerContinuous"/>
    </xf>
    <xf numFmtId="3" fontId="3" fillId="0" borderId="0" xfId="455" quotePrefix="1" applyNumberFormat="1" applyFont="1" applyFill="1" applyAlignment="1">
      <alignment horizontal="center"/>
    </xf>
    <xf numFmtId="0" fontId="3" fillId="0" borderId="0" xfId="455" applyFont="1" applyFill="1" applyAlignment="1">
      <alignment horizontal="right"/>
    </xf>
    <xf numFmtId="0" fontId="3" fillId="0" borderId="0" xfId="455" applyFont="1" applyFill="1" applyAlignment="1"/>
    <xf numFmtId="0" fontId="3" fillId="0" borderId="0" xfId="455" applyFont="1" applyFill="1" applyAlignment="1">
      <alignment horizontal="center"/>
    </xf>
    <xf numFmtId="2" fontId="3" fillId="0" borderId="0" xfId="455" applyNumberFormat="1" applyFont="1"/>
    <xf numFmtId="3" fontId="3" fillId="0" borderId="0" xfId="455" applyNumberFormat="1" applyFont="1" applyAlignment="1"/>
    <xf numFmtId="2" fontId="3" fillId="0" borderId="0" xfId="5" applyNumberFormat="1" applyFont="1"/>
    <xf numFmtId="0" fontId="3" fillId="0" borderId="0" xfId="455" applyNumberFormat="1" applyFont="1" applyAlignment="1"/>
    <xf numFmtId="3" fontId="3" fillId="0" borderId="0" xfId="455" applyNumberFormat="1" applyFont="1"/>
    <xf numFmtId="0" fontId="92" fillId="0" borderId="0" xfId="455"/>
    <xf numFmtId="0" fontId="18" fillId="0" borderId="0" xfId="455" applyFont="1" applyAlignment="1">
      <alignment horizontal="center"/>
    </xf>
    <xf numFmtId="17" fontId="93" fillId="0" borderId="0" xfId="455" applyNumberFormat="1" applyFont="1" applyAlignment="1">
      <alignment horizontal="center"/>
    </xf>
    <xf numFmtId="17" fontId="93" fillId="0" borderId="0" xfId="455" applyNumberFormat="1" applyFont="1" applyAlignment="1">
      <alignment horizontal="center" wrapText="1"/>
    </xf>
    <xf numFmtId="0" fontId="93" fillId="0" borderId="0" xfId="455" applyFont="1" applyAlignment="1">
      <alignment horizontal="center"/>
    </xf>
    <xf numFmtId="0" fontId="93" fillId="0" borderId="0" xfId="455" applyFont="1" applyAlignment="1">
      <alignment horizontal="center" wrapText="1"/>
    </xf>
    <xf numFmtId="3" fontId="12" fillId="0" borderId="0" xfId="455" applyNumberFormat="1" applyFont="1" applyFill="1" applyAlignment="1">
      <alignment horizontal="center"/>
    </xf>
    <xf numFmtId="3" fontId="12" fillId="0" borderId="0" xfId="455" applyNumberFormat="1" applyFont="1" applyAlignment="1">
      <alignment horizontal="center"/>
    </xf>
    <xf numFmtId="164" fontId="3" fillId="0" borderId="0" xfId="1" applyNumberFormat="1" applyFont="1"/>
    <xf numFmtId="168" fontId="22" fillId="40" borderId="0" xfId="115" applyNumberFormat="1" applyFill="1"/>
    <xf numFmtId="165" fontId="22" fillId="0" borderId="0" xfId="2" applyNumberFormat="1" applyFont="1"/>
    <xf numFmtId="168" fontId="12" fillId="40" borderId="0" xfId="115" applyNumberFormat="1" applyFont="1" applyFill="1" applyAlignment="1">
      <alignment horizontal="right"/>
    </xf>
    <xf numFmtId="164" fontId="22" fillId="0" borderId="0" xfId="1" applyNumberFormat="1" applyFont="1"/>
    <xf numFmtId="0" fontId="9" fillId="0" borderId="0" xfId="115" applyFont="1" applyFill="1" applyBorder="1" applyAlignment="1">
      <alignment horizontal="center" wrapText="1"/>
    </xf>
    <xf numFmtId="0" fontId="0" fillId="40" borderId="0" xfId="0" applyFill="1"/>
    <xf numFmtId="4" fontId="0" fillId="40" borderId="0" xfId="0" applyNumberFormat="1" applyFill="1"/>
    <xf numFmtId="0" fontId="92" fillId="0" borderId="0" xfId="455" applyFill="1"/>
    <xf numFmtId="0" fontId="4" fillId="0" borderId="0" xfId="455" applyFont="1" applyFill="1" applyBorder="1" applyAlignment="1">
      <alignment horizontal="center"/>
    </xf>
    <xf numFmtId="0" fontId="6" fillId="0" borderId="0" xfId="455" applyFont="1" applyFill="1"/>
    <xf numFmtId="0" fontId="6" fillId="0" borderId="0" xfId="455" quotePrefix="1" applyFont="1" applyAlignment="1">
      <alignment horizontal="left"/>
    </xf>
    <xf numFmtId="0" fontId="6" fillId="0" borderId="0" xfId="455" applyFont="1"/>
    <xf numFmtId="4" fontId="6" fillId="0" borderId="0" xfId="455" applyNumberFormat="1" applyFont="1" applyAlignment="1">
      <alignment horizontal="center"/>
    </xf>
    <xf numFmtId="164" fontId="6" fillId="0" borderId="0" xfId="455" applyNumberFormat="1" applyFont="1" applyAlignment="1">
      <alignment horizontal="center"/>
    </xf>
    <xf numFmtId="10" fontId="3" fillId="0" borderId="0" xfId="5" applyNumberFormat="1" applyFill="1"/>
    <xf numFmtId="0" fontId="6" fillId="0" borderId="0" xfId="455" applyFont="1" applyAlignment="1">
      <alignment horizontal="center"/>
    </xf>
    <xf numFmtId="164" fontId="6" fillId="0" borderId="0" xfId="455" applyNumberFormat="1" applyFont="1" applyFill="1" applyAlignment="1">
      <alignment horizontal="center"/>
    </xf>
    <xf numFmtId="0" fontId="5" fillId="0" borderId="0" xfId="455" applyFont="1" applyFill="1" applyBorder="1" applyAlignment="1">
      <alignment horizontal="centerContinuous"/>
    </xf>
    <xf numFmtId="0" fontId="6" fillId="0" borderId="0" xfId="455" applyFont="1" applyFill="1" applyAlignment="1">
      <alignment horizontal="centerContinuous"/>
    </xf>
    <xf numFmtId="0" fontId="6" fillId="0" borderId="0" xfId="455" applyFont="1" applyFill="1" applyBorder="1" applyAlignment="1">
      <alignment horizontal="centerContinuous"/>
    </xf>
    <xf numFmtId="0" fontId="6" fillId="0" borderId="0" xfId="455" applyFont="1" applyFill="1" applyAlignment="1">
      <alignment horizontal="center"/>
    </xf>
    <xf numFmtId="3" fontId="6" fillId="0" borderId="0" xfId="455" quotePrefix="1" applyNumberFormat="1" applyFont="1" applyFill="1" applyAlignment="1">
      <alignment horizontal="center"/>
    </xf>
    <xf numFmtId="0" fontId="6" fillId="0" borderId="0" xfId="455" applyFont="1" applyFill="1" applyAlignment="1">
      <alignment horizontal="right"/>
    </xf>
    <xf numFmtId="0" fontId="6" fillId="0" borderId="0" xfId="455" applyFont="1" applyFill="1" applyAlignment="1"/>
    <xf numFmtId="0" fontId="92" fillId="0" borderId="0" xfId="455" quotePrefix="1" applyFill="1" applyAlignment="1">
      <alignment horizontal="left"/>
    </xf>
    <xf numFmtId="184" fontId="92" fillId="0" borderId="0" xfId="455" applyNumberFormat="1" applyFill="1"/>
    <xf numFmtId="173" fontId="6" fillId="0" borderId="0" xfId="455" applyNumberFormat="1" applyFont="1" applyFill="1" applyAlignment="1">
      <alignment horizontal="center"/>
    </xf>
    <xf numFmtId="4" fontId="8" fillId="0" borderId="0" xfId="455" applyNumberFormat="1" applyFont="1" applyFill="1" applyAlignment="1">
      <alignment horizontal="center"/>
    </xf>
    <xf numFmtId="4" fontId="92" fillId="0" borderId="0" xfId="455" applyNumberFormat="1" applyFill="1"/>
    <xf numFmtId="164" fontId="92" fillId="0" borderId="0" xfId="455" applyNumberFormat="1" applyFill="1"/>
    <xf numFmtId="0" fontId="94" fillId="0" borderId="0" xfId="455" applyFont="1" applyFill="1"/>
    <xf numFmtId="0" fontId="3" fillId="0" borderId="0" xfId="455" quotePrefix="1" applyFont="1" applyFill="1" applyAlignment="1">
      <alignment horizontal="center"/>
    </xf>
    <xf numFmtId="3" fontId="92" fillId="0" borderId="0" xfId="455" applyNumberFormat="1" applyFill="1"/>
    <xf numFmtId="1" fontId="0" fillId="0" borderId="0" xfId="5" applyNumberFormat="1" applyFont="1" applyFill="1"/>
    <xf numFmtId="1" fontId="92" fillId="0" borderId="0" xfId="455" applyNumberFormat="1" applyFill="1"/>
    <xf numFmtId="10" fontId="0" fillId="0" borderId="0" xfId="5" applyNumberFormat="1" applyFont="1" applyFill="1"/>
    <xf numFmtId="164" fontId="6" fillId="0" borderId="0" xfId="455" applyNumberFormat="1" applyFont="1" applyFill="1" applyAlignment="1">
      <alignment horizontal="right"/>
    </xf>
    <xf numFmtId="10" fontId="6" fillId="0" borderId="0" xfId="455" applyNumberFormat="1" applyFont="1" applyFill="1" applyAlignment="1">
      <alignment horizontal="center"/>
    </xf>
    <xf numFmtId="173" fontId="8" fillId="0" borderId="0" xfId="455" applyNumberFormat="1" applyFont="1" applyFill="1" applyAlignment="1">
      <alignment horizontal="center"/>
    </xf>
    <xf numFmtId="16" fontId="6" fillId="0" borderId="0" xfId="455" quotePrefix="1" applyNumberFormat="1" applyFont="1" applyFill="1" applyAlignment="1">
      <alignment horizontal="center"/>
    </xf>
    <xf numFmtId="0" fontId="6" fillId="0" borderId="0" xfId="455" quotePrefix="1" applyFont="1" applyFill="1" applyAlignment="1">
      <alignment horizontal="center" wrapText="1"/>
    </xf>
    <xf numFmtId="17" fontId="95" fillId="0" borderId="0" xfId="455" quotePrefix="1" applyNumberFormat="1" applyFont="1" applyFill="1" applyAlignment="1">
      <alignment horizontal="center"/>
    </xf>
    <xf numFmtId="0" fontId="7" fillId="0" borderId="0" xfId="455" applyFont="1" applyFill="1" applyAlignment="1">
      <alignment horizontal="center" wrapText="1"/>
    </xf>
    <xf numFmtId="0" fontId="7" fillId="0" borderId="0" xfId="455" applyFont="1" applyFill="1" applyAlignment="1">
      <alignment horizontal="center"/>
    </xf>
    <xf numFmtId="3" fontId="8" fillId="0" borderId="0" xfId="455" applyNumberFormat="1" applyFont="1" applyFill="1" applyAlignment="1">
      <alignment horizontal="center"/>
    </xf>
    <xf numFmtId="4" fontId="23" fillId="0" borderId="0" xfId="0" applyNumberFormat="1" applyFont="1"/>
    <xf numFmtId="3" fontId="6" fillId="0" borderId="0" xfId="455" applyNumberFormat="1" applyFont="1" applyFill="1" applyAlignment="1">
      <alignment horizontal="right"/>
    </xf>
    <xf numFmtId="3" fontId="6" fillId="0" borderId="0" xfId="455" applyNumberFormat="1" applyFont="1" applyFill="1" applyAlignment="1">
      <alignment horizontal="center"/>
    </xf>
    <xf numFmtId="185" fontId="0" fillId="0" borderId="0" xfId="6" applyNumberFormat="1" applyFont="1" applyFill="1"/>
    <xf numFmtId="173" fontId="6" fillId="0" borderId="0" xfId="455" applyNumberFormat="1" applyFont="1" applyFill="1" applyAlignment="1">
      <alignment horizontal="right"/>
    </xf>
    <xf numFmtId="173" fontId="6" fillId="0" borderId="0" xfId="455" applyNumberFormat="1" applyFont="1" applyFill="1"/>
    <xf numFmtId="173" fontId="31" fillId="0" borderId="0" xfId="455" applyNumberFormat="1" applyFont="1" applyFill="1" applyAlignment="1">
      <alignment horizontal="center"/>
    </xf>
    <xf numFmtId="164" fontId="8" fillId="0" borderId="0" xfId="1" applyNumberFormat="1" applyFont="1" applyFill="1" applyAlignment="1">
      <alignment horizontal="center"/>
    </xf>
    <xf numFmtId="173" fontId="8" fillId="40" borderId="0" xfId="455" applyNumberFormat="1" applyFont="1" applyFill="1" applyAlignment="1">
      <alignment horizontal="center"/>
    </xf>
    <xf numFmtId="186" fontId="0" fillId="0" borderId="0" xfId="0" applyNumberFormat="1"/>
    <xf numFmtId="164" fontId="6" fillId="40" borderId="0" xfId="455" applyNumberFormat="1" applyFont="1" applyFill="1" applyAlignment="1">
      <alignment horizontal="center"/>
    </xf>
    <xf numFmtId="184" fontId="92" fillId="40" borderId="0" xfId="455" applyNumberFormat="1" applyFill="1"/>
    <xf numFmtId="0" fontId="6" fillId="40" borderId="0" xfId="455" applyFont="1" applyFill="1" applyAlignment="1">
      <alignment horizontal="right"/>
    </xf>
    <xf numFmtId="173" fontId="6" fillId="40" borderId="0" xfId="455" applyNumberFormat="1" applyFont="1" applyFill="1" applyAlignment="1">
      <alignment horizontal="center"/>
    </xf>
    <xf numFmtId="0" fontId="6" fillId="40" borderId="0" xfId="455" applyFont="1" applyFill="1"/>
    <xf numFmtId="164" fontId="92" fillId="0" borderId="0" xfId="1" applyNumberFormat="1" applyFont="1" applyFill="1"/>
    <xf numFmtId="0" fontId="0" fillId="0" borderId="0" xfId="0" quotePrefix="1" applyAlignment="1">
      <alignment horizontal="left"/>
    </xf>
    <xf numFmtId="0" fontId="22" fillId="0" borderId="0" xfId="115"/>
    <xf numFmtId="0" fontId="0" fillId="0" borderId="0" xfId="0"/>
    <xf numFmtId="0" fontId="14" fillId="0" borderId="0" xfId="306" applyFont="1" applyAlignment="1">
      <alignment horizontal="center"/>
    </xf>
    <xf numFmtId="0" fontId="4" fillId="0" borderId="1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5" fillId="0" borderId="1" xfId="4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5" fillId="0" borderId="1" xfId="455" applyFont="1" applyFill="1" applyBorder="1" applyAlignment="1">
      <alignment horizontal="center"/>
    </xf>
    <xf numFmtId="0" fontId="7" fillId="0" borderId="0" xfId="455" applyFont="1" applyFill="1" applyAlignment="1">
      <alignment horizontal="center"/>
    </xf>
    <xf numFmtId="0" fontId="4" fillId="0" borderId="1" xfId="455" quotePrefix="1" applyFont="1" applyFill="1" applyBorder="1" applyAlignment="1">
      <alignment horizontal="center"/>
    </xf>
    <xf numFmtId="0" fontId="4" fillId="0" borderId="1" xfId="455" applyFont="1" applyFill="1" applyBorder="1" applyAlignment="1">
      <alignment horizontal="center"/>
    </xf>
    <xf numFmtId="0" fontId="5" fillId="0" borderId="0" xfId="455" applyFont="1" applyFill="1" applyAlignment="1">
      <alignment horizontal="center"/>
    </xf>
    <xf numFmtId="0" fontId="3" fillId="0" borderId="0" xfId="455" applyFont="1" applyFill="1" applyAlignment="1">
      <alignment horizontal="center"/>
    </xf>
    <xf numFmtId="164" fontId="3" fillId="0" borderId="0" xfId="5" applyNumberFormat="1" applyFont="1" applyFill="1" applyAlignment="1">
      <alignment horizontal="center"/>
    </xf>
    <xf numFmtId="0" fontId="12" fillId="0" borderId="0" xfId="115" applyFont="1" applyFill="1" applyAlignment="1">
      <alignment horizontal="left" vertical="top" wrapText="1"/>
    </xf>
    <xf numFmtId="0" fontId="22" fillId="0" borderId="0" xfId="115"/>
    <xf numFmtId="0" fontId="13" fillId="0" borderId="0" xfId="115" applyFont="1" applyFill="1" applyAlignment="1">
      <alignment horizontal="left"/>
    </xf>
    <xf numFmtId="0" fontId="9" fillId="0" borderId="0" xfId="115" applyFont="1" applyFill="1" applyAlignment="1">
      <alignment horizontal="left" vertical="top" wrapText="1"/>
    </xf>
    <xf numFmtId="0" fontId="12" fillId="0" borderId="0" xfId="115" applyFont="1" applyFill="1" applyAlignment="1">
      <alignment horizontal="left"/>
    </xf>
    <xf numFmtId="0" fontId="12" fillId="0" borderId="0" xfId="0" applyFont="1" applyFill="1" applyAlignment="1">
      <alignment horizontal="left" vertical="top" wrapText="1"/>
    </xf>
    <xf numFmtId="0" fontId="0" fillId="0" borderId="0" xfId="0"/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23" fillId="0" borderId="0" xfId="0" applyFont="1"/>
    <xf numFmtId="0" fontId="26" fillId="0" borderId="0" xfId="0" applyFont="1" applyFill="1" applyAlignment="1">
      <alignment horizontal="left" vertical="top" wrapText="1"/>
    </xf>
    <xf numFmtId="0" fontId="33" fillId="0" borderId="0" xfId="127" applyFont="1"/>
    <xf numFmtId="0" fontId="28" fillId="0" borderId="13" xfId="117" applyBorder="1" applyAlignment="1">
      <alignment horizontal="right"/>
    </xf>
    <xf numFmtId="0" fontId="28" fillId="0" borderId="14" xfId="117" applyBorder="1" applyAlignment="1">
      <alignment horizontal="right"/>
    </xf>
    <xf numFmtId="49" fontId="27" fillId="25" borderId="6" xfId="116" applyNumberFormat="1" applyFill="1" applyAlignment="1">
      <alignment horizontal="center" wrapText="1"/>
    </xf>
    <xf numFmtId="49" fontId="30" fillId="20" borderId="0" xfId="119" applyNumberFormat="1" applyBorder="1" applyAlignment="1">
      <alignment horizontal="center" wrapText="1"/>
    </xf>
    <xf numFmtId="0" fontId="30" fillId="20" borderId="0" xfId="119" applyAlignment="1">
      <alignment horizontal="center" wrapText="1"/>
    </xf>
    <xf numFmtId="0" fontId="30" fillId="20" borderId="0" xfId="119"/>
    <xf numFmtId="0" fontId="14" fillId="0" borderId="1" xfId="455" quotePrefix="1" applyFont="1" applyBorder="1" applyAlignment="1">
      <alignment horizontal="center"/>
    </xf>
    <xf numFmtId="0" fontId="14" fillId="0" borderId="1" xfId="455" applyFont="1" applyBorder="1" applyAlignment="1">
      <alignment horizontal="center"/>
    </xf>
    <xf numFmtId="0" fontId="14" fillId="0" borderId="0" xfId="455" applyFont="1" applyAlignment="1">
      <alignment horizontal="center"/>
    </xf>
    <xf numFmtId="0" fontId="24" fillId="0" borderId="0" xfId="0" applyFont="1"/>
  </cellXfs>
  <cellStyles count="456">
    <cellStyle name="_CC Oil" xfId="155"/>
    <cellStyle name="_CC Oil_Copy of FUEL JAN 2012 -DEC 2012 MARGINAL COST SEASONAL" xfId="156"/>
    <cellStyle name="_ColumnTitles" xfId="157"/>
    <cellStyle name="_DateRange" xfId="158"/>
    <cellStyle name="_DSO Oil" xfId="159"/>
    <cellStyle name="_DSO Oil_Copy of FUEL JAN 2012 -DEC 2012 MARGINAL COST SEASONAL" xfId="160"/>
    <cellStyle name="_FLCC Oil" xfId="161"/>
    <cellStyle name="_FLCC Oil_Copy of FUEL JAN 2012 -DEC 2012 MARGINAL COST SEASONAL" xfId="162"/>
    <cellStyle name="_FLPEGT Oil" xfId="163"/>
    <cellStyle name="_FLPEGT Oil_Copy of FUEL JAN 2012 -DEC 2012 MARGINAL COST SEASONAL" xfId="164"/>
    <cellStyle name="_FMCT Oil" xfId="165"/>
    <cellStyle name="_FMCT Oil_Copy of FUEL JAN 2012 -DEC 2012 MARGINAL COST SEASONAL" xfId="166"/>
    <cellStyle name="_GTDW_DataTemplate" xfId="167"/>
    <cellStyle name="_GTDW_DataTemplate_Copy of FUEL JAN 2012 -DEC 2012 MARGINAL COST SEASONAL" xfId="168"/>
    <cellStyle name="_Gulfstream Gas" xfId="169"/>
    <cellStyle name="_Gulfstream Gas_Copy of FUEL JAN 2012 -DEC 2012 MARGINAL COST SEASONAL" xfId="170"/>
    <cellStyle name="_Hidden" xfId="171"/>
    <cellStyle name="_MR .7 Oil" xfId="172"/>
    <cellStyle name="_MR .7 Oil_Copy of FUEL JAN 2012 -DEC 2012 MARGINAL COST SEASONAL" xfId="173"/>
    <cellStyle name="_MR 1 Oil" xfId="174"/>
    <cellStyle name="_MR 1 Oil_Copy of FUEL JAN 2012 -DEC 2012 MARGINAL COST SEASONAL" xfId="175"/>
    <cellStyle name="_MRCT Oil" xfId="176"/>
    <cellStyle name="_MRCT Oil_Copy of FUEL JAN 2012 -DEC 2012 MARGINAL COST SEASONAL" xfId="177"/>
    <cellStyle name="_MT Gulfstream Gas" xfId="178"/>
    <cellStyle name="_MT Gulfstream Gas_Copy of FUEL JAN 2012 -DEC 2012 MARGINAL COST SEASONAL" xfId="179"/>
    <cellStyle name="_MT Oil" xfId="180"/>
    <cellStyle name="_MT Oil_Copy of FUEL JAN 2012 -DEC 2012 MARGINAL COST SEASONAL" xfId="181"/>
    <cellStyle name="_Normal" xfId="182"/>
    <cellStyle name="_OLCT Oil" xfId="183"/>
    <cellStyle name="_OLCT Oil_Copy of FUEL JAN 2012 -DEC 2012 MARGINAL COST SEASONAL" xfId="184"/>
    <cellStyle name="_PE Oil" xfId="185"/>
    <cellStyle name="_PE Oil_Copy of FUEL JAN 2012 -DEC 2012 MARGINAL COST SEASONAL" xfId="186"/>
    <cellStyle name="_Percentage" xfId="187"/>
    <cellStyle name="_PercentageBold" xfId="188"/>
    <cellStyle name="_PN Oil" xfId="189"/>
    <cellStyle name="_PN Oil_Copy of FUEL JAN 2012 -DEC 2012 MARGINAL COST SEASONAL" xfId="190"/>
    <cellStyle name="_RV Oil" xfId="191"/>
    <cellStyle name="_RV Oil_Copy of FUEL JAN 2012 -DEC 2012 MARGINAL COST SEASONAL" xfId="192"/>
    <cellStyle name="_SeriesAttributes" xfId="193"/>
    <cellStyle name="_SeriesData" xfId="194"/>
    <cellStyle name="_SeriesDataForecast" xfId="195"/>
    <cellStyle name="_SeriesDataForecast 2" xfId="196"/>
    <cellStyle name="_SeriesDataForecastNA" xfId="197"/>
    <cellStyle name="_SeriesDataForecastNA 2" xfId="198"/>
    <cellStyle name="_SeriesDataNA" xfId="199"/>
    <cellStyle name="_SeriesDataStatistics" xfId="200"/>
    <cellStyle name="_SeriesDataStatisticsForecast" xfId="201"/>
    <cellStyle name="_SeriesDataStatisticsForecast 2" xfId="202"/>
    <cellStyle name="_SHCT Oil" xfId="203"/>
    <cellStyle name="_SHCT Oil_Copy of FUEL JAN 2012 -DEC 2012 MARGINAL COST SEASONAL" xfId="204"/>
    <cellStyle name="_SN Oil" xfId="205"/>
    <cellStyle name="_SN Oil_Copy of FUEL JAN 2012 -DEC 2012 MARGINAL COST SEASONAL" xfId="206"/>
    <cellStyle name="_TP Oil" xfId="207"/>
    <cellStyle name="_TP Oil_Copy of FUEL JAN 2012 -DEC 2012 MARGINAL COST SEASONAL" xfId="208"/>
    <cellStyle name="20% - Accent1" xfId="120" builtinId="30"/>
    <cellStyle name="20% - Accent1 2" xfId="129"/>
    <cellStyle name="20% - Accent1 3" xfId="309"/>
    <cellStyle name="20% - Accent1 3 2" xfId="310"/>
    <cellStyle name="20% - Accent1 3 3" xfId="311"/>
    <cellStyle name="20% - Accent1 3_Unbilled Nov 2014" xfId="312"/>
    <cellStyle name="20% - Accent1 4" xfId="313"/>
    <cellStyle name="20% - Accent2 2" xfId="314"/>
    <cellStyle name="20% - Accent2 3" xfId="315"/>
    <cellStyle name="20% - Accent2 3 2" xfId="316"/>
    <cellStyle name="20% - Accent2 3 3" xfId="317"/>
    <cellStyle name="20% - Accent2 3_Unbilled Nov 2014" xfId="318"/>
    <cellStyle name="20% - Accent2 4" xfId="319"/>
    <cellStyle name="20% - Accent3" xfId="123" builtinId="38"/>
    <cellStyle name="20% - Accent3 2" xfId="320"/>
    <cellStyle name="20% - Accent3 3" xfId="321"/>
    <cellStyle name="20% - Accent3 3 2" xfId="322"/>
    <cellStyle name="20% - Accent3 3 3" xfId="323"/>
    <cellStyle name="20% - Accent3 3_Unbilled Nov 2014" xfId="324"/>
    <cellStyle name="20% - Accent3 4" xfId="325"/>
    <cellStyle name="20% - Accent4 2" xfId="326"/>
    <cellStyle name="20% - Accent4 3" xfId="327"/>
    <cellStyle name="20% - Accent4 3 2" xfId="328"/>
    <cellStyle name="20% - Accent4 3 3" xfId="329"/>
    <cellStyle name="20% - Accent4 3_Unbilled Nov 2014" xfId="330"/>
    <cellStyle name="20% - Accent4 4" xfId="331"/>
    <cellStyle name="20% - Accent5 2" xfId="332"/>
    <cellStyle name="20% - Accent5 3" xfId="333"/>
    <cellStyle name="20% - Accent5 3 2" xfId="334"/>
    <cellStyle name="20% - Accent5 3 3" xfId="335"/>
    <cellStyle name="20% - Accent5 3_Unbilled Nov 2014" xfId="336"/>
    <cellStyle name="20% - Accent5 4" xfId="337"/>
    <cellStyle name="20% - Accent6 2" xfId="338"/>
    <cellStyle name="20% - Accent6 3" xfId="339"/>
    <cellStyle name="20% - Accent6 3 2" xfId="340"/>
    <cellStyle name="20% - Accent6 3 3" xfId="341"/>
    <cellStyle name="20% - Accent6 3_Unbilled Nov 2014" xfId="342"/>
    <cellStyle name="20% - Accent6 4" xfId="343"/>
    <cellStyle name="40% - Accent1" xfId="121" builtinId="31"/>
    <cellStyle name="40% - Accent1 2" xfId="344"/>
    <cellStyle name="40% - Accent1 3" xfId="345"/>
    <cellStyle name="40% - Accent1 3 2" xfId="346"/>
    <cellStyle name="40% - Accent1 3 3" xfId="347"/>
    <cellStyle name="40% - Accent1 3_Unbilled Nov 2014" xfId="348"/>
    <cellStyle name="40% - Accent1 4" xfId="349"/>
    <cellStyle name="40% - Accent2 2" xfId="350"/>
    <cellStyle name="40% - Accent2 3" xfId="351"/>
    <cellStyle name="40% - Accent2 3 2" xfId="352"/>
    <cellStyle name="40% - Accent2 3 3" xfId="353"/>
    <cellStyle name="40% - Accent2 3_Unbilled Nov 2014" xfId="354"/>
    <cellStyle name="40% - Accent2 4" xfId="355"/>
    <cellStyle name="40% - Accent3 2" xfId="356"/>
    <cellStyle name="40% - Accent3 3" xfId="357"/>
    <cellStyle name="40% - Accent3 3 2" xfId="358"/>
    <cellStyle name="40% - Accent3 3 3" xfId="359"/>
    <cellStyle name="40% - Accent3 3_Unbilled Nov 2014" xfId="360"/>
    <cellStyle name="40% - Accent3 4" xfId="361"/>
    <cellStyle name="40% - Accent4 2" xfId="362"/>
    <cellStyle name="40% - Accent4 3" xfId="363"/>
    <cellStyle name="40% - Accent4 3 2" xfId="364"/>
    <cellStyle name="40% - Accent4 3 3" xfId="365"/>
    <cellStyle name="40% - Accent4 3_Unbilled Nov 2014" xfId="366"/>
    <cellStyle name="40% - Accent4 4" xfId="367"/>
    <cellStyle name="40% - Accent5 2" xfId="368"/>
    <cellStyle name="40% - Accent5 3" xfId="369"/>
    <cellStyle name="40% - Accent5 3 2" xfId="370"/>
    <cellStyle name="40% - Accent5 3 3" xfId="371"/>
    <cellStyle name="40% - Accent5 3_Unbilled Nov 2014" xfId="372"/>
    <cellStyle name="40% - Accent5 4" xfId="373"/>
    <cellStyle name="40% - Accent6 2" xfId="374"/>
    <cellStyle name="40% - Accent6 3" xfId="375"/>
    <cellStyle name="40% - Accent6 3 2" xfId="376"/>
    <cellStyle name="40% - Accent6 3 3" xfId="377"/>
    <cellStyle name="40% - Accent6 3_Unbilled Nov 2014" xfId="378"/>
    <cellStyle name="40% - Accent6 4" xfId="379"/>
    <cellStyle name="60% - Accent1" xfId="122" builtinId="32"/>
    <cellStyle name="60% - Accent1 2" xfId="130"/>
    <cellStyle name="60% - Accent1 3" xfId="380"/>
    <cellStyle name="60% - Accent2 2" xfId="381"/>
    <cellStyle name="60% - Accent2 3" xfId="382"/>
    <cellStyle name="60% - Accent3 2" xfId="383"/>
    <cellStyle name="60% - Accent3 3" xfId="384"/>
    <cellStyle name="60% - Accent4 2" xfId="385"/>
    <cellStyle name="60% - Accent4 3" xfId="386"/>
    <cellStyle name="60% - Accent5 2" xfId="387"/>
    <cellStyle name="60% - Accent5 3" xfId="388"/>
    <cellStyle name="60% - Accent6 2" xfId="389"/>
    <cellStyle name="60% - Accent6 3" xfId="390"/>
    <cellStyle name="Accent1" xfId="119" builtinId="29"/>
    <cellStyle name="Accent1 - 20%" xfId="131"/>
    <cellStyle name="Accent1 - 40%" xfId="132"/>
    <cellStyle name="Accent1 - 60%" xfId="133"/>
    <cellStyle name="Accent1 2" xfId="134"/>
    <cellStyle name="Accent1 3" xfId="391"/>
    <cellStyle name="Accent2 - 20%" xfId="135"/>
    <cellStyle name="Accent2 - 40%" xfId="136"/>
    <cellStyle name="Accent2 - 60%" xfId="137"/>
    <cellStyle name="Accent2 2" xfId="392"/>
    <cellStyle name="Accent2 3" xfId="393"/>
    <cellStyle name="Accent3 - 20%" xfId="138"/>
    <cellStyle name="Accent3 - 40%" xfId="139"/>
    <cellStyle name="Accent3 - 60%" xfId="140"/>
    <cellStyle name="Accent3 2" xfId="394"/>
    <cellStyle name="Accent3 3" xfId="395"/>
    <cellStyle name="Accent4 - 20%" xfId="141"/>
    <cellStyle name="Accent4 - 40%" xfId="142"/>
    <cellStyle name="Accent4 - 60%" xfId="143"/>
    <cellStyle name="Accent4 2" xfId="396"/>
    <cellStyle name="Accent4 3" xfId="397"/>
    <cellStyle name="Accent5 - 20%" xfId="144"/>
    <cellStyle name="Accent5 - 40%" xfId="145"/>
    <cellStyle name="Accent5 - 60%" xfId="146"/>
    <cellStyle name="Accent5 2" xfId="398"/>
    <cellStyle name="Accent5 3" xfId="399"/>
    <cellStyle name="Accent6 - 20%" xfId="147"/>
    <cellStyle name="Accent6 - 40%" xfId="148"/>
    <cellStyle name="Accent6 - 60%" xfId="149"/>
    <cellStyle name="Accent6 2" xfId="400"/>
    <cellStyle name="Accent6 3" xfId="401"/>
    <cellStyle name="Bad 2" xfId="402"/>
    <cellStyle name="Bad 3" xfId="403"/>
    <cellStyle name="Calc Currency (0)" xfId="209"/>
    <cellStyle name="Calculation 2" xfId="404"/>
    <cellStyle name="Calculation 3" xfId="405"/>
    <cellStyle name="Check Cell 2" xfId="406"/>
    <cellStyle name="Check Cell 3" xfId="407"/>
    <cellStyle name="Comma" xfId="2" builtinId="3"/>
    <cellStyle name="Comma  - Style1" xfId="210"/>
    <cellStyle name="Comma  - Style2" xfId="211"/>
    <cellStyle name="Comma  - Style3" xfId="212"/>
    <cellStyle name="Comma  - Style4" xfId="213"/>
    <cellStyle name="Comma  - Style5" xfId="214"/>
    <cellStyle name="Comma  - Style6" xfId="215"/>
    <cellStyle name="Comma  - Style7" xfId="216"/>
    <cellStyle name="Comma  - Style8" xfId="217"/>
    <cellStyle name="Comma 2" xfId="6"/>
    <cellStyle name="Comma 2 2" xfId="7"/>
    <cellStyle name="Comma 2 3" xfId="125"/>
    <cellStyle name="Comma 3" xfId="8"/>
    <cellStyle name="Comma 3 2" xfId="9"/>
    <cellStyle name="Comma 4" xfId="10"/>
    <cellStyle name="Comma 4 2" xfId="218"/>
    <cellStyle name="Comma 5" xfId="11"/>
    <cellStyle name="Comma 5 2" xfId="408"/>
    <cellStyle name="Comma 6" xfId="12"/>
    <cellStyle name="Comma 7" xfId="13"/>
    <cellStyle name="Comma 8" xfId="14"/>
    <cellStyle name="Copied" xfId="219"/>
    <cellStyle name="Currency" xfId="3" builtinId="4"/>
    <cellStyle name="Currency 2" xfId="15"/>
    <cellStyle name="Currency 2 2" xfId="220"/>
    <cellStyle name="Currency 3" xfId="16"/>
    <cellStyle name="Currency 3 2" xfId="409"/>
    <cellStyle name="Currency 4" xfId="17"/>
    <cellStyle name="Currency 5" xfId="18"/>
    <cellStyle name="Currency 6" xfId="19"/>
    <cellStyle name="Currency 7" xfId="20"/>
    <cellStyle name="Entered" xfId="221"/>
    <cellStyle name="Explanatory Text 2" xfId="150"/>
    <cellStyle name="Explanatory Text 3" xfId="410"/>
    <cellStyle name="Good 2" xfId="411"/>
    <cellStyle name="Good 3" xfId="412"/>
    <cellStyle name="Grey" xfId="222"/>
    <cellStyle name="Header1" xfId="223"/>
    <cellStyle name="Header2" xfId="224"/>
    <cellStyle name="Heading 1" xfId="116" builtinId="16"/>
    <cellStyle name="Heading 1 2" xfId="151"/>
    <cellStyle name="Heading 1 3" xfId="413"/>
    <cellStyle name="Heading 2" xfId="117" builtinId="17"/>
    <cellStyle name="Heading 2 2" xfId="152"/>
    <cellStyle name="Heading 2 3" xfId="414"/>
    <cellStyle name="Heading 3 2" xfId="415"/>
    <cellStyle name="Heading 3 3" xfId="416"/>
    <cellStyle name="Heading 4" xfId="118" builtinId="19"/>
    <cellStyle name="Heading 4 2" xfId="153"/>
    <cellStyle name="Heading 4 3" xfId="417"/>
    <cellStyle name="Hyperlink 2" xfId="225"/>
    <cellStyle name="Hyperlink 3" xfId="226"/>
    <cellStyle name="Input [yellow]" xfId="227"/>
    <cellStyle name="Input 2" xfId="418"/>
    <cellStyle name="Input 3" xfId="419"/>
    <cellStyle name="Linked Cell 2" xfId="420"/>
    <cellStyle name="Linked Cell 3" xfId="421"/>
    <cellStyle name="Neutral 2" xfId="422"/>
    <cellStyle name="Neutral 3" xfId="423"/>
    <cellStyle name="Normal" xfId="0" builtinId="0"/>
    <cellStyle name="Normal - Style1" xfId="228"/>
    <cellStyle name="Normal 10" xfId="229"/>
    <cellStyle name="Normal 10 2" xfId="424"/>
    <cellStyle name="Normal 11" xfId="230"/>
    <cellStyle name="Normal 11 2" xfId="425"/>
    <cellStyle name="Normal 12" xfId="231"/>
    <cellStyle name="Normal 12 3" xfId="426"/>
    <cellStyle name="Normal 13" xfId="232"/>
    <cellStyle name="Normal 14" xfId="233"/>
    <cellStyle name="Normal 15" xfId="234"/>
    <cellStyle name="Normal 16" xfId="235"/>
    <cellStyle name="Normal 17" xfId="236"/>
    <cellStyle name="Normal 18" xfId="237"/>
    <cellStyle name="Normal 19" xfId="238"/>
    <cellStyle name="Normal 2" xfId="4"/>
    <cellStyle name="Normal 2 2" xfId="21"/>
    <cellStyle name="Normal 2 2 2" xfId="427"/>
    <cellStyle name="Normal 2 3" xfId="428"/>
    <cellStyle name="Normal 2_Unbilled Nov 2014" xfId="429"/>
    <cellStyle name="Normal 20" xfId="306"/>
    <cellStyle name="Normal 21" xfId="430"/>
    <cellStyle name="Normal 22" xfId="455"/>
    <cellStyle name="Normal 3" xfId="22"/>
    <cellStyle name="Normal 3 2" xfId="23"/>
    <cellStyle name="Normal 3 2 2" xfId="431"/>
    <cellStyle name="Normal 3 2_Unbilled Nov 2014" xfId="432"/>
    <cellStyle name="Normal 3 3" xfId="433"/>
    <cellStyle name="Normal 3 4" xfId="434"/>
    <cellStyle name="Normal 4" xfId="24"/>
    <cellStyle name="Normal 4 2" xfId="25"/>
    <cellStyle name="Normal 5" xfId="26"/>
    <cellStyle name="Normal 5 2" xfId="27"/>
    <cellStyle name="Normal 5 3" xfId="435"/>
    <cellStyle name="Normal 5 4" xfId="436"/>
    <cellStyle name="Normal 5_Unbilled Nov 2014" xfId="437"/>
    <cellStyle name="Normal 6" xfId="28"/>
    <cellStyle name="Normal 6 2" xfId="29"/>
    <cellStyle name="Normal 6 3" xfId="438"/>
    <cellStyle name="Normal 7" xfId="115"/>
    <cellStyle name="Normal 7 2" xfId="239"/>
    <cellStyle name="Normal 8" xfId="240"/>
    <cellStyle name="Normal 8 2" xfId="241"/>
    <cellStyle name="Normal 9" xfId="30"/>
    <cellStyle name="Normal 9 2" xfId="31"/>
    <cellStyle name="Normal_Copy of figure51_data" xfId="128"/>
    <cellStyle name="Normal_Copy of PHEV - Strategy session 090711 (2)" xfId="127"/>
    <cellStyle name="Normal_NEPACT_rate_case" xfId="124"/>
    <cellStyle name="Normal_Obama Diffusion and kW - kWH Model - Updated" xfId="126"/>
    <cellStyle name="Note 2" xfId="242"/>
    <cellStyle name="Note 2 2" xfId="439"/>
    <cellStyle name="Note 2 3" xfId="440"/>
    <cellStyle name="Note 3" xfId="441"/>
    <cellStyle name="Note 3 2" xfId="442"/>
    <cellStyle name="Note 3 3" xfId="443"/>
    <cellStyle name="Note 4" xfId="444"/>
    <cellStyle name="Note 4 2" xfId="445"/>
    <cellStyle name="Note 5" xfId="446"/>
    <cellStyle name="Note 6" xfId="447"/>
    <cellStyle name="Note 7" xfId="448"/>
    <cellStyle name="Output 2" xfId="449"/>
    <cellStyle name="Output 3" xfId="450"/>
    <cellStyle name="Percent" xfId="1" builtinId="5"/>
    <cellStyle name="Percent [2]" xfId="243"/>
    <cellStyle name="Percent 2" xfId="5"/>
    <cellStyle name="Percent 2 2" xfId="32"/>
    <cellStyle name="Percent 2 3" xfId="307"/>
    <cellStyle name="Percent 3" xfId="33"/>
    <cellStyle name="Percent 3 2" xfId="34"/>
    <cellStyle name="Percent 4" xfId="114"/>
    <cellStyle name="Percent 5" xfId="244"/>
    <cellStyle name="Percent 6" xfId="245"/>
    <cellStyle name="Percent 7" xfId="246"/>
    <cellStyle name="Percent 8" xfId="247"/>
    <cellStyle name="RevList" xfId="248"/>
    <cellStyle name="SAPBEXaggData" xfId="35"/>
    <cellStyle name="SAPBEXaggData 2" xfId="249"/>
    <cellStyle name="SAPBEXaggData 3" xfId="250"/>
    <cellStyle name="SAPBEXaggDataEmph" xfId="36"/>
    <cellStyle name="SAPBEXaggDataEmph 2" xfId="251"/>
    <cellStyle name="SAPBEXaggItem" xfId="37"/>
    <cellStyle name="SAPBEXaggItem 2" xfId="252"/>
    <cellStyle name="SAPBEXaggItem 3" xfId="253"/>
    <cellStyle name="SAPBEXaggItemX" xfId="38"/>
    <cellStyle name="SAPBEXaggItemX 2" xfId="254"/>
    <cellStyle name="SAPBEXaggItemX 3" xfId="255"/>
    <cellStyle name="SAPBEXchaText" xfId="39"/>
    <cellStyle name="SAPBEXchaText 2" xfId="256"/>
    <cellStyle name="SAPBEXexcBad7" xfId="40"/>
    <cellStyle name="SAPBEXexcBad7 2" xfId="41"/>
    <cellStyle name="SAPBEXexcBad7 3" xfId="257"/>
    <cellStyle name="SAPBEXexcBad8" xfId="42"/>
    <cellStyle name="SAPBEXexcBad8 2" xfId="43"/>
    <cellStyle name="SAPBEXexcBad8 3" xfId="258"/>
    <cellStyle name="SAPBEXexcBad9" xfId="44"/>
    <cellStyle name="SAPBEXexcBad9 2" xfId="45"/>
    <cellStyle name="SAPBEXexcBad9 3" xfId="259"/>
    <cellStyle name="SAPBEXexcCritical4" xfId="46"/>
    <cellStyle name="SAPBEXexcCritical4 2" xfId="47"/>
    <cellStyle name="SAPBEXexcCritical4 3" xfId="260"/>
    <cellStyle name="SAPBEXexcCritical5" xfId="48"/>
    <cellStyle name="SAPBEXexcCritical5 2" xfId="49"/>
    <cellStyle name="SAPBEXexcCritical5 3" xfId="261"/>
    <cellStyle name="SAPBEXexcCritical6" xfId="50"/>
    <cellStyle name="SAPBEXexcCritical6 2" xfId="51"/>
    <cellStyle name="SAPBEXexcCritical6 3" xfId="262"/>
    <cellStyle name="SAPBEXexcGood1" xfId="52"/>
    <cellStyle name="SAPBEXexcGood1 2" xfId="53"/>
    <cellStyle name="SAPBEXexcGood1 3" xfId="263"/>
    <cellStyle name="SAPBEXexcGood2" xfId="54"/>
    <cellStyle name="SAPBEXexcGood2 2" xfId="55"/>
    <cellStyle name="SAPBEXexcGood2 3" xfId="264"/>
    <cellStyle name="SAPBEXexcGood3" xfId="56"/>
    <cellStyle name="SAPBEXexcGood3 2" xfId="57"/>
    <cellStyle name="SAPBEXexcGood3 3" xfId="265"/>
    <cellStyle name="SAPBEXfilterDrill" xfId="58"/>
    <cellStyle name="SAPBEXfilterDrill 2" xfId="59"/>
    <cellStyle name="SAPBEXfilterDrill 2 2" xfId="266"/>
    <cellStyle name="SAPBEXfilterDrill 3" xfId="267"/>
    <cellStyle name="SAPBEXfilterDrill 4" xfId="268"/>
    <cellStyle name="SAPBEXfilterDrill_Feb 12 Revenue Trend (2)" xfId="60"/>
    <cellStyle name="SAPBEXfilterItem" xfId="61"/>
    <cellStyle name="SAPBEXfilterItem 2" xfId="62"/>
    <cellStyle name="SAPBEXfilterItem 3" xfId="269"/>
    <cellStyle name="SAPBEXfilterText" xfId="63"/>
    <cellStyle name="SAPBEXfilterText 2" xfId="270"/>
    <cellStyle name="SAPBEXfilterText 2 2" xfId="271"/>
    <cellStyle name="SAPBEXfilterText 3" xfId="272"/>
    <cellStyle name="SAPBEXformats" xfId="64"/>
    <cellStyle name="SAPBEXformats 2" xfId="65"/>
    <cellStyle name="SAPBEXformats 3" xfId="273"/>
    <cellStyle name="SAPBEXheaderItem" xfId="66"/>
    <cellStyle name="SAPBEXheaderItem 2" xfId="67"/>
    <cellStyle name="SAPBEXheaderItem 2 2" xfId="274"/>
    <cellStyle name="SAPBEXheaderItem 3" xfId="68"/>
    <cellStyle name="SAPBEXheaderItem 4" xfId="69"/>
    <cellStyle name="SAPBEXheaderItem 5" xfId="70"/>
    <cellStyle name="SAPBEXheaderItem 6" xfId="71"/>
    <cellStyle name="SAPBEXheaderItem 7" xfId="72"/>
    <cellStyle name="SAPBEXheaderItem 8" xfId="73"/>
    <cellStyle name="SAPBEXheaderText" xfId="74"/>
    <cellStyle name="SAPBEXheaderText 2" xfId="75"/>
    <cellStyle name="SAPBEXheaderText 2 2" xfId="275"/>
    <cellStyle name="SAPBEXheaderText 3" xfId="76"/>
    <cellStyle name="SAPBEXheaderText 4" xfId="77"/>
    <cellStyle name="SAPBEXheaderText 5" xfId="78"/>
    <cellStyle name="SAPBEXheaderText 6" xfId="79"/>
    <cellStyle name="SAPBEXheaderText 7" xfId="80"/>
    <cellStyle name="SAPBEXheaderText 8" xfId="81"/>
    <cellStyle name="SAPBEXHLevel0" xfId="82"/>
    <cellStyle name="SAPBEXHLevel0 2" xfId="276"/>
    <cellStyle name="SAPBEXHLevel0X" xfId="83"/>
    <cellStyle name="SAPBEXHLevel0X 2" xfId="277"/>
    <cellStyle name="SAPBEXHLevel0X 3" xfId="278"/>
    <cellStyle name="SAPBEXHLevel1" xfId="84"/>
    <cellStyle name="SAPBEXHLevel1 2" xfId="85"/>
    <cellStyle name="SAPBEXHLevel1 3" xfId="279"/>
    <cellStyle name="SAPBEXHLevel1 4" xfId="280"/>
    <cellStyle name="SAPBEXHLevel1_Feb 12 Revenue Trend (2)" xfId="86"/>
    <cellStyle name="SAPBEXHLevel1X" xfId="87"/>
    <cellStyle name="SAPBEXHLevel1X 2" xfId="281"/>
    <cellStyle name="SAPBEXHLevel1X 3" xfId="282"/>
    <cellStyle name="SAPBEXHLevel2" xfId="88"/>
    <cellStyle name="SAPBEXHLevel2 2" xfId="89"/>
    <cellStyle name="SAPBEXHLevel2 3" xfId="90"/>
    <cellStyle name="SAPBEXHLevel2_Feb 12 Revenue Trend (2)" xfId="91"/>
    <cellStyle name="SAPBEXHLevel2X" xfId="92"/>
    <cellStyle name="SAPBEXHLevel2X 2" xfId="283"/>
    <cellStyle name="SAPBEXHLevel2X 3" xfId="284"/>
    <cellStyle name="SAPBEXHLevel3" xfId="93"/>
    <cellStyle name="SAPBEXHLevel3 2" xfId="285"/>
    <cellStyle name="SAPBEXHLevel3 3" xfId="286"/>
    <cellStyle name="SAPBEXHLevel3X" xfId="94"/>
    <cellStyle name="SAPBEXHLevel3X 2" xfId="287"/>
    <cellStyle name="SAPBEXHLevel3X 3" xfId="288"/>
    <cellStyle name="SAPBEXinputData" xfId="95"/>
    <cellStyle name="SAPBEXinputData 2" xfId="289"/>
    <cellStyle name="SAPBEXresData" xfId="96"/>
    <cellStyle name="SAPBEXresData 2" xfId="97"/>
    <cellStyle name="SAPBEXresData 3" xfId="290"/>
    <cellStyle name="SAPBEXresDataEmph" xfId="98"/>
    <cellStyle name="SAPBEXresDataEmph 2" xfId="291"/>
    <cellStyle name="SAPBEXresItem" xfId="99"/>
    <cellStyle name="SAPBEXresItem 2" xfId="100"/>
    <cellStyle name="SAPBEXresItem 3" xfId="292"/>
    <cellStyle name="SAPBEXresItemX" xfId="101"/>
    <cellStyle name="SAPBEXresItemX 2" xfId="102"/>
    <cellStyle name="SAPBEXresItemX 3" xfId="293"/>
    <cellStyle name="SAPBEXstdData" xfId="103"/>
    <cellStyle name="SAPBEXstdData 2" xfId="104"/>
    <cellStyle name="SAPBEXstdData 2 2" xfId="294"/>
    <cellStyle name="SAPBEXstdData 3" xfId="105"/>
    <cellStyle name="SAPBEXstdData 4" xfId="295"/>
    <cellStyle name="SAPBEXstdData_Feb 12 Revenue Trend (2)" xfId="106"/>
    <cellStyle name="SAPBEXstdDataEmph" xfId="107"/>
    <cellStyle name="SAPBEXstdDataEmph 2" xfId="296"/>
    <cellStyle name="SAPBEXstdDataEmph 3" xfId="297"/>
    <cellStyle name="SAPBEXstdItem" xfId="108"/>
    <cellStyle name="SAPBEXstdItem 2" xfId="298"/>
    <cellStyle name="SAPBEXstdItem 3" xfId="299"/>
    <cellStyle name="SAPBEXstdItemX" xfId="109"/>
    <cellStyle name="SAPBEXstdItemX 2" xfId="300"/>
    <cellStyle name="SAPBEXtitle" xfId="110"/>
    <cellStyle name="SAPBEXtitle 2" xfId="301"/>
    <cellStyle name="SAPBEXundefined" xfId="111"/>
    <cellStyle name="SAPBEXundefined 2" xfId="112"/>
    <cellStyle name="Sheet Title" xfId="154"/>
    <cellStyle name="Style 1" xfId="113"/>
    <cellStyle name="Style 1 2" xfId="308"/>
    <cellStyle name="styleDateRange" xfId="302"/>
    <cellStyle name="styleSeriesData" xfId="303"/>
    <cellStyle name="styleSeriesDataForecast" xfId="304"/>
    <cellStyle name="Subtotal" xfId="305"/>
    <cellStyle name="Total 2" xfId="451"/>
    <cellStyle name="Total 3" xfId="452"/>
    <cellStyle name="Warning Text 2" xfId="453"/>
    <cellStyle name="Warning Text 3" xfId="454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customers!$D$11:$D$21</c:f>
              <c:numCache>
                <c:formatCode>#,##0</c:formatCode>
                <c:ptCount val="11"/>
                <c:pt idx="0">
                  <c:v>21260.916666666977</c:v>
                </c:pt>
                <c:pt idx="1">
                  <c:v>26723.166666666046</c:v>
                </c:pt>
                <c:pt idx="2">
                  <c:v>29397.833333333954</c:v>
                </c:pt>
                <c:pt idx="3">
                  <c:v>50485.666666666046</c:v>
                </c:pt>
                <c:pt idx="4">
                  <c:v>81895</c:v>
                </c:pt>
                <c:pt idx="5">
                  <c:v>66552.25</c:v>
                </c:pt>
                <c:pt idx="6">
                  <c:v>70008.318585308269</c:v>
                </c:pt>
                <c:pt idx="7">
                  <c:v>71646.53356749285</c:v>
                </c:pt>
                <c:pt idx="8">
                  <c:v>72852.395387787372</c:v>
                </c:pt>
                <c:pt idx="9">
                  <c:v>72715.924511970021</c:v>
                </c:pt>
                <c:pt idx="10">
                  <c:v>72087.653923264705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93440"/>
        <c:axId val="91695744"/>
      </c:barChart>
      <c:catAx>
        <c:axId val="91693440"/>
        <c:scaling>
          <c:orientation val="minMax"/>
        </c:scaling>
        <c:delete val="0"/>
        <c:axPos val="b"/>
        <c:majorTickMark val="out"/>
        <c:minorTickMark val="none"/>
        <c:tickLblPos val="nextTo"/>
        <c:crossAx val="91695744"/>
        <c:crosses val="autoZero"/>
        <c:auto val="1"/>
        <c:lblAlgn val="ctr"/>
        <c:lblOffset val="100"/>
        <c:noMultiLvlLbl val="0"/>
      </c:catAx>
      <c:valAx>
        <c:axId val="91695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1693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customers!$C$5:$C$21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customers!$F$5:$F$21</c:f>
              <c:numCache>
                <c:formatCode>#,##0</c:formatCode>
                <c:ptCount val="17"/>
                <c:pt idx="0">
                  <c:v>107288.50000000047</c:v>
                </c:pt>
                <c:pt idx="1">
                  <c:v>97386</c:v>
                </c:pt>
                <c:pt idx="2">
                  <c:v>87667.333333333023</c:v>
                </c:pt>
                <c:pt idx="3">
                  <c:v>87026.833333333023</c:v>
                </c:pt>
                <c:pt idx="4">
                  <c:v>13140.833333333954</c:v>
                </c:pt>
                <c:pt idx="5">
                  <c:v>-10663.416666666977</c:v>
                </c:pt>
                <c:pt idx="6">
                  <c:v>21260.916666666977</c:v>
                </c:pt>
                <c:pt idx="7">
                  <c:v>26723.166666666046</c:v>
                </c:pt>
                <c:pt idx="8">
                  <c:v>29397.833333333954</c:v>
                </c:pt>
                <c:pt idx="9">
                  <c:v>35844.361111110491</c:v>
                </c:pt>
                <c:pt idx="10">
                  <c:v>53474.180555555562</c:v>
                </c:pt>
                <c:pt idx="11">
                  <c:v>66552.25</c:v>
                </c:pt>
                <c:pt idx="12">
                  <c:v>70008.318585308269</c:v>
                </c:pt>
                <c:pt idx="13">
                  <c:v>71646.53356749285</c:v>
                </c:pt>
                <c:pt idx="14">
                  <c:v>72852.395387787372</c:v>
                </c:pt>
                <c:pt idx="15">
                  <c:v>72715.924511970021</c:v>
                </c:pt>
                <c:pt idx="16">
                  <c:v>72087.653923264705</c:v>
                </c:pt>
              </c:numCache>
            </c:numRef>
          </c:val>
        </c:ser>
        <c:ser>
          <c:idx val="1"/>
          <c:order val="1"/>
          <c:invertIfNegative val="0"/>
          <c:cat>
            <c:numRef>
              <c:f>customers!$C$5:$C$21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customers!$E$5:$E$21</c:f>
              <c:numCache>
                <c:formatCode>General</c:formatCode>
                <c:ptCount val="17"/>
                <c:pt idx="9" formatCode="#,##0">
                  <c:v>14641.305555555555</c:v>
                </c:pt>
                <c:pt idx="10" formatCode="#,##0">
                  <c:v>28420.819444444442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38880"/>
        <c:axId val="91741184"/>
      </c:barChart>
      <c:catAx>
        <c:axId val="917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741184"/>
        <c:crosses val="autoZero"/>
        <c:auto val="1"/>
        <c:lblAlgn val="ctr"/>
        <c:lblOffset val="100"/>
        <c:noMultiLvlLbl val="0"/>
      </c:catAx>
      <c:valAx>
        <c:axId val="91741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173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'customers v NSAs'!$E$5:$E$21</c:f>
              <c:numCache>
                <c:formatCode>#,##0</c:formatCode>
                <c:ptCount val="17"/>
                <c:pt idx="0">
                  <c:v>115343</c:v>
                </c:pt>
                <c:pt idx="1">
                  <c:v>123809</c:v>
                </c:pt>
                <c:pt idx="2">
                  <c:v>132377</c:v>
                </c:pt>
                <c:pt idx="3">
                  <c:v>89321</c:v>
                </c:pt>
                <c:pt idx="4">
                  <c:v>58140</c:v>
                </c:pt>
                <c:pt idx="5">
                  <c:v>35102</c:v>
                </c:pt>
                <c:pt idx="6">
                  <c:v>24726</c:v>
                </c:pt>
                <c:pt idx="7">
                  <c:v>24101</c:v>
                </c:pt>
                <c:pt idx="8">
                  <c:v>27169</c:v>
                </c:pt>
                <c:pt idx="9">
                  <c:v>38490</c:v>
                </c:pt>
                <c:pt idx="10">
                  <c:v>46670</c:v>
                </c:pt>
                <c:pt idx="11">
                  <c:v>48432</c:v>
                </c:pt>
                <c:pt idx="12">
                  <c:v>56584.300190233982</c:v>
                </c:pt>
                <c:pt idx="13">
                  <c:v>67402.47231035486</c:v>
                </c:pt>
                <c:pt idx="14">
                  <c:v>73896.835856900434</c:v>
                </c:pt>
                <c:pt idx="15">
                  <c:v>77524.308550892849</c:v>
                </c:pt>
                <c:pt idx="16">
                  <c:v>80739.824401918595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06720"/>
        <c:axId val="91812992"/>
      </c:barChart>
      <c:lineChart>
        <c:grouping val="standard"/>
        <c:varyColors val="0"/>
        <c:ser>
          <c:idx val="1"/>
          <c:order val="1"/>
          <c:tx>
            <c:v>Customer Growth</c:v>
          </c:tx>
          <c:marker>
            <c:symbol val="none"/>
          </c:marker>
          <c:val>
            <c:numRef>
              <c:f>'customers v NSAs'!$G$5:$G$21</c:f>
              <c:numCache>
                <c:formatCode>#,##0</c:formatCode>
                <c:ptCount val="17"/>
                <c:pt idx="0">
                  <c:v>107288.50000000047</c:v>
                </c:pt>
                <c:pt idx="1">
                  <c:v>97386</c:v>
                </c:pt>
                <c:pt idx="2">
                  <c:v>87667.333333333023</c:v>
                </c:pt>
                <c:pt idx="3">
                  <c:v>87026.833333333023</c:v>
                </c:pt>
                <c:pt idx="4">
                  <c:v>13140.833333333954</c:v>
                </c:pt>
                <c:pt idx="5">
                  <c:v>-10663.416666666977</c:v>
                </c:pt>
                <c:pt idx="6">
                  <c:v>21260.916666666977</c:v>
                </c:pt>
                <c:pt idx="7">
                  <c:v>26723.166666666046</c:v>
                </c:pt>
                <c:pt idx="8">
                  <c:v>29397.833333333954</c:v>
                </c:pt>
                <c:pt idx="9">
                  <c:v>50485.666666666046</c:v>
                </c:pt>
                <c:pt idx="10">
                  <c:v>81895</c:v>
                </c:pt>
                <c:pt idx="11">
                  <c:v>66552.25</c:v>
                </c:pt>
                <c:pt idx="12">
                  <c:v>70008.318585308269</c:v>
                </c:pt>
                <c:pt idx="13">
                  <c:v>71646.53356749285</c:v>
                </c:pt>
                <c:pt idx="14">
                  <c:v>72852.395387787372</c:v>
                </c:pt>
                <c:pt idx="15">
                  <c:v>72715.924511970021</c:v>
                </c:pt>
                <c:pt idx="16">
                  <c:v>72087.653923264705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6720"/>
        <c:axId val="91812992"/>
      </c:lineChart>
      <c:catAx>
        <c:axId val="9180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91812992"/>
        <c:crosses val="autoZero"/>
        <c:auto val="1"/>
        <c:lblAlgn val="ctr"/>
        <c:lblOffset val="100"/>
        <c:noMultiLvlLbl val="0"/>
      </c:catAx>
      <c:valAx>
        <c:axId val="91812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1806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 Forecast - LDV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FORECAST!$M$7</c:f>
              <c:strCache>
                <c:ptCount val="1"/>
                <c:pt idx="0">
                  <c:v>FL Cumulative</c:v>
                </c:pt>
              </c:strCache>
            </c:strRef>
          </c:tx>
          <c:spPr>
            <a:ln>
              <a:solidFill>
                <a:srgbClr val="92D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FORECAST!$M$8:$M$27</c:f>
              <c:numCache>
                <c:formatCode>_(* #,##0_);_(* \(#,##0\);_(* "-"??_);_(@_)</c:formatCode>
                <c:ptCount val="20"/>
                <c:pt idx="0">
                  <c:v>562</c:v>
                </c:pt>
                <c:pt idx="1">
                  <c:v>2539</c:v>
                </c:pt>
                <c:pt idx="2">
                  <c:v>6377</c:v>
                </c:pt>
                <c:pt idx="3">
                  <c:v>10068</c:v>
                </c:pt>
                <c:pt idx="4">
                  <c:v>14895.431999999999</c:v>
                </c:pt>
                <c:pt idx="5">
                  <c:v>22023.431999999997</c:v>
                </c:pt>
                <c:pt idx="6">
                  <c:v>33707.195999999996</c:v>
                </c:pt>
                <c:pt idx="7">
                  <c:v>58402.439999999995</c:v>
                </c:pt>
                <c:pt idx="8">
                  <c:v>87603.659999999989</c:v>
                </c:pt>
                <c:pt idx="9">
                  <c:v>118264.94099999999</c:v>
                </c:pt>
                <c:pt idx="10">
                  <c:v>153744.42329999999</c:v>
                </c:pt>
                <c:pt idx="11">
                  <c:v>192180.52912499997</c:v>
                </c:pt>
                <c:pt idx="12">
                  <c:v>238303.85611499997</c:v>
                </c:pt>
                <c:pt idx="13">
                  <c:v>297879.82014375</c:v>
                </c:pt>
                <c:pt idx="14">
                  <c:v>357455.78417249996</c:v>
                </c:pt>
                <c:pt idx="15">
                  <c:v>428946.94100699993</c:v>
                </c:pt>
                <c:pt idx="16">
                  <c:v>514736.32920839993</c:v>
                </c:pt>
                <c:pt idx="17">
                  <c:v>617683.59505007998</c:v>
                </c:pt>
                <c:pt idx="18">
                  <c:v>741220.31406009593</c:v>
                </c:pt>
                <c:pt idx="19">
                  <c:v>889464.37687211519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FORECAST!$O$7</c:f>
              <c:strCache>
                <c:ptCount val="1"/>
                <c:pt idx="0">
                  <c:v>FPL Cumulative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FORECAST!$O$8:$O$27</c:f>
              <c:numCache>
                <c:formatCode>_(* #,##0_);_(* \(#,##0\);_(* "-"??_);_(@_)</c:formatCode>
                <c:ptCount val="20"/>
                <c:pt idx="0">
                  <c:v>259</c:v>
                </c:pt>
                <c:pt idx="1">
                  <c:v>1314</c:v>
                </c:pt>
                <c:pt idx="2">
                  <c:v>4586</c:v>
                </c:pt>
                <c:pt idx="3">
                  <c:v>7460</c:v>
                </c:pt>
                <c:pt idx="4">
                  <c:v>10426.802399999999</c:v>
                </c:pt>
                <c:pt idx="5">
                  <c:v>15416.402399999997</c:v>
                </c:pt>
                <c:pt idx="6">
                  <c:v>23595.037199999995</c:v>
                </c:pt>
                <c:pt idx="7">
                  <c:v>40881.707999999991</c:v>
                </c:pt>
                <c:pt idx="8">
                  <c:v>61322.561999999991</c:v>
                </c:pt>
                <c:pt idx="9">
                  <c:v>82785.458699999988</c:v>
                </c:pt>
                <c:pt idx="10">
                  <c:v>107621.09630999999</c:v>
                </c:pt>
                <c:pt idx="11">
                  <c:v>134526.37038749998</c:v>
                </c:pt>
                <c:pt idx="12">
                  <c:v>166812.69928049998</c:v>
                </c:pt>
                <c:pt idx="13">
                  <c:v>208515.87410062499</c:v>
                </c:pt>
                <c:pt idx="14">
                  <c:v>250219.04892074995</c:v>
                </c:pt>
                <c:pt idx="15">
                  <c:v>300262.8587048999</c:v>
                </c:pt>
                <c:pt idx="16">
                  <c:v>360315.43044587993</c:v>
                </c:pt>
                <c:pt idx="17">
                  <c:v>432378.51653505594</c:v>
                </c:pt>
                <c:pt idx="18">
                  <c:v>518854.2198420671</c:v>
                </c:pt>
                <c:pt idx="19">
                  <c:v>622625.06381048064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3600"/>
        <c:axId val="91919488"/>
      </c:lineChart>
      <c:lineChart>
        <c:grouping val="standard"/>
        <c:varyColors val="0"/>
        <c:ser>
          <c:idx val="0"/>
          <c:order val="0"/>
          <c:tx>
            <c:strRef>
              <c:f>FORECAST!$K$7</c:f>
              <c:strCache>
                <c:ptCount val="1"/>
                <c:pt idx="0">
                  <c:v>US Cumulative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FORECAST!$J$8:$J$27</c:f>
              <c:strCache>
                <c:ptCount val="20"/>
                <c:pt idx="0">
                  <c:v>2011*</c:v>
                </c:pt>
                <c:pt idx="1">
                  <c:v>2012*</c:v>
                </c:pt>
                <c:pt idx="2">
                  <c:v>2013*</c:v>
                </c:pt>
                <c:pt idx="3">
                  <c:v>2014*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strCache>
            </c:strRef>
          </c:cat>
          <c:val>
            <c:numRef>
              <c:f>FORECAST!$K$8:$K$27</c:f>
              <c:numCache>
                <c:formatCode>_(* #,##0_);_(* \(#,##0\);_(* "-"??_);_(@_)</c:formatCode>
                <c:ptCount val="20"/>
                <c:pt idx="0">
                  <c:v>23974</c:v>
                </c:pt>
                <c:pt idx="1">
                  <c:v>78350</c:v>
                </c:pt>
                <c:pt idx="2">
                  <c:v>172503</c:v>
                </c:pt>
                <c:pt idx="3">
                  <c:v>288057</c:v>
                </c:pt>
                <c:pt idx="4">
                  <c:v>413762</c:v>
                </c:pt>
                <c:pt idx="5">
                  <c:v>611762</c:v>
                </c:pt>
                <c:pt idx="6">
                  <c:v>936311</c:v>
                </c:pt>
                <c:pt idx="7">
                  <c:v>1622290</c:v>
                </c:pt>
                <c:pt idx="8">
                  <c:v>2433435</c:v>
                </c:pt>
                <c:pt idx="9">
                  <c:v>3285137.25</c:v>
                </c:pt>
                <c:pt idx="10">
                  <c:v>4270678.4249999998</c:v>
                </c:pt>
                <c:pt idx="11">
                  <c:v>5338348.03125</c:v>
                </c:pt>
                <c:pt idx="12">
                  <c:v>6619551.5587499999</c:v>
                </c:pt>
                <c:pt idx="13">
                  <c:v>8274439.4484374998</c:v>
                </c:pt>
                <c:pt idx="14">
                  <c:v>9929327.3381249998</c:v>
                </c:pt>
                <c:pt idx="15">
                  <c:v>11915192.805749999</c:v>
                </c:pt>
                <c:pt idx="16">
                  <c:v>14298231.366899999</c:v>
                </c:pt>
                <c:pt idx="17">
                  <c:v>17157877.640280001</c:v>
                </c:pt>
                <c:pt idx="18">
                  <c:v>20589453.168336</c:v>
                </c:pt>
                <c:pt idx="19">
                  <c:v>24707343.802003201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32544"/>
        <c:axId val="91930624"/>
      </c:lineChart>
      <c:catAx>
        <c:axId val="91913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one"/>
        <c:crossAx val="91919488"/>
        <c:crosses val="autoZero"/>
        <c:auto val="1"/>
        <c:lblAlgn val="ctr"/>
        <c:lblOffset val="100"/>
        <c:noMultiLvlLbl val="0"/>
      </c:catAx>
      <c:valAx>
        <c:axId val="91919488"/>
        <c:scaling>
          <c:orientation val="minMax"/>
          <c:max val="3600000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1913600"/>
        <c:crosses val="autoZero"/>
        <c:crossBetween val="midCat"/>
        <c:majorUnit val="400000"/>
      </c:valAx>
      <c:valAx>
        <c:axId val="91930624"/>
        <c:scaling>
          <c:orientation val="minMax"/>
          <c:max val="3600000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crossAx val="91932544"/>
        <c:crosses val="max"/>
        <c:crossBetween val="between"/>
        <c:majorUnit val="4000000"/>
      </c:valAx>
      <c:catAx>
        <c:axId val="9193254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91930624"/>
        <c:crosses val="max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 Forecast - Trucks and Busses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FORECAST!$M$7</c:f>
              <c:strCache>
                <c:ptCount val="1"/>
                <c:pt idx="0">
                  <c:v>FL Cumulative</c:v>
                </c:pt>
              </c:strCache>
            </c:strRef>
          </c:tx>
          <c:spPr>
            <a:ln>
              <a:solidFill>
                <a:srgbClr val="92D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FORECAST!$Z$8:$Z$27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34.294707918123166</c:v>
                </c:pt>
                <c:pt idx="3">
                  <c:v>55.783542840479484</c:v>
                </c:pt>
                <c:pt idx="4">
                  <c:v>77.968799999999987</c:v>
                </c:pt>
                <c:pt idx="5">
                  <c:v>115.26479999999998</c:v>
                </c:pt>
                <c:pt idx="6">
                  <c:v>176.39999999999995</c:v>
                </c:pt>
                <c:pt idx="7">
                  <c:v>305.62559999999991</c:v>
                </c:pt>
                <c:pt idx="8">
                  <c:v>458.43839999999994</c:v>
                </c:pt>
                <c:pt idx="9">
                  <c:v>618.91199999999992</c:v>
                </c:pt>
                <c:pt idx="10">
                  <c:v>804.5856</c:v>
                </c:pt>
                <c:pt idx="11">
                  <c:v>1005.7319999999999</c:v>
                </c:pt>
                <c:pt idx="12">
                  <c:v>1247.0975999999998</c:v>
                </c:pt>
                <c:pt idx="13">
                  <c:v>1558.8720000000001</c:v>
                </c:pt>
                <c:pt idx="14">
                  <c:v>1870.6463999999999</c:v>
                </c:pt>
                <c:pt idx="15">
                  <c:v>2244.7655999999993</c:v>
                </c:pt>
                <c:pt idx="16">
                  <c:v>2693.7287999999999</c:v>
                </c:pt>
                <c:pt idx="17">
                  <c:v>3232.4543999999996</c:v>
                </c:pt>
                <c:pt idx="18">
                  <c:v>3878.9351999999994</c:v>
                </c:pt>
                <c:pt idx="19">
                  <c:v>4654.7424000000001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FORECAST!$O$7</c:f>
              <c:strCache>
                <c:ptCount val="1"/>
                <c:pt idx="0">
                  <c:v>FPL Cumulative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FORECAST!$AB$8:$AB$27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28</c:v>
                </c:pt>
                <c:pt idx="4">
                  <c:v>39</c:v>
                </c:pt>
                <c:pt idx="5">
                  <c:v>58</c:v>
                </c:pt>
                <c:pt idx="6">
                  <c:v>88</c:v>
                </c:pt>
                <c:pt idx="7">
                  <c:v>153</c:v>
                </c:pt>
                <c:pt idx="8">
                  <c:v>229</c:v>
                </c:pt>
                <c:pt idx="9">
                  <c:v>309</c:v>
                </c:pt>
                <c:pt idx="10">
                  <c:v>402</c:v>
                </c:pt>
                <c:pt idx="11">
                  <c:v>503</c:v>
                </c:pt>
                <c:pt idx="12">
                  <c:v>624</c:v>
                </c:pt>
                <c:pt idx="13">
                  <c:v>779</c:v>
                </c:pt>
                <c:pt idx="14">
                  <c:v>935</c:v>
                </c:pt>
                <c:pt idx="15">
                  <c:v>1122</c:v>
                </c:pt>
                <c:pt idx="16">
                  <c:v>1347</c:v>
                </c:pt>
                <c:pt idx="17">
                  <c:v>1616</c:v>
                </c:pt>
                <c:pt idx="18">
                  <c:v>1939</c:v>
                </c:pt>
                <c:pt idx="19">
                  <c:v>2327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78144"/>
        <c:axId val="92317568"/>
      </c:lineChart>
      <c:lineChart>
        <c:grouping val="standard"/>
        <c:varyColors val="0"/>
        <c:ser>
          <c:idx val="0"/>
          <c:order val="0"/>
          <c:tx>
            <c:strRef>
              <c:f>FORECAST!$K$7</c:f>
              <c:strCache>
                <c:ptCount val="1"/>
                <c:pt idx="0">
                  <c:v>US Cumulative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FORECAST!$J$8:$J$27</c:f>
              <c:strCache>
                <c:ptCount val="20"/>
                <c:pt idx="0">
                  <c:v>2011*</c:v>
                </c:pt>
                <c:pt idx="1">
                  <c:v>2012*</c:v>
                </c:pt>
                <c:pt idx="2">
                  <c:v>2013*</c:v>
                </c:pt>
                <c:pt idx="3">
                  <c:v>2014*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strCache>
            </c:strRef>
          </c:cat>
          <c:val>
            <c:numRef>
              <c:f>FORECAST!$X$8:$X$27</c:f>
              <c:numCache>
                <c:formatCode>_(* #,##0_);_(* \(#,##0\);_(* "-"??_);_(@_)</c:formatCode>
                <c:ptCount val="20"/>
                <c:pt idx="2">
                  <c:v>645</c:v>
                </c:pt>
                <c:pt idx="3">
                  <c:v>1077</c:v>
                </c:pt>
                <c:pt idx="4">
                  <c:v>1547</c:v>
                </c:pt>
                <c:pt idx="5">
                  <c:v>2287</c:v>
                </c:pt>
                <c:pt idx="6">
                  <c:v>3500</c:v>
                </c:pt>
                <c:pt idx="7">
                  <c:v>6064</c:v>
                </c:pt>
                <c:pt idx="8">
                  <c:v>9096</c:v>
                </c:pt>
                <c:pt idx="9">
                  <c:v>12280</c:v>
                </c:pt>
                <c:pt idx="10">
                  <c:v>15964</c:v>
                </c:pt>
                <c:pt idx="11">
                  <c:v>19955</c:v>
                </c:pt>
                <c:pt idx="12">
                  <c:v>24744</c:v>
                </c:pt>
                <c:pt idx="13">
                  <c:v>30930</c:v>
                </c:pt>
                <c:pt idx="14">
                  <c:v>37116</c:v>
                </c:pt>
                <c:pt idx="15">
                  <c:v>44539</c:v>
                </c:pt>
                <c:pt idx="16">
                  <c:v>53447</c:v>
                </c:pt>
                <c:pt idx="17">
                  <c:v>64136</c:v>
                </c:pt>
                <c:pt idx="18">
                  <c:v>76963</c:v>
                </c:pt>
                <c:pt idx="19">
                  <c:v>92356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53888"/>
        <c:axId val="92328704"/>
      </c:lineChart>
      <c:catAx>
        <c:axId val="9227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one"/>
        <c:crossAx val="92317568"/>
        <c:crosses val="autoZero"/>
        <c:auto val="1"/>
        <c:lblAlgn val="ctr"/>
        <c:lblOffset val="100"/>
        <c:noMultiLvlLbl val="0"/>
      </c:catAx>
      <c:valAx>
        <c:axId val="92317568"/>
        <c:scaling>
          <c:orientation val="minMax"/>
          <c:max val="12000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2278144"/>
        <c:crosses val="autoZero"/>
        <c:crossBetween val="midCat"/>
      </c:valAx>
      <c:valAx>
        <c:axId val="92328704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crossAx val="94053888"/>
        <c:crosses val="max"/>
        <c:crossBetween val="between"/>
      </c:valAx>
      <c:catAx>
        <c:axId val="9405388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92328704"/>
        <c:crosses val="max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604006</xdr:colOff>
      <xdr:row>23</xdr:row>
      <xdr:rowOff>21723</xdr:rowOff>
    </xdr:from>
    <xdr:ext cx="4926092" cy="937629"/>
    <xdr:sp macro="" textlink="">
      <xdr:nvSpPr>
        <xdr:cNvPr id="2" name="Rectangle 1"/>
        <xdr:cNvSpPr/>
      </xdr:nvSpPr>
      <xdr:spPr>
        <a:xfrm>
          <a:off x="604006" y="3260223"/>
          <a:ext cx="492609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Update Monthly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27</xdr:row>
      <xdr:rowOff>52387</xdr:rowOff>
    </xdr:from>
    <xdr:to>
      <xdr:col>8</xdr:col>
      <xdr:colOff>523875</xdr:colOff>
      <xdr:row>41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</xdr:colOff>
      <xdr:row>31</xdr:row>
      <xdr:rowOff>138112</xdr:rowOff>
    </xdr:from>
    <xdr:to>
      <xdr:col>17</xdr:col>
      <xdr:colOff>371475</xdr:colOff>
      <xdr:row>46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30</xdr:row>
      <xdr:rowOff>109537</xdr:rowOff>
    </xdr:from>
    <xdr:to>
      <xdr:col>8</xdr:col>
      <xdr:colOff>466725</xdr:colOff>
      <xdr:row>44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88900</xdr:rowOff>
    </xdr:from>
    <xdr:to>
      <xdr:col>12</xdr:col>
      <xdr:colOff>762000</xdr:colOff>
      <xdr:row>75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45</xdr:row>
      <xdr:rowOff>0</xdr:rowOff>
    </xdr:from>
    <xdr:to>
      <xdr:col>25</xdr:col>
      <xdr:colOff>508000</xdr:colOff>
      <xdr:row>75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0"/>
  <sheetViews>
    <sheetView tabSelected="1" zoomScaleNormal="100" workbookViewId="0">
      <selection sqref="A1:A2"/>
    </sheetView>
  </sheetViews>
  <sheetFormatPr defaultRowHeight="14.4"/>
  <cols>
    <col min="1" max="1" width="21.109375" customWidth="1"/>
    <col min="2" max="2" width="13.33203125" customWidth="1"/>
    <col min="4" max="4" width="4.88671875" customWidth="1"/>
    <col min="5" max="5" width="11.109375" bestFit="1" customWidth="1"/>
    <col min="7" max="7" width="5.88671875" customWidth="1"/>
    <col min="10" max="10" width="9.6640625" customWidth="1"/>
    <col min="11" max="11" width="11.88671875" customWidth="1"/>
    <col min="12" max="12" width="9.109375" customWidth="1"/>
    <col min="13" max="13" width="11.109375" bestFit="1" customWidth="1"/>
    <col min="14" max="14" width="11.5546875" customWidth="1"/>
    <col min="15" max="15" width="7" customWidth="1"/>
    <col min="19" max="19" width="5.5546875" customWidth="1"/>
    <col min="20" max="20" width="10.5546875" bestFit="1" customWidth="1"/>
  </cols>
  <sheetData>
    <row r="1" spans="1:21" s="418" customFormat="1">
      <c r="A1" s="453" t="s">
        <v>289</v>
      </c>
    </row>
    <row r="2" spans="1:21" s="418" customFormat="1">
      <c r="A2" s="453" t="s">
        <v>290</v>
      </c>
    </row>
    <row r="4" spans="1:21">
      <c r="A4" t="s">
        <v>3</v>
      </c>
    </row>
    <row r="6" spans="1:21">
      <c r="A6" t="s">
        <v>0</v>
      </c>
      <c r="B6" s="1">
        <v>111806187.27803616</v>
      </c>
    </row>
    <row r="7" spans="1:21">
      <c r="A7" t="s">
        <v>1</v>
      </c>
      <c r="B7" s="1">
        <v>112200524.09969753</v>
      </c>
    </row>
    <row r="8" spans="1:21">
      <c r="A8" t="s">
        <v>2</v>
      </c>
      <c r="B8" s="48">
        <f>B6/B7-1</f>
        <v>-3.5145720113657353E-3</v>
      </c>
    </row>
    <row r="10" spans="1:21">
      <c r="B10" s="1"/>
    </row>
    <row r="11" spans="1:21">
      <c r="B11" s="1"/>
    </row>
    <row r="12" spans="1:21">
      <c r="A12" t="s">
        <v>4</v>
      </c>
      <c r="B12" s="1"/>
      <c r="E12" t="s">
        <v>208</v>
      </c>
      <c r="H12" t="s">
        <v>18</v>
      </c>
      <c r="M12" t="s">
        <v>85</v>
      </c>
      <c r="P12" t="s">
        <v>23</v>
      </c>
      <c r="T12" t="s">
        <v>91</v>
      </c>
    </row>
    <row r="13" spans="1:21" s="56" customFormat="1">
      <c r="B13" s="1"/>
      <c r="K13" t="s">
        <v>84</v>
      </c>
      <c r="L13"/>
    </row>
    <row r="14" spans="1:21">
      <c r="A14" s="56">
        <v>2008</v>
      </c>
      <c r="B14" s="1">
        <v>112298236.52788775</v>
      </c>
      <c r="E14" s="1">
        <v>111292509.34510611</v>
      </c>
      <c r="H14" s="1">
        <f t="shared" ref="H14:H15" si="0">B14-E14</f>
        <v>1005727.1827816367</v>
      </c>
      <c r="K14" s="37">
        <v>103987216.87080695</v>
      </c>
      <c r="M14" s="1">
        <v>103860476.39683698</v>
      </c>
      <c r="P14" s="1">
        <f>'Table Customers'!D47</f>
        <v>4509730.166666667</v>
      </c>
      <c r="T14" s="40">
        <f t="shared" ref="T14:T15" si="1">M14/P14*1000</f>
        <v>23030.308368450496</v>
      </c>
    </row>
    <row r="15" spans="1:21">
      <c r="A15" s="56">
        <v>2009</v>
      </c>
      <c r="B15" s="1">
        <v>109055354.53476538</v>
      </c>
      <c r="E15" s="1">
        <v>107878642.18910931</v>
      </c>
      <c r="H15" s="1">
        <f t="shared" si="0"/>
        <v>1176712.3456560671</v>
      </c>
      <c r="I15" s="2">
        <f t="shared" ref="I15:I19" si="2">H15/H14-1</f>
        <v>0.17001147607596745</v>
      </c>
      <c r="K15" s="37">
        <v>101151293.47096591</v>
      </c>
      <c r="M15" s="1">
        <v>100734123.29167974</v>
      </c>
      <c r="N15" s="2">
        <f t="shared" ref="N15:N16" si="3">M15/M14-1</f>
        <v>-3.0101470873403868E-2</v>
      </c>
      <c r="P15" s="1">
        <f>'Table Customers'!D48</f>
        <v>4499066.75</v>
      </c>
      <c r="T15" s="40">
        <f t="shared" si="1"/>
        <v>22390.00416957133</v>
      </c>
      <c r="U15" s="2">
        <f t="shared" ref="U15:U16" si="4">T15/T14-1</f>
        <v>-2.7802675875427174E-2</v>
      </c>
    </row>
    <row r="16" spans="1:21">
      <c r="A16">
        <v>2010</v>
      </c>
      <c r="B16" s="1">
        <v>110704589.20563057</v>
      </c>
      <c r="E16" s="1">
        <v>108544018.24752943</v>
      </c>
      <c r="F16" s="2">
        <f t="shared" ref="F16:F19" si="5">E16/E15-1</f>
        <v>6.1678201070951566E-3</v>
      </c>
      <c r="H16" s="1">
        <f>B16-E16</f>
        <v>2160570.9581011385</v>
      </c>
      <c r="I16" s="2">
        <f t="shared" si="2"/>
        <v>0.83610800556063536</v>
      </c>
      <c r="K16" s="37">
        <v>100348798.56707454</v>
      </c>
      <c r="M16" s="1">
        <v>101400074.28755978</v>
      </c>
      <c r="N16" s="2">
        <f t="shared" si="3"/>
        <v>6.6109772351097273E-3</v>
      </c>
      <c r="O16" s="2"/>
      <c r="P16" s="1">
        <f>'Table Customers'!D49</f>
        <v>4520327.666666667</v>
      </c>
      <c r="T16" s="40">
        <f>M16/P16*1000</f>
        <v>22432.018597964419</v>
      </c>
      <c r="U16" s="2">
        <f t="shared" si="4"/>
        <v>1.876481490351356E-3</v>
      </c>
    </row>
    <row r="17" spans="1:21">
      <c r="A17">
        <v>2011</v>
      </c>
      <c r="B17" s="1">
        <v>109467257.48487541</v>
      </c>
      <c r="C17" s="2">
        <f t="shared" ref="C17:C19" si="6">B17/B16-1</f>
        <v>-1.1176878299569371E-2</v>
      </c>
      <c r="E17" s="1">
        <v>107296205.17203873</v>
      </c>
      <c r="F17" s="2">
        <f t="shared" si="5"/>
        <v>-1.1495917468663408E-2</v>
      </c>
      <c r="H17" s="1">
        <f t="shared" ref="H17:H26" si="7">B17-E17</f>
        <v>2171052.3128366768</v>
      </c>
      <c r="I17" s="2">
        <f t="shared" si="2"/>
        <v>4.8511967154969415E-3</v>
      </c>
      <c r="K17" s="37">
        <v>101138306.91249643</v>
      </c>
      <c r="M17" s="1">
        <v>101569361.18816426</v>
      </c>
      <c r="N17" s="2">
        <f>M17/M16-1</f>
        <v>1.6694948380846508E-3</v>
      </c>
      <c r="O17" s="2"/>
      <c r="P17" s="1">
        <f>'Table Customers'!D50</f>
        <v>4547050.833333333</v>
      </c>
      <c r="Q17" s="1">
        <f>P17-P16</f>
        <v>26723.166666666046</v>
      </c>
      <c r="R17" s="2">
        <f>Q17/P16</f>
        <v>5.9117764545533408E-3</v>
      </c>
      <c r="T17" s="40">
        <f t="shared" ref="T17:T26" si="8">M17/P17*1000</f>
        <v>22337.414933561722</v>
      </c>
      <c r="U17" s="2">
        <f>T17/T16-1</f>
        <v>-4.2173495884708645E-3</v>
      </c>
    </row>
    <row r="18" spans="1:21">
      <c r="A18">
        <v>2012</v>
      </c>
      <c r="B18" s="1">
        <v>111635607.32769865</v>
      </c>
      <c r="C18" s="2">
        <f t="shared" si="6"/>
        <v>1.9808204687349784E-2</v>
      </c>
      <c r="E18" s="1">
        <v>109391598.94307123</v>
      </c>
      <c r="F18" s="2">
        <f t="shared" si="5"/>
        <v>1.9529057599686261E-2</v>
      </c>
      <c r="H18" s="1">
        <f t="shared" si="7"/>
        <v>2244008.3846274167</v>
      </c>
      <c r="I18" s="2">
        <f t="shared" si="2"/>
        <v>3.3604013758386175E-2</v>
      </c>
      <c r="K18" s="37">
        <v>103344436.7564006</v>
      </c>
      <c r="L18" s="2">
        <f t="shared" ref="L18:L22" si="9">K18/K17-1</f>
        <v>2.1812999557258683E-2</v>
      </c>
      <c r="M18" s="1">
        <v>102853385.09982459</v>
      </c>
      <c r="N18" s="2">
        <f t="shared" ref="N18:N26" si="10">M18/M17-1</f>
        <v>1.2641842940033676E-2</v>
      </c>
      <c r="O18" s="2"/>
      <c r="P18" s="313">
        <v>4576448.666666666</v>
      </c>
      <c r="Q18" s="1">
        <f t="shared" ref="Q18:Q26" si="11">P18-P17</f>
        <v>29397.833333333023</v>
      </c>
      <c r="R18" s="2">
        <f t="shared" ref="R18:R26" si="12">Q18/P17</f>
        <v>6.4652528442885656E-3</v>
      </c>
      <c r="T18" s="40">
        <f t="shared" si="8"/>
        <v>22474.497714565125</v>
      </c>
      <c r="U18" s="2">
        <f t="shared" ref="U18:U26" si="13">T18/T17-1</f>
        <v>6.1369133989375158E-3</v>
      </c>
    </row>
    <row r="19" spans="1:21">
      <c r="A19">
        <v>2013</v>
      </c>
      <c r="B19" s="1">
        <v>111806187.27803616</v>
      </c>
      <c r="C19" s="2">
        <f t="shared" si="6"/>
        <v>1.5280066496774491E-3</v>
      </c>
      <c r="E19" s="1">
        <v>109653729.42332456</v>
      </c>
      <c r="F19" s="2">
        <f t="shared" si="5"/>
        <v>2.3962578734197937E-3</v>
      </c>
      <c r="H19" s="1">
        <f t="shared" si="7"/>
        <v>2152457.8547116071</v>
      </c>
      <c r="I19" s="2">
        <f t="shared" si="2"/>
        <v>-4.0797766417887127E-2</v>
      </c>
      <c r="K19" s="37">
        <v>103304280.60581458</v>
      </c>
      <c r="L19" s="2">
        <f t="shared" si="9"/>
        <v>-3.885661564992926E-4</v>
      </c>
      <c r="M19" s="1">
        <v>103198401.78352302</v>
      </c>
      <c r="N19" s="2">
        <f t="shared" si="10"/>
        <v>3.3544514199856934E-3</v>
      </c>
      <c r="O19" s="2"/>
      <c r="P19" s="313">
        <v>4626934.333333334</v>
      </c>
      <c r="Q19" s="1">
        <f t="shared" si="11"/>
        <v>50485.666666667908</v>
      </c>
      <c r="R19" s="2">
        <f t="shared" si="12"/>
        <v>1.103162525003039E-2</v>
      </c>
      <c r="T19" s="40">
        <f t="shared" si="8"/>
        <v>22303.839723866768</v>
      </c>
      <c r="U19" s="2">
        <f t="shared" si="13"/>
        <v>-7.5934062182737572E-3</v>
      </c>
    </row>
    <row r="20" spans="1:21">
      <c r="A20">
        <f>A19+1</f>
        <v>2014</v>
      </c>
      <c r="B20" s="1">
        <v>116402558.86718586</v>
      </c>
      <c r="C20" s="2">
        <f>B20/B19-1</f>
        <v>4.1110171995397682E-2</v>
      </c>
      <c r="E20" s="1">
        <v>110805327.47344175</v>
      </c>
      <c r="F20" s="2">
        <f>E20/E19-1</f>
        <v>1.0502132997878943E-2</v>
      </c>
      <c r="H20" s="1">
        <f t="shared" si="7"/>
        <v>5597231.3937441111</v>
      </c>
      <c r="I20" s="2">
        <f>H20/H19-1</f>
        <v>1.600390702885119</v>
      </c>
      <c r="K20" s="37">
        <v>104953723.8621465</v>
      </c>
      <c r="L20" s="2">
        <f t="shared" si="9"/>
        <v>1.596684325817832E-2</v>
      </c>
      <c r="M20" s="1">
        <v>104849039.96203335</v>
      </c>
      <c r="N20" s="2">
        <f t="shared" si="10"/>
        <v>1.5994803698344384E-2</v>
      </c>
      <c r="O20" s="2"/>
      <c r="P20" s="313">
        <v>4708829.333333334</v>
      </c>
      <c r="Q20" s="1">
        <f t="shared" si="11"/>
        <v>81895</v>
      </c>
      <c r="R20" s="2">
        <f t="shared" si="12"/>
        <v>1.7699624438153899E-2</v>
      </c>
      <c r="T20" s="40">
        <f t="shared" si="8"/>
        <v>22266.476981830161</v>
      </c>
      <c r="U20" s="2">
        <f t="shared" si="13"/>
        <v>-1.6751708449834757E-3</v>
      </c>
    </row>
    <row r="21" spans="1:21">
      <c r="A21">
        <f t="shared" ref="A21:A25" si="14">A20+1</f>
        <v>2015</v>
      </c>
      <c r="B21" s="1">
        <v>117907706.19186267</v>
      </c>
      <c r="C21" s="2">
        <f t="shared" ref="C21:C26" si="15">B21/B20-1</f>
        <v>1.2930534683470052E-2</v>
      </c>
      <c r="E21" s="1">
        <v>111177217.01173724</v>
      </c>
      <c r="F21" s="2">
        <f t="shared" ref="F21:F26" si="16">E21/E20-1</f>
        <v>3.3562424007511638E-3</v>
      </c>
      <c r="H21" s="1">
        <f t="shared" si="7"/>
        <v>6730489.1801254302</v>
      </c>
      <c r="I21" s="2">
        <f t="shared" ref="I21:I26" si="17">H21/H20-1</f>
        <v>0.20246756059574977</v>
      </c>
      <c r="K21" s="37">
        <v>107007630.11253858</v>
      </c>
      <c r="L21" s="2">
        <f t="shared" si="9"/>
        <v>1.9569636739043439E-2</v>
      </c>
      <c r="M21" s="1">
        <v>105704054.88795687</v>
      </c>
      <c r="N21" s="2">
        <f t="shared" si="10"/>
        <v>8.1547234598726703E-3</v>
      </c>
      <c r="O21" s="2"/>
      <c r="P21" s="313">
        <v>4775381.583333333</v>
      </c>
      <c r="Q21" s="1">
        <f t="shared" si="11"/>
        <v>66552.249999999069</v>
      </c>
      <c r="R21" s="2">
        <f t="shared" si="12"/>
        <v>1.413350225477112E-2</v>
      </c>
      <c r="T21" s="40">
        <f t="shared" si="8"/>
        <v>22135.205960687406</v>
      </c>
      <c r="U21" s="2">
        <f t="shared" si="13"/>
        <v>-5.8954553632294404E-3</v>
      </c>
    </row>
    <row r="22" spans="1:21">
      <c r="A22">
        <f t="shared" si="14"/>
        <v>2016</v>
      </c>
      <c r="B22" s="1">
        <v>119624759.69152738</v>
      </c>
      <c r="C22" s="2">
        <f t="shared" si="15"/>
        <v>1.4562691066779543E-2</v>
      </c>
      <c r="E22" s="1">
        <v>113089117.05255032</v>
      </c>
      <c r="F22" s="2">
        <f t="shared" si="16"/>
        <v>1.7196869036677054E-2</v>
      </c>
      <c r="H22" s="1">
        <f t="shared" si="7"/>
        <v>6535642.6389770657</v>
      </c>
      <c r="I22" s="2">
        <f t="shared" si="17"/>
        <v>-2.8949833501512812E-2</v>
      </c>
      <c r="K22" s="37">
        <v>107374013.43740082</v>
      </c>
      <c r="L22" s="2">
        <f t="shared" si="9"/>
        <v>3.4238990666077829E-3</v>
      </c>
      <c r="M22" s="1">
        <v>107428768.09586079</v>
      </c>
      <c r="N22" s="2">
        <f t="shared" si="10"/>
        <v>1.6316433742604053E-2</v>
      </c>
      <c r="O22" s="2"/>
      <c r="P22" s="1">
        <f>'Table Customers'!E60</f>
        <v>4845389.9019186413</v>
      </c>
      <c r="Q22" s="1">
        <f t="shared" si="11"/>
        <v>70008.318585308269</v>
      </c>
      <c r="R22" s="2">
        <f t="shared" si="12"/>
        <v>1.4660256434720501E-2</v>
      </c>
      <c r="T22" s="40">
        <f t="shared" si="8"/>
        <v>22171.336109261701</v>
      </c>
      <c r="U22" s="2">
        <f t="shared" si="13"/>
        <v>1.6322481317077031E-3</v>
      </c>
    </row>
    <row r="23" spans="1:21">
      <c r="A23">
        <f t="shared" si="14"/>
        <v>2017</v>
      </c>
      <c r="B23" s="1">
        <v>118831903.29271215</v>
      </c>
      <c r="C23" s="2">
        <f t="shared" si="15"/>
        <v>-6.6278619982998999E-3</v>
      </c>
      <c r="E23" s="1">
        <v>112884030.51555476</v>
      </c>
      <c r="F23" s="2">
        <f t="shared" si="16"/>
        <v>-1.8134948997812206E-3</v>
      </c>
      <c r="H23" s="1">
        <f t="shared" si="7"/>
        <v>5947872.7771573961</v>
      </c>
      <c r="I23" s="2">
        <f t="shared" si="17"/>
        <v>-8.9932986591761521E-2</v>
      </c>
      <c r="K23" s="37">
        <v>107246477.18257293</v>
      </c>
      <c r="L23" s="2">
        <f>K23/K22-1</f>
        <v>-1.1877758010996331E-3</v>
      </c>
      <c r="M23" s="1">
        <v>107261282.85883455</v>
      </c>
      <c r="N23" s="2">
        <f t="shared" si="10"/>
        <v>-1.5590352565226784E-3</v>
      </c>
      <c r="O23" s="2"/>
      <c r="P23" s="1">
        <f>'Table Customers'!E61</f>
        <v>4917036.4354861341</v>
      </c>
      <c r="Q23" s="1">
        <f t="shared" si="11"/>
        <v>71646.53356749285</v>
      </c>
      <c r="R23" s="2">
        <f t="shared" si="12"/>
        <v>1.4786536278354563E-2</v>
      </c>
      <c r="T23" s="40">
        <f t="shared" si="8"/>
        <v>21814.213554476115</v>
      </c>
      <c r="U23" s="2">
        <f t="shared" si="13"/>
        <v>-1.6107398896740621E-2</v>
      </c>
    </row>
    <row r="24" spans="1:21">
      <c r="A24">
        <f>A23+1</f>
        <v>2018</v>
      </c>
      <c r="B24" s="1">
        <v>119562964.28621197</v>
      </c>
      <c r="C24" s="2">
        <f t="shared" si="15"/>
        <v>6.1520599539588439E-3</v>
      </c>
      <c r="E24" s="1">
        <v>113544966.57831894</v>
      </c>
      <c r="F24" s="2">
        <f t="shared" si="16"/>
        <v>5.8550005678004169E-3</v>
      </c>
      <c r="H24" s="1">
        <f t="shared" si="7"/>
        <v>6017997.7078930289</v>
      </c>
      <c r="I24" s="2">
        <f t="shared" si="17"/>
        <v>1.1789917734109201E-2</v>
      </c>
      <c r="K24" s="37">
        <v>107858876.17633967</v>
      </c>
      <c r="L24" s="2">
        <f t="shared" ref="L24:L26" si="18">K24/K23-1</f>
        <v>5.7102014896415199E-3</v>
      </c>
      <c r="M24" s="1">
        <v>107887888.05211881</v>
      </c>
      <c r="N24" s="2">
        <f t="shared" si="10"/>
        <v>5.8418580925321262E-3</v>
      </c>
      <c r="O24" s="2"/>
      <c r="P24" s="1">
        <f>'Table Customers'!E62</f>
        <v>4989888.8308739215</v>
      </c>
      <c r="Q24" s="1">
        <f t="shared" si="11"/>
        <v>72852.395387787372</v>
      </c>
      <c r="R24" s="2">
        <f t="shared" si="12"/>
        <v>1.4816322055702777E-2</v>
      </c>
      <c r="T24" s="40">
        <f t="shared" si="8"/>
        <v>21621.300936522766</v>
      </c>
      <c r="U24" s="2">
        <f t="shared" si="13"/>
        <v>-8.8434367561128768E-3</v>
      </c>
    </row>
    <row r="25" spans="1:21">
      <c r="A25">
        <f t="shared" si="14"/>
        <v>2019</v>
      </c>
      <c r="B25" s="1">
        <v>120277084.01589832</v>
      </c>
      <c r="C25" s="2">
        <f t="shared" si="15"/>
        <v>5.9727502906072871E-3</v>
      </c>
      <c r="E25" s="1">
        <v>114188051.57439598</v>
      </c>
      <c r="F25" s="2">
        <f t="shared" si="16"/>
        <v>5.6637032486461791E-3</v>
      </c>
      <c r="H25" s="1">
        <f t="shared" si="7"/>
        <v>6089032.4415023327</v>
      </c>
      <c r="I25" s="2">
        <f t="shared" si="17"/>
        <v>1.1803715630555489E-2</v>
      </c>
      <c r="K25" s="37">
        <v>108471946.00814757</v>
      </c>
      <c r="L25" s="2">
        <f t="shared" si="18"/>
        <v>5.6839998110640444E-3</v>
      </c>
      <c r="M25" s="1">
        <v>108496611.11475174</v>
      </c>
      <c r="N25" s="2">
        <f t="shared" si="10"/>
        <v>5.6421816537819414E-3</v>
      </c>
      <c r="O25" s="2"/>
      <c r="P25" s="1">
        <f>'Table Customers'!E63</f>
        <v>5062604.7553858915</v>
      </c>
      <c r="Q25" s="1">
        <f t="shared" si="11"/>
        <v>72715.924511970021</v>
      </c>
      <c r="R25" s="2">
        <f t="shared" si="12"/>
        <v>1.4572654216674134E-2</v>
      </c>
      <c r="T25" s="40">
        <f t="shared" si="8"/>
        <v>21430.985896998332</v>
      </c>
      <c r="U25" s="2">
        <f t="shared" si="13"/>
        <v>-8.8022011294867086E-3</v>
      </c>
    </row>
    <row r="26" spans="1:21">
      <c r="A26">
        <f>A25+1</f>
        <v>2020</v>
      </c>
      <c r="B26" s="1">
        <v>121585152.66596977</v>
      </c>
      <c r="C26" s="2">
        <f t="shared" si="15"/>
        <v>1.0875460282181004E-2</v>
      </c>
      <c r="E26" s="1">
        <v>115423584.56766482</v>
      </c>
      <c r="F26" s="2">
        <f t="shared" si="16"/>
        <v>1.0820160045062588E-2</v>
      </c>
      <c r="H26" s="1">
        <f t="shared" si="7"/>
        <v>6161568.0983049572</v>
      </c>
      <c r="I26" s="2">
        <f t="shared" si="17"/>
        <v>1.1912509499576229E-2</v>
      </c>
      <c r="K26" s="37">
        <v>109630464.42597355</v>
      </c>
      <c r="L26" s="2">
        <f t="shared" si="18"/>
        <v>1.0680350638670788E-2</v>
      </c>
      <c r="M26" s="1">
        <v>109670195.47376893</v>
      </c>
      <c r="N26" s="2">
        <f t="shared" si="10"/>
        <v>1.0816783556271137E-2</v>
      </c>
      <c r="O26" s="2"/>
      <c r="P26" s="1">
        <f>'Table Customers'!E64</f>
        <v>5134692.4093091562</v>
      </c>
      <c r="Q26" s="1">
        <f t="shared" si="11"/>
        <v>72087.653923264705</v>
      </c>
      <c r="R26" s="2">
        <f t="shared" si="12"/>
        <v>1.4239241933033326E-2</v>
      </c>
      <c r="T26" s="40">
        <f t="shared" si="8"/>
        <v>21358.668977899775</v>
      </c>
      <c r="U26" s="2">
        <f t="shared" si="13"/>
        <v>-3.3744093457075408E-3</v>
      </c>
    </row>
    <row r="27" spans="1:21">
      <c r="K27" s="37"/>
      <c r="M27" s="37">
        <f>+M26-M19</f>
        <v>6471793.6902459115</v>
      </c>
      <c r="N27" s="416" t="s">
        <v>284</v>
      </c>
    </row>
    <row r="28" spans="1:21">
      <c r="M28" s="1"/>
    </row>
    <row r="29" spans="1:21">
      <c r="A29" t="s">
        <v>5</v>
      </c>
      <c r="B29" s="2">
        <f>(B23/B21)^(1/2)-1</f>
        <v>3.9115048458031598E-3</v>
      </c>
      <c r="E29" s="2">
        <f>(E23/E21)^(1/2)-1</f>
        <v>7.6468566430432094E-3</v>
      </c>
      <c r="H29" s="2">
        <f>(H23/H21)^(1/2)-1</f>
        <v>-5.9935786823660187E-2</v>
      </c>
      <c r="K29" s="2">
        <f>(K23/K21)^(1/2)-1</f>
        <v>1.1154061550804339E-3</v>
      </c>
      <c r="M29" s="218">
        <f>(M23/M21)^(1/2)-1</f>
        <v>7.339049471733583E-3</v>
      </c>
      <c r="P29" s="48">
        <f>(P23/P21)^(1/2)-1</f>
        <v>1.4723394392135214E-2</v>
      </c>
      <c r="Q29" s="1">
        <f>(P23-P21)/2</f>
        <v>70827.426076400559</v>
      </c>
      <c r="T29" s="218">
        <f>(T23/T21)^(1/2)-1</f>
        <v>-7.2771998371291557E-3</v>
      </c>
    </row>
    <row r="30" spans="1:21">
      <c r="A30" t="s">
        <v>6</v>
      </c>
      <c r="B30" s="2">
        <f>(B26/B21)^(1/5)-1</f>
        <v>6.1614430351843996E-3</v>
      </c>
      <c r="E30" s="2">
        <f>(E26/E21)^(1/5)-1</f>
        <v>7.5248157356568868E-3</v>
      </c>
      <c r="H30" s="2">
        <f>(H26/H21)^(1/5)-1</f>
        <v>-1.7508222460005274E-2</v>
      </c>
      <c r="K30" s="2">
        <f>(K26/K21)^(1/5)-1</f>
        <v>4.8547773490990043E-3</v>
      </c>
      <c r="M30" s="2">
        <f>(M26/M21)^(1/5)-1</f>
        <v>7.394079151268107E-3</v>
      </c>
      <c r="P30" s="48">
        <f>(P26/P21)^(1/5)-1</f>
        <v>1.4614980991729531E-2</v>
      </c>
      <c r="Q30" s="1">
        <f>(P26-P21)/5</f>
        <v>71862.165195164649</v>
      </c>
      <c r="T30" s="2">
        <f>(T26/T21)^(1/5)-1</f>
        <v>-7.1168886481486338E-3</v>
      </c>
    </row>
    <row r="31" spans="1:21" s="224" customFormat="1">
      <c r="A31" s="224" t="s">
        <v>216</v>
      </c>
      <c r="B31" s="2">
        <f>(B24/B21)^(1/3)-1</f>
        <v>4.6578016222278418E-3</v>
      </c>
      <c r="C31" s="2"/>
      <c r="D31" s="2"/>
      <c r="E31" s="2">
        <f t="shared" ref="E31:P31" si="19">(E24/E21)^(1/3)-1</f>
        <v>7.0492168919604747E-3</v>
      </c>
      <c r="F31" s="2"/>
      <c r="G31" s="2"/>
      <c r="H31" s="2">
        <f t="shared" si="19"/>
        <v>-3.6610750142186954E-2</v>
      </c>
      <c r="I31" s="2"/>
      <c r="J31" s="2"/>
      <c r="K31" s="2">
        <f t="shared" si="19"/>
        <v>2.6446673762032802E-3</v>
      </c>
      <c r="L31" s="2"/>
      <c r="M31" s="2">
        <f t="shared" si="19"/>
        <v>6.839738224217351E-3</v>
      </c>
      <c r="N31" s="2"/>
      <c r="O31" s="2"/>
      <c r="P31" s="2">
        <f t="shared" si="19"/>
        <v>1.4754369334455841E-2</v>
      </c>
      <c r="Q31" s="1"/>
      <c r="T31" s="2">
        <f t="shared" ref="T31" si="20">(T24/T21)^(1/3)-1</f>
        <v>-7.7995536155506251E-3</v>
      </c>
    </row>
    <row r="33" spans="1:20">
      <c r="A33" t="s">
        <v>7</v>
      </c>
      <c r="B33" s="2">
        <f>(B21/B19)^(1/2)-1</f>
        <v>2.6923698812963082E-2</v>
      </c>
      <c r="E33" s="2">
        <f>(E21/E19)^(1/2)-1</f>
        <v>6.9228486347383544E-3</v>
      </c>
      <c r="H33" s="2">
        <f>(H21/H19)^(1/2)-1</f>
        <v>0.7683001626121444</v>
      </c>
      <c r="K33" s="2">
        <f>(K21/K19)^(1/2)-1</f>
        <v>1.7766645808189985E-2</v>
      </c>
      <c r="M33" s="2">
        <f>(M21/M19)^(1/2)-1</f>
        <v>1.206717186122197E-2</v>
      </c>
      <c r="P33" s="2">
        <f>(P21/P19)^(1/2)-1</f>
        <v>1.5914998597239993E-2</v>
      </c>
      <c r="Q33" s="1">
        <f>(P21-P19)/2</f>
        <v>74223.624999999534</v>
      </c>
      <c r="T33" s="2">
        <f>(T21/T19)^(1/2)-1</f>
        <v>-3.7875479162441383E-3</v>
      </c>
    </row>
    <row r="34" spans="1:20">
      <c r="A34" t="s">
        <v>9</v>
      </c>
      <c r="B34" s="2">
        <f>(B21/B17)^(1/5)-1</f>
        <v>1.4966225199098737E-2</v>
      </c>
      <c r="E34" s="2">
        <f>(E21/E17)^(1/5)-1</f>
        <v>7.1317497286784715E-3</v>
      </c>
      <c r="H34" s="2">
        <f>(H21/H17)^(1/5)-1</f>
        <v>0.25393570396683374</v>
      </c>
      <c r="K34" s="2">
        <f>(K21/K17)^(1/5)-1</f>
        <v>1.1346121646962359E-2</v>
      </c>
      <c r="M34" s="218">
        <f>(M21/M17)^(1/5)-1</f>
        <v>8.0121927551253247E-3</v>
      </c>
      <c r="P34" s="2">
        <f>(P21/P17)^(1/5)-1</f>
        <v>9.8471732936045164E-3</v>
      </c>
      <c r="Q34" s="1">
        <f>(P21-P17)/4</f>
        <v>57082.6875</v>
      </c>
      <c r="T34" s="2">
        <f>(T21/T17)^(1/5)-1</f>
        <v>-1.8170873643131857E-3</v>
      </c>
    </row>
    <row r="35" spans="1:20" ht="409.6">
      <c r="A35" t="s">
        <v>86</v>
      </c>
      <c r="B35" s="2">
        <f>(B21/B18)^(1/3)-1</f>
        <v>1.8387711921424854E-2</v>
      </c>
      <c r="C35" s="2"/>
      <c r="D35" s="2"/>
      <c r="E35" s="2">
        <f t="shared" ref="E35:P35" si="21">(E21/E18)^(1/3)-1</f>
        <v>5.4117183671535951E-3</v>
      </c>
      <c r="F35" s="2"/>
      <c r="G35" s="2"/>
      <c r="H35" s="2">
        <f t="shared" si="21"/>
        <v>0.44213987444132297</v>
      </c>
      <c r="I35" s="2"/>
      <c r="J35" s="2"/>
      <c r="K35" s="2">
        <f t="shared" si="21"/>
        <v>1.1678563374349915E-2</v>
      </c>
      <c r="L35" s="2"/>
      <c r="M35" s="2">
        <f t="shared" si="21"/>
        <v>9.1545575823055447E-3</v>
      </c>
      <c r="N35" s="2"/>
      <c r="O35" s="2"/>
      <c r="P35" s="2">
        <f t="shared" si="21"/>
        <v>1.4284592299456778E-2</v>
      </c>
      <c r="T35" s="2">
        <f t="shared" ref="T35" si="22">(T21/T18)^(1/3)-1</f>
        <v>-5.0577863018910207E-3</v>
      </c>
    </row>
    <row r="36" spans="1:20">
      <c r="A36" t="s">
        <v>209</v>
      </c>
      <c r="B36" s="2">
        <f>(B21/B15)^(1/6)-1</f>
        <v>1.3092731363508303E-2</v>
      </c>
      <c r="C36" s="2"/>
      <c r="D36" s="2"/>
      <c r="E36" s="2">
        <f t="shared" ref="E36:T36" si="23">(E21/E15)^(1/6)-1</f>
        <v>5.0323811001227181E-3</v>
      </c>
      <c r="F36" s="2"/>
      <c r="G36" s="2"/>
      <c r="H36" s="2">
        <f t="shared" si="23"/>
        <v>0.33730166938339834</v>
      </c>
      <c r="I36" s="2"/>
      <c r="J36" s="2"/>
      <c r="K36" s="2">
        <f t="shared" si="23"/>
        <v>9.4245994878834338E-3</v>
      </c>
      <c r="L36" s="2" t="e">
        <f t="shared" si="23"/>
        <v>#DIV/0!</v>
      </c>
      <c r="M36" s="2">
        <f t="shared" si="23"/>
        <v>8.0587400996166014E-3</v>
      </c>
      <c r="N36" s="2"/>
      <c r="O36" s="2"/>
      <c r="P36" s="2">
        <f t="shared" si="23"/>
        <v>9.9834886518435084E-3</v>
      </c>
      <c r="Q36" s="2"/>
      <c r="R36" s="2"/>
      <c r="S36" s="2"/>
      <c r="T36" s="2">
        <f t="shared" si="23"/>
        <v>-1.9057227903754859E-3</v>
      </c>
    </row>
    <row r="38" spans="1:20" ht="409.6">
      <c r="A38" t="s">
        <v>210</v>
      </c>
      <c r="B38" s="2">
        <f>(B23/B20)^(1/3)-1</f>
        <v>6.9088899064280174E-3</v>
      </c>
      <c r="C38" s="2">
        <f t="shared" ref="C38:T38" si="24">(C23/C20)^(1/3)-1</f>
        <v>-1.5442620516874339</v>
      </c>
      <c r="D38" s="2"/>
      <c r="E38" s="2">
        <f t="shared" si="24"/>
        <v>6.2146171171029163E-3</v>
      </c>
      <c r="F38" s="2">
        <f t="shared" si="24"/>
        <v>-1.5568603229096771</v>
      </c>
      <c r="G38" s="2"/>
      <c r="H38" s="2">
        <f t="shared" si="24"/>
        <v>2.0460353621287064E-2</v>
      </c>
      <c r="I38" s="2">
        <f t="shared" si="24"/>
        <v>-1.3830284198127745</v>
      </c>
      <c r="J38" s="2"/>
      <c r="K38" s="2">
        <f t="shared" si="24"/>
        <v>7.2294010519891039E-3</v>
      </c>
      <c r="L38" s="2">
        <f t="shared" si="24"/>
        <v>-1.42057017420287</v>
      </c>
      <c r="M38" s="2">
        <f t="shared" si="24"/>
        <v>7.6108674477992633E-3</v>
      </c>
      <c r="N38" s="2">
        <f t="shared" si="24"/>
        <v>-1.4602131324786267</v>
      </c>
      <c r="O38" s="2"/>
      <c r="P38" s="2">
        <f t="shared" si="24"/>
        <v>1.4526725564733223E-2</v>
      </c>
      <c r="Q38" s="2"/>
      <c r="R38" s="2"/>
      <c r="S38" s="2"/>
      <c r="T38" s="2">
        <f t="shared" si="24"/>
        <v>-6.8168318711212539E-3</v>
      </c>
    </row>
    <row r="39" spans="1:20">
      <c r="K39" t="s">
        <v>8</v>
      </c>
      <c r="L39" s="2">
        <v>3.9639084031214529E-2</v>
      </c>
      <c r="N39" s="3">
        <f>B34-L39</f>
        <v>-2.4672858832115792E-2</v>
      </c>
    </row>
    <row r="41" spans="1:20" ht="15" thickBot="1">
      <c r="A41" t="s">
        <v>211</v>
      </c>
      <c r="B41" s="4">
        <f>(B21/B16)^(1/5)-1</f>
        <v>1.2687182465838998E-2</v>
      </c>
      <c r="C41" s="4"/>
      <c r="D41" s="4"/>
      <c r="E41" s="4">
        <f>(E21/E16)^(1/5)-1</f>
        <v>4.8054471032772383E-3</v>
      </c>
      <c r="F41" s="4">
        <f>(F21/F16)^(1/5)-1</f>
        <v>-0.11459020066344683</v>
      </c>
      <c r="G41" s="4"/>
      <c r="H41" s="4">
        <f>(H21/H16)^(1/5)-1</f>
        <v>0.25514996774815324</v>
      </c>
      <c r="I41" s="4">
        <f>(I21/I16)^(1/5)-1</f>
        <v>-0.24695901504612094</v>
      </c>
      <c r="J41" s="4"/>
      <c r="K41" s="4">
        <f>(K21/K16)^(1/5)-1</f>
        <v>1.2932518680705218E-2</v>
      </c>
      <c r="L41" s="4"/>
      <c r="M41" s="4">
        <f t="shared" ref="M41:T41" si="25">(M21/M16)^(1/5)-1</f>
        <v>8.3485424469373903E-3</v>
      </c>
      <c r="N41" s="4">
        <f t="shared" si="25"/>
        <v>4.2866496210551608E-2</v>
      </c>
      <c r="O41" s="4"/>
      <c r="P41" s="4">
        <f t="shared" si="25"/>
        <v>1.1038357955642786E-2</v>
      </c>
      <c r="Q41" s="4"/>
      <c r="R41" s="4"/>
      <c r="S41" s="4"/>
      <c r="T41" s="4">
        <f t="shared" si="25"/>
        <v>-2.6604485255576904E-3</v>
      </c>
    </row>
    <row r="42" spans="1:20">
      <c r="A42" t="s">
        <v>210</v>
      </c>
      <c r="B42" s="2">
        <f>(B23/B20)^(1/3)-1</f>
        <v>6.9088899064280174E-3</v>
      </c>
      <c r="C42" s="2"/>
      <c r="D42" s="2"/>
      <c r="E42" s="2">
        <f t="shared" ref="E42:M42" si="26">(E23/E20)^(1/3)-1</f>
        <v>6.2146171171029163E-3</v>
      </c>
      <c r="F42" s="2"/>
      <c r="G42" s="2"/>
      <c r="H42" s="2">
        <f t="shared" si="26"/>
        <v>2.0460353621287064E-2</v>
      </c>
      <c r="I42" s="2"/>
      <c r="J42" s="2"/>
      <c r="K42" s="2">
        <f t="shared" si="26"/>
        <v>7.2294010519891039E-3</v>
      </c>
      <c r="L42" s="2"/>
      <c r="M42" s="222">
        <f t="shared" si="26"/>
        <v>7.6108674477992633E-3</v>
      </c>
      <c r="P42" s="222">
        <f t="shared" ref="P42" si="27">(P23/P20)^(1/3)-1</f>
        <v>1.4526725564733223E-2</v>
      </c>
      <c r="T42" s="222">
        <f t="shared" ref="T42" si="28">(T23/T20)^(1/3)-1</f>
        <v>-6.8168318711212539E-3</v>
      </c>
    </row>
    <row r="43" spans="1:20" ht="15" thickBot="1">
      <c r="A43" t="s">
        <v>212</v>
      </c>
      <c r="B43" s="2">
        <f>(B20/B16)^(1/4)-1</f>
        <v>1.2626353547031011E-2</v>
      </c>
      <c r="C43" s="2"/>
      <c r="D43" s="2"/>
      <c r="E43" s="2">
        <f t="shared" ref="E43:M43" si="29">(E20/E16)^(1/4)-1</f>
        <v>5.1680752185558898E-3</v>
      </c>
      <c r="F43" s="2"/>
      <c r="G43" s="2"/>
      <c r="H43" s="2">
        <f t="shared" si="29"/>
        <v>0.26867733666437799</v>
      </c>
      <c r="I43" s="2"/>
      <c r="J43" s="2"/>
      <c r="K43" s="2">
        <f t="shared" si="29"/>
        <v>1.128000109260574E-2</v>
      </c>
      <c r="L43" s="2"/>
      <c r="M43" s="223">
        <f t="shared" si="29"/>
        <v>8.3970030156017561E-3</v>
      </c>
      <c r="P43" s="223">
        <f t="shared" ref="P43" si="30">(P20/P16)^(1/4)-1</f>
        <v>1.0266049009717282E-2</v>
      </c>
      <c r="T43" s="223">
        <f t="shared" ref="T43" si="31">(T20/T16)^(1/4)-1</f>
        <v>-1.8500532567115036E-3</v>
      </c>
    </row>
    <row r="44" spans="1:20" ht="409.6">
      <c r="A44" t="s">
        <v>213</v>
      </c>
      <c r="B44" s="2">
        <f>(B26/B20)^(1/6)-1</f>
        <v>7.2864754163592949E-3</v>
      </c>
      <c r="C44" s="2"/>
      <c r="D44" s="2"/>
      <c r="E44" s="2">
        <f t="shared" ref="E44:M44" si="32">(E26/E20)^(1/6)-1</f>
        <v>6.8288527521878084E-3</v>
      </c>
      <c r="F44" s="2"/>
      <c r="G44" s="2"/>
      <c r="H44" s="2">
        <f t="shared" si="32"/>
        <v>1.6138715500874534E-2</v>
      </c>
      <c r="I44" s="2"/>
      <c r="J44" s="2"/>
      <c r="K44" s="2">
        <f t="shared" si="32"/>
        <v>7.2924224958814676E-3</v>
      </c>
      <c r="L44" s="2"/>
      <c r="M44" s="2">
        <f t="shared" si="32"/>
        <v>7.5208133368529495E-3</v>
      </c>
      <c r="P44" s="2">
        <f t="shared" ref="P44" si="33">(P26/P20)^(1/6)-1</f>
        <v>1.4534718664126256E-2</v>
      </c>
      <c r="T44" s="2">
        <f t="shared" ref="T44" si="34">(T26/T20)^(1/6)-1</f>
        <v>-6.9134207023577865E-3</v>
      </c>
    </row>
    <row r="45" spans="1:20">
      <c r="A45" t="s">
        <v>214</v>
      </c>
      <c r="B45" s="2">
        <f>(B20/B14)^(1/6)-1</f>
        <v>6.0006589283541079E-3</v>
      </c>
      <c r="C45" s="2"/>
      <c r="D45" s="2"/>
      <c r="E45" s="2">
        <f t="shared" ref="E45:M45" si="35">(E20/E14)^(1/6)-1</f>
        <v>-7.3091599859764766E-4</v>
      </c>
      <c r="F45" s="2"/>
      <c r="G45" s="2"/>
      <c r="H45" s="2">
        <f t="shared" si="35"/>
        <v>0.33121697073033673</v>
      </c>
      <c r="I45" s="2" t="e">
        <f t="shared" si="35"/>
        <v>#DIV/0!</v>
      </c>
      <c r="J45" s="2" t="e">
        <f t="shared" si="35"/>
        <v>#DIV/0!</v>
      </c>
      <c r="K45" s="2">
        <f t="shared" si="35"/>
        <v>1.5431145452238226E-3</v>
      </c>
      <c r="L45" s="2" t="e">
        <f t="shared" si="35"/>
        <v>#DIV/0!</v>
      </c>
      <c r="M45" s="2">
        <f t="shared" si="35"/>
        <v>1.5801096744187948E-3</v>
      </c>
    </row>
    <row r="47" spans="1:20" ht="409.6">
      <c r="A47" t="s">
        <v>215</v>
      </c>
      <c r="B47" s="2">
        <f>B23/B19-1</f>
        <v>6.2838347194548838E-2</v>
      </c>
      <c r="C47" s="2"/>
      <c r="D47" s="2"/>
      <c r="E47" s="2">
        <f t="shared" ref="E47:M47" si="36">E23/E19-1</f>
        <v>2.9459108315043503E-2</v>
      </c>
      <c r="F47" s="2"/>
      <c r="G47" s="2"/>
      <c r="H47" s="2">
        <f t="shared" si="36"/>
        <v>1.7632934898761632</v>
      </c>
      <c r="I47" s="2"/>
      <c r="J47" s="2"/>
      <c r="K47" s="2">
        <f t="shared" si="36"/>
        <v>3.8161018630010757E-2</v>
      </c>
      <c r="L47" s="2"/>
      <c r="M47" s="2">
        <f t="shared" si="36"/>
        <v>3.9369612368940876E-2</v>
      </c>
    </row>
    <row r="48" spans="1:20">
      <c r="B48" s="2">
        <f>(B23/B19)^(1/4)-1</f>
        <v>1.5352409677122925E-2</v>
      </c>
      <c r="C48" s="2"/>
      <c r="D48" s="2"/>
      <c r="E48" s="2">
        <f t="shared" ref="E48:M48" si="37">(E23/E19)^(1/4)-1</f>
        <v>7.2847875893156111E-3</v>
      </c>
      <c r="F48" s="2"/>
      <c r="G48" s="2"/>
      <c r="H48" s="2">
        <f t="shared" si="37"/>
        <v>0.28930822576511139</v>
      </c>
      <c r="I48" s="2"/>
      <c r="J48" s="2"/>
      <c r="K48" s="2">
        <f t="shared" si="37"/>
        <v>9.4066915715191879E-3</v>
      </c>
      <c r="L48" s="2"/>
      <c r="M48" s="2">
        <f t="shared" si="37"/>
        <v>9.7003431237552284E-3</v>
      </c>
    </row>
    <row r="50" spans="2:2">
      <c r="B50" s="1">
        <f>B23-B19</f>
        <v>7025716.0146759897</v>
      </c>
    </row>
  </sheetData>
  <pageMargins left="0.7" right="0.7" top="0.75" bottom="0.75" header="0.3" footer="0.3"/>
  <pageSetup paperSize="5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59"/>
  <sheetViews>
    <sheetView workbookViewId="0">
      <selection sqref="A1:A2"/>
    </sheetView>
  </sheetViews>
  <sheetFormatPr defaultRowHeight="14.4"/>
  <cols>
    <col min="1" max="1" width="10.88671875" customWidth="1"/>
    <col min="3" max="3" width="12.109375" bestFit="1" customWidth="1"/>
    <col min="4" max="4" width="11.6640625" bestFit="1" customWidth="1"/>
    <col min="5" max="5" width="10.6640625" bestFit="1" customWidth="1"/>
    <col min="6" max="6" width="16.44140625" bestFit="1" customWidth="1"/>
    <col min="7" max="7" width="19.5546875" bestFit="1" customWidth="1"/>
    <col min="8" max="8" width="9.6640625" customWidth="1"/>
    <col min="9" max="9" width="11.88671875" bestFit="1" customWidth="1"/>
    <col min="11" max="11" width="13.33203125" bestFit="1" customWidth="1"/>
    <col min="12" max="12" width="15.33203125" bestFit="1" customWidth="1"/>
  </cols>
  <sheetData>
    <row r="1" spans="1:12" s="418" customFormat="1">
      <c r="A1" s="453" t="s">
        <v>299</v>
      </c>
    </row>
    <row r="2" spans="1:12" s="418" customFormat="1">
      <c r="A2" s="453" t="s">
        <v>290</v>
      </c>
    </row>
    <row r="3" spans="1:12" s="418" customFormat="1"/>
    <row r="4" spans="1:12">
      <c r="A4" s="32"/>
      <c r="B4" s="32"/>
      <c r="C4" s="423" t="s">
        <v>10</v>
      </c>
      <c r="D4" s="423"/>
      <c r="E4" s="423"/>
      <c r="F4" s="423"/>
      <c r="G4" s="423"/>
      <c r="H4" s="423"/>
      <c r="I4" s="423"/>
      <c r="J4" s="32"/>
    </row>
    <row r="5" spans="1:12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2">
      <c r="A6" s="32"/>
      <c r="B6" s="32"/>
      <c r="C6" s="33" t="s">
        <v>11</v>
      </c>
      <c r="D6" s="33" t="s">
        <v>12</v>
      </c>
      <c r="E6" s="33" t="s">
        <v>13</v>
      </c>
      <c r="F6" s="33" t="s">
        <v>14</v>
      </c>
      <c r="G6" s="33" t="s">
        <v>15</v>
      </c>
      <c r="H6" s="33" t="s">
        <v>16</v>
      </c>
      <c r="I6" s="33" t="s">
        <v>17</v>
      </c>
      <c r="J6" s="34"/>
    </row>
    <row r="7" spans="1:12">
      <c r="A7" s="32"/>
      <c r="B7" s="35">
        <v>2010</v>
      </c>
      <c r="C7" s="36">
        <v>52479108.755423285</v>
      </c>
      <c r="D7" s="36">
        <v>44202186.225113869</v>
      </c>
      <c r="E7" s="36">
        <v>3127755.611537396</v>
      </c>
      <c r="F7" s="36">
        <v>430802.49800000002</v>
      </c>
      <c r="G7" s="36">
        <v>81325.3</v>
      </c>
      <c r="H7" s="36">
        <v>27620.177000000003</v>
      </c>
      <c r="I7" s="36">
        <f>SUM(C7:H7)</f>
        <v>100348798.56707454</v>
      </c>
      <c r="J7" s="32"/>
      <c r="K7" s="37"/>
    </row>
    <row r="8" spans="1:12">
      <c r="A8" s="32"/>
      <c r="B8" s="35">
        <v>2011</v>
      </c>
      <c r="C8" s="36">
        <v>52959865.503102116</v>
      </c>
      <c r="D8" s="36">
        <v>44547489.925423443</v>
      </c>
      <c r="E8" s="36">
        <v>3084417.2029708684</v>
      </c>
      <c r="F8" s="36">
        <v>437469.70099999994</v>
      </c>
      <c r="G8" s="36">
        <v>81935.90399999998</v>
      </c>
      <c r="H8" s="36">
        <v>27128.876000000004</v>
      </c>
      <c r="I8" s="36">
        <f t="shared" ref="I8:I17" si="0">SUM(C8:H8)</f>
        <v>101138307.11249644</v>
      </c>
      <c r="J8" s="318">
        <f t="shared" ref="J8:J11" si="1">I8/I7-1</f>
        <v>7.8676432273794283E-3</v>
      </c>
      <c r="K8" s="37"/>
    </row>
    <row r="9" spans="1:12">
      <c r="A9" s="32"/>
      <c r="B9" s="35">
        <v>2012</v>
      </c>
      <c r="C9" s="36">
        <v>54492331.221934989</v>
      </c>
      <c r="D9" s="36">
        <v>45280554.981756605</v>
      </c>
      <c r="E9" s="36">
        <v>3024260.2457090234</v>
      </c>
      <c r="F9" s="36">
        <v>441330.36499999993</v>
      </c>
      <c r="G9" s="36">
        <v>80598.349999999991</v>
      </c>
      <c r="H9" s="36">
        <v>25360.296999999999</v>
      </c>
      <c r="I9" s="36">
        <f t="shared" si="0"/>
        <v>103344435.46140061</v>
      </c>
      <c r="J9" s="318">
        <f t="shared" si="1"/>
        <v>2.1812984732385354E-2</v>
      </c>
      <c r="K9" s="37"/>
    </row>
    <row r="10" spans="1:12">
      <c r="A10" s="32"/>
      <c r="B10" s="35">
        <v>2013</v>
      </c>
      <c r="C10" s="36">
        <v>54472917.628267735</v>
      </c>
      <c r="D10" s="36">
        <v>45318351.608958751</v>
      </c>
      <c r="E10" s="36">
        <v>2956005.4135880843</v>
      </c>
      <c r="F10" s="36">
        <v>441529.48800000001</v>
      </c>
      <c r="G10" s="36">
        <v>87846.553999999989</v>
      </c>
      <c r="H10" s="36">
        <v>27629.912999999997</v>
      </c>
      <c r="I10" s="36">
        <f t="shared" si="0"/>
        <v>103304280.60581458</v>
      </c>
      <c r="J10" s="318">
        <f t="shared" si="1"/>
        <v>-3.8855363045686708E-4</v>
      </c>
      <c r="K10" s="37"/>
    </row>
    <row r="11" spans="1:12">
      <c r="A11" s="32"/>
      <c r="B11" s="35">
        <v>2014</v>
      </c>
      <c r="C11" s="36">
        <v>55792252.561810538</v>
      </c>
      <c r="D11" s="36">
        <v>45658797.515004031</v>
      </c>
      <c r="E11" s="36">
        <v>2941269.1263319287</v>
      </c>
      <c r="F11" s="36">
        <v>445947.33299999998</v>
      </c>
      <c r="G11" s="36">
        <v>91405.381999999998</v>
      </c>
      <c r="H11" s="36">
        <v>24051.944000000003</v>
      </c>
      <c r="I11" s="36">
        <f t="shared" si="0"/>
        <v>104953723.8621465</v>
      </c>
      <c r="J11" s="318">
        <f t="shared" si="1"/>
        <v>1.596684325817832E-2</v>
      </c>
      <c r="K11" s="37"/>
    </row>
    <row r="12" spans="1:12">
      <c r="A12" s="32"/>
      <c r="B12" s="35">
        <v>2015</v>
      </c>
      <c r="C12" s="36">
        <v>56955541.407747418</v>
      </c>
      <c r="D12" s="36">
        <v>46449669.965812206</v>
      </c>
      <c r="E12" s="36">
        <v>3039119.8689789558</v>
      </c>
      <c r="F12" s="36">
        <v>448137.44499999995</v>
      </c>
      <c r="G12" s="36">
        <v>91781.199999999983</v>
      </c>
      <c r="H12" s="36">
        <v>23380.225000000002</v>
      </c>
      <c r="I12" s="36">
        <f t="shared" si="0"/>
        <v>107007630.11253858</v>
      </c>
      <c r="J12" s="318">
        <f>I12/I11-1</f>
        <v>1.9569636739043439E-2</v>
      </c>
    </row>
    <row r="13" spans="1:12">
      <c r="A13" s="38" t="s">
        <v>1</v>
      </c>
      <c r="B13" s="35">
        <v>2016</v>
      </c>
      <c r="C13" s="36">
        <v>57230468.23950582</v>
      </c>
      <c r="D13" s="36">
        <v>46377965.456556216</v>
      </c>
      <c r="E13" s="36">
        <v>3173057.3421095703</v>
      </c>
      <c r="F13" s="36">
        <v>477951.35364863591</v>
      </c>
      <c r="G13" s="36">
        <v>91273.99044230768</v>
      </c>
      <c r="H13" s="36">
        <v>23297.055138281248</v>
      </c>
      <c r="I13" s="36">
        <f t="shared" si="0"/>
        <v>107374013.43740082</v>
      </c>
      <c r="J13" s="318">
        <f t="shared" ref="J13:J17" si="2">I13/I12-1</f>
        <v>3.4238990666077829E-3</v>
      </c>
    </row>
    <row r="14" spans="1:12">
      <c r="A14" s="38" t="s">
        <v>1</v>
      </c>
      <c r="B14" s="35">
        <v>2017</v>
      </c>
      <c r="C14" s="36">
        <v>57025197.227031365</v>
      </c>
      <c r="D14" s="36">
        <v>46363405.888644986</v>
      </c>
      <c r="E14" s="36">
        <v>3255348.5426547471</v>
      </c>
      <c r="F14" s="36">
        <v>488393.48934704944</v>
      </c>
      <c r="G14" s="36">
        <v>91208.294663461551</v>
      </c>
      <c r="H14" s="36">
        <v>22923.740231318359</v>
      </c>
      <c r="I14" s="36">
        <f t="shared" si="0"/>
        <v>107246477.18257293</v>
      </c>
      <c r="J14" s="318">
        <f t="shared" si="2"/>
        <v>-1.1877758010996331E-3</v>
      </c>
      <c r="K14" s="40">
        <f>I14*0.01</f>
        <v>1072464.7718257294</v>
      </c>
      <c r="L14" s="39">
        <f>K14*55</f>
        <v>58985562.45041512</v>
      </c>
    </row>
    <row r="15" spans="1:12">
      <c r="A15" s="38" t="s">
        <v>1</v>
      </c>
      <c r="B15" s="35">
        <v>2018</v>
      </c>
      <c r="C15" s="36">
        <v>57392485.768023476</v>
      </c>
      <c r="D15" s="36">
        <v>46533890.906361505</v>
      </c>
      <c r="E15" s="36">
        <v>3319444.8135841312</v>
      </c>
      <c r="F15" s="36">
        <v>498757.51732473425</v>
      </c>
      <c r="G15" s="36">
        <v>91241.142552884616</v>
      </c>
      <c r="H15" s="36">
        <v>23056.028492938305</v>
      </c>
      <c r="I15" s="36">
        <f t="shared" si="0"/>
        <v>107858876.17633967</v>
      </c>
      <c r="J15" s="318">
        <f t="shared" si="2"/>
        <v>5.7102014896415199E-3</v>
      </c>
    </row>
    <row r="16" spans="1:12">
      <c r="A16" s="38" t="s">
        <v>1</v>
      </c>
      <c r="B16" s="35">
        <v>2019</v>
      </c>
      <c r="C16" s="36">
        <v>57761469.565779284</v>
      </c>
      <c r="D16" s="36">
        <v>46718870.169626258</v>
      </c>
      <c r="E16" s="36">
        <v>3368401.6798948036</v>
      </c>
      <c r="F16" s="36">
        <v>509044.02183152322</v>
      </c>
      <c r="G16" s="36">
        <v>91224.718608173062</v>
      </c>
      <c r="H16" s="36">
        <v>22935.85240753644</v>
      </c>
      <c r="I16" s="36">
        <f t="shared" si="0"/>
        <v>108471946.00814757</v>
      </c>
      <c r="J16" s="318">
        <f t="shared" si="2"/>
        <v>5.6839998110640444E-3</v>
      </c>
    </row>
    <row r="17" spans="1:10">
      <c r="A17" s="38" t="s">
        <v>1</v>
      </c>
      <c r="B17" s="35">
        <v>2020</v>
      </c>
      <c r="C17" s="36">
        <v>58471042.719272807</v>
      </c>
      <c r="D17" s="36">
        <v>47119132.386315413</v>
      </c>
      <c r="E17" s="36">
        <v>3406860.7961778967</v>
      </c>
      <c r="F17" s="36">
        <v>519253.58274703077</v>
      </c>
      <c r="G17" s="36">
        <v>91232.930580528846</v>
      </c>
      <c r="H17" s="36">
        <v>22942.010879876809</v>
      </c>
      <c r="I17" s="36">
        <f t="shared" si="0"/>
        <v>109630464.42597355</v>
      </c>
      <c r="J17" s="318">
        <f t="shared" si="2"/>
        <v>1.0680350638670788E-2</v>
      </c>
    </row>
    <row r="18" spans="1:10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20" spans="1:10">
      <c r="A20" s="32"/>
      <c r="B20" s="32"/>
      <c r="C20" s="423" t="s">
        <v>45</v>
      </c>
      <c r="D20" s="423"/>
      <c r="E20" s="423"/>
      <c r="F20" s="423"/>
      <c r="G20" s="423"/>
      <c r="H20" s="423"/>
      <c r="I20" s="423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3" t="s">
        <v>11</v>
      </c>
      <c r="D22" s="33" t="s">
        <v>12</v>
      </c>
      <c r="E22" s="33" t="s">
        <v>13</v>
      </c>
      <c r="F22" s="33" t="s">
        <v>14</v>
      </c>
      <c r="G22" s="33" t="s">
        <v>15</v>
      </c>
      <c r="H22" s="33" t="s">
        <v>16</v>
      </c>
      <c r="I22" s="33" t="s">
        <v>17</v>
      </c>
    </row>
    <row r="23" spans="1:10">
      <c r="A23" s="32"/>
      <c r="B23" s="35">
        <v>2010</v>
      </c>
      <c r="C23" s="36">
        <v>3863394.4435767159</v>
      </c>
      <c r="D23" s="36">
        <v>341969.77188613574</v>
      </c>
      <c r="E23" s="36">
        <v>2342.7644626042934</v>
      </c>
      <c r="F23" s="36">
        <v>0</v>
      </c>
      <c r="G23" s="36">
        <v>0</v>
      </c>
      <c r="H23" s="36">
        <v>0</v>
      </c>
      <c r="I23" s="36">
        <f>SUM(C23:H23)</f>
        <v>4207706.9799254555</v>
      </c>
    </row>
    <row r="24" spans="1:10">
      <c r="A24" s="32"/>
      <c r="B24" s="35">
        <v>2011</v>
      </c>
      <c r="C24" s="36">
        <v>1682633.2148978761</v>
      </c>
      <c r="D24" s="36">
        <v>504801.07157656644</v>
      </c>
      <c r="E24" s="36">
        <v>1700.3570291317671</v>
      </c>
      <c r="F24" s="36">
        <v>0</v>
      </c>
      <c r="G24" s="36">
        <v>0</v>
      </c>
      <c r="H24" s="36">
        <v>0</v>
      </c>
      <c r="I24" s="36">
        <f t="shared" ref="I24:I28" si="3">SUM(C24:H24)</f>
        <v>2189134.6435035742</v>
      </c>
    </row>
    <row r="25" spans="1:10">
      <c r="A25" s="32"/>
      <c r="B25" s="35">
        <v>2012</v>
      </c>
      <c r="C25" s="36">
        <v>-1058141.6629350015</v>
      </c>
      <c r="D25" s="36">
        <v>-60296.24575660644</v>
      </c>
      <c r="E25" s="36">
        <v>-450.70470902374444</v>
      </c>
      <c r="F25" s="36">
        <v>0</v>
      </c>
      <c r="G25" s="36">
        <v>0</v>
      </c>
      <c r="H25" s="36">
        <v>0</v>
      </c>
      <c r="I25" s="36">
        <f t="shared" si="3"/>
        <v>-1118888.6134006316</v>
      </c>
    </row>
    <row r="26" spans="1:10">
      <c r="A26" s="32"/>
      <c r="B26" s="35">
        <v>2013</v>
      </c>
      <c r="C26" s="36">
        <v>-542903.68826773402</v>
      </c>
      <c r="D26" s="36">
        <v>22981.211041248927</v>
      </c>
      <c r="E26" s="36">
        <v>-500.81758808426616</v>
      </c>
      <c r="F26" s="36">
        <v>0</v>
      </c>
      <c r="G26" s="36">
        <v>0</v>
      </c>
      <c r="H26" s="36">
        <v>0</v>
      </c>
      <c r="I26" s="36">
        <f t="shared" si="3"/>
        <v>-520423.29481456935</v>
      </c>
    </row>
    <row r="27" spans="1:10">
      <c r="A27" s="32"/>
      <c r="B27" s="35">
        <v>2014</v>
      </c>
      <c r="C27" s="36">
        <v>-589829.48381054471</v>
      </c>
      <c r="D27" s="36">
        <v>25225.076995973937</v>
      </c>
      <c r="E27" s="36">
        <v>-67.709331929074821</v>
      </c>
      <c r="F27" s="36">
        <v>0</v>
      </c>
      <c r="G27" s="36">
        <v>0</v>
      </c>
      <c r="H27" s="36">
        <v>0</v>
      </c>
      <c r="I27" s="36">
        <f t="shared" si="3"/>
        <v>-564672.11614649987</v>
      </c>
    </row>
    <row r="28" spans="1:10">
      <c r="A28" s="32"/>
      <c r="B28" s="35">
        <v>2015</v>
      </c>
      <c r="C28" s="36">
        <v>1890800.567252581</v>
      </c>
      <c r="D28" s="36">
        <v>918859.70518778474</v>
      </c>
      <c r="E28" s="36">
        <v>3107.8860210438247</v>
      </c>
      <c r="F28" s="36">
        <v>0</v>
      </c>
      <c r="G28" s="36">
        <v>0</v>
      </c>
      <c r="H28" s="36">
        <v>0</v>
      </c>
      <c r="I28" s="36">
        <f t="shared" si="3"/>
        <v>2812768.1584614092</v>
      </c>
    </row>
    <row r="29" spans="1:10">
      <c r="A29" s="38" t="s">
        <v>1</v>
      </c>
      <c r="B29" s="35">
        <v>2016</v>
      </c>
      <c r="C29" s="36"/>
      <c r="D29" s="36"/>
      <c r="E29" s="36"/>
      <c r="F29" s="36"/>
      <c r="G29" s="36"/>
      <c r="H29" s="36"/>
      <c r="I29" s="36"/>
    </row>
    <row r="30" spans="1:10">
      <c r="A30" s="38" t="s">
        <v>1</v>
      </c>
      <c r="B30" s="35">
        <v>2017</v>
      </c>
      <c r="C30" s="36"/>
      <c r="D30" s="36"/>
      <c r="E30" s="36"/>
      <c r="F30" s="36"/>
      <c r="G30" s="36"/>
      <c r="H30" s="36"/>
      <c r="I30" s="36"/>
    </row>
    <row r="31" spans="1:10">
      <c r="A31" s="38" t="s">
        <v>1</v>
      </c>
      <c r="B31" s="35">
        <v>2018</v>
      </c>
      <c r="C31" s="36"/>
      <c r="D31" s="36"/>
      <c r="E31" s="36"/>
      <c r="F31" s="36"/>
      <c r="G31" s="36"/>
      <c r="H31" s="36"/>
      <c r="I31" s="36"/>
    </row>
    <row r="32" spans="1:10">
      <c r="A32" s="38" t="s">
        <v>1</v>
      </c>
      <c r="B32" s="35">
        <v>2019</v>
      </c>
      <c r="C32" s="36"/>
      <c r="D32" s="36"/>
      <c r="E32" s="36"/>
      <c r="F32" s="36"/>
      <c r="G32" s="36"/>
      <c r="H32" s="36"/>
      <c r="I32" s="36"/>
    </row>
    <row r="33" spans="1:9">
      <c r="A33" s="38" t="s">
        <v>1</v>
      </c>
      <c r="B33" s="35">
        <v>2020</v>
      </c>
      <c r="C33" s="36"/>
      <c r="D33" s="36"/>
      <c r="E33" s="36"/>
      <c r="F33" s="36"/>
      <c r="G33" s="36"/>
      <c r="H33" s="36"/>
      <c r="I33" s="36"/>
    </row>
    <row r="35" spans="1:9">
      <c r="B35">
        <f>B23</f>
        <v>2010</v>
      </c>
      <c r="C35" s="2">
        <f>C7/$I7</f>
        <v>0.52296698620009407</v>
      </c>
      <c r="D35" s="2">
        <f t="shared" ref="D35:H35" si="4">D7/$I7</f>
        <v>0.44048545529489835</v>
      </c>
      <c r="E35" s="2">
        <f t="shared" si="4"/>
        <v>3.1168839649303431E-2</v>
      </c>
      <c r="F35" s="2">
        <f t="shared" si="4"/>
        <v>4.2930508800466168E-3</v>
      </c>
      <c r="G35" s="2">
        <f t="shared" si="4"/>
        <v>8.1042624487069506E-4</v>
      </c>
      <c r="H35" s="2">
        <f t="shared" si="4"/>
        <v>2.7524173078702374E-4</v>
      </c>
      <c r="I35" s="3">
        <f>SUM(E35:H35)</f>
        <v>3.6547558505007766E-2</v>
      </c>
    </row>
    <row r="36" spans="1:9">
      <c r="B36" s="216">
        <f t="shared" ref="B36:B44" si="5">B24</f>
        <v>2011</v>
      </c>
      <c r="C36" s="2">
        <f t="shared" ref="C36:H36" si="6">C8/$I8</f>
        <v>0.52363804591068253</v>
      </c>
      <c r="D36" s="2">
        <f t="shared" si="6"/>
        <v>0.44046109923387528</v>
      </c>
      <c r="E36" s="2">
        <f t="shared" si="6"/>
        <v>3.0497022256265986E-2</v>
      </c>
      <c r="F36" s="2">
        <f t="shared" si="6"/>
        <v>4.3254599912711722E-3</v>
      </c>
      <c r="G36" s="2">
        <f t="shared" si="6"/>
        <v>8.1013719073686331E-4</v>
      </c>
      <c r="H36" s="2">
        <f t="shared" si="6"/>
        <v>2.682354171681406E-4</v>
      </c>
      <c r="I36" s="3">
        <f t="shared" ref="I36:I44" si="7">SUM(E36:H36)</f>
        <v>3.5900854855442164E-2</v>
      </c>
    </row>
    <row r="37" spans="1:9">
      <c r="B37" s="216">
        <f t="shared" si="5"/>
        <v>2012</v>
      </c>
      <c r="C37" s="2">
        <f t="shared" ref="C37:H37" si="8">C9/$I9</f>
        <v>0.52728848900904779</v>
      </c>
      <c r="D37" s="2">
        <f t="shared" si="8"/>
        <v>0.43815184416648151</v>
      </c>
      <c r="E37" s="2">
        <f t="shared" si="8"/>
        <v>2.926389052498711E-2</v>
      </c>
      <c r="F37" s="2">
        <f t="shared" si="8"/>
        <v>4.2704801959544099E-3</v>
      </c>
      <c r="G37" s="2">
        <f t="shared" si="8"/>
        <v>7.7990023981604369E-4</v>
      </c>
      <c r="H37" s="2">
        <f t="shared" si="8"/>
        <v>2.453958637131665E-4</v>
      </c>
      <c r="I37" s="3">
        <f t="shared" si="7"/>
        <v>3.4559666824470731E-2</v>
      </c>
    </row>
    <row r="38" spans="1:9">
      <c r="B38" s="216">
        <f t="shared" si="5"/>
        <v>2013</v>
      </c>
      <c r="C38" s="2">
        <f t="shared" ref="C38:H38" si="9">C10/$I10</f>
        <v>0.52730552217989768</v>
      </c>
      <c r="D38" s="2">
        <f t="shared" si="9"/>
        <v>0.43868803251128752</v>
      </c>
      <c r="E38" s="2">
        <f t="shared" si="9"/>
        <v>2.8614549138263907E-2</v>
      </c>
      <c r="F38" s="2">
        <f t="shared" si="9"/>
        <v>4.2740676902322684E-3</v>
      </c>
      <c r="G38" s="2">
        <f t="shared" si="9"/>
        <v>8.5036702724064527E-4</v>
      </c>
      <c r="H38" s="2">
        <f t="shared" si="9"/>
        <v>2.6746145307791653E-4</v>
      </c>
      <c r="I38" s="3">
        <f t="shared" si="7"/>
        <v>3.4006445308814741E-2</v>
      </c>
    </row>
    <row r="39" spans="1:9">
      <c r="B39" s="216">
        <f t="shared" si="5"/>
        <v>2014</v>
      </c>
      <c r="C39" s="2">
        <f t="shared" ref="C39:H39" si="10">C11/$I11</f>
        <v>0.53158907096133101</v>
      </c>
      <c r="D39" s="2">
        <f t="shared" si="10"/>
        <v>0.43503742254038996</v>
      </c>
      <c r="E39" s="2">
        <f t="shared" si="10"/>
        <v>2.8024437991311251E-2</v>
      </c>
      <c r="F39" s="2">
        <f t="shared" si="10"/>
        <v>4.2489900938220936E-3</v>
      </c>
      <c r="G39" s="2">
        <f t="shared" si="10"/>
        <v>8.7091128009958148E-4</v>
      </c>
      <c r="H39" s="2">
        <f t="shared" si="10"/>
        <v>2.2916713304609845E-4</v>
      </c>
      <c r="I39" s="3">
        <f t="shared" si="7"/>
        <v>3.3373506498279026E-2</v>
      </c>
    </row>
    <row r="40" spans="1:9">
      <c r="B40" s="216">
        <f t="shared" si="5"/>
        <v>2015</v>
      </c>
      <c r="C40" s="2">
        <f t="shared" ref="C40:H40" si="11">C12/$I12</f>
        <v>0.53225682456333245</v>
      </c>
      <c r="D40" s="2">
        <f t="shared" si="11"/>
        <v>0.43407811122404705</v>
      </c>
      <c r="E40" s="2">
        <f t="shared" si="11"/>
        <v>2.8400964172206708E-2</v>
      </c>
      <c r="F40" s="2">
        <f t="shared" si="11"/>
        <v>4.1879017835335618E-3</v>
      </c>
      <c r="G40" s="2">
        <f t="shared" si="11"/>
        <v>8.5770706166910578E-4</v>
      </c>
      <c r="H40" s="2">
        <f t="shared" si="11"/>
        <v>2.184911952111388E-4</v>
      </c>
      <c r="I40" s="3">
        <f t="shared" si="7"/>
        <v>3.366506421262052E-2</v>
      </c>
    </row>
    <row r="41" spans="1:9">
      <c r="B41" s="216">
        <f t="shared" si="5"/>
        <v>2016</v>
      </c>
      <c r="C41" s="2">
        <f t="shared" ref="C41:H41" si="12">C13/$I13</f>
        <v>0.53300110899618425</v>
      </c>
      <c r="D41" s="2">
        <f t="shared" si="12"/>
        <v>0.43192914162228485</v>
      </c>
      <c r="E41" s="2">
        <f t="shared" si="12"/>
        <v>2.955144583432626E-2</v>
      </c>
      <c r="F41" s="2">
        <f t="shared" si="12"/>
        <v>4.4512758566790664E-3</v>
      </c>
      <c r="G41" s="2">
        <f t="shared" si="12"/>
        <v>8.5005661537947944E-4</v>
      </c>
      <c r="H41" s="2">
        <f t="shared" si="12"/>
        <v>2.1697107514625464E-4</v>
      </c>
      <c r="I41" s="3">
        <f t="shared" si="7"/>
        <v>3.5069749381531061E-2</v>
      </c>
    </row>
    <row r="42" spans="1:9">
      <c r="B42" s="216">
        <f t="shared" si="5"/>
        <v>2017</v>
      </c>
      <c r="C42" s="2">
        <f t="shared" ref="C42:H42" si="13">C14/$I14</f>
        <v>0.53172093597026515</v>
      </c>
      <c r="D42" s="2">
        <f t="shared" si="13"/>
        <v>0.43230702869351528</v>
      </c>
      <c r="E42" s="2">
        <f t="shared" si="13"/>
        <v>3.035389719247325E-2</v>
      </c>
      <c r="F42" s="2">
        <f t="shared" si="13"/>
        <v>4.5539350305709731E-3</v>
      </c>
      <c r="G42" s="2">
        <f t="shared" si="13"/>
        <v>8.5045492457707023E-4</v>
      </c>
      <c r="H42" s="2">
        <f t="shared" si="13"/>
        <v>2.1374818859824855E-4</v>
      </c>
      <c r="I42" s="3">
        <f t="shared" si="7"/>
        <v>3.5972035336219538E-2</v>
      </c>
    </row>
    <row r="43" spans="1:9">
      <c r="B43" s="216">
        <f t="shared" si="5"/>
        <v>2018</v>
      </c>
      <c r="C43" s="2">
        <f t="shared" ref="C43:H43" si="14">C15/$I15</f>
        <v>0.53210721085385559</v>
      </c>
      <c r="D43" s="2">
        <f t="shared" si="14"/>
        <v>0.43143311478864965</v>
      </c>
      <c r="E43" s="2">
        <f t="shared" si="14"/>
        <v>3.077581494690464E-2</v>
      </c>
      <c r="F43" s="2">
        <f t="shared" si="14"/>
        <v>4.6241675697539257E-3</v>
      </c>
      <c r="G43" s="2">
        <f t="shared" si="14"/>
        <v>8.4593077350178817E-4</v>
      </c>
      <c r="H43" s="2">
        <f t="shared" si="14"/>
        <v>2.137610673343541E-4</v>
      </c>
      <c r="I43" s="3">
        <f t="shared" si="7"/>
        <v>3.6459674357494705E-2</v>
      </c>
    </row>
    <row r="44" spans="1:9">
      <c r="B44" s="216">
        <f t="shared" si="5"/>
        <v>2019</v>
      </c>
      <c r="C44" s="2">
        <f t="shared" ref="C44:H44" si="15">C16/$I16</f>
        <v>0.53250145951507766</v>
      </c>
      <c r="D44" s="2">
        <f t="shared" si="15"/>
        <v>0.43070002787741174</v>
      </c>
      <c r="E44" s="2">
        <f t="shared" si="15"/>
        <v>3.1053205956513358E-2</v>
      </c>
      <c r="F44" s="2">
        <f t="shared" si="15"/>
        <v>4.6928633675778972E-3</v>
      </c>
      <c r="G44" s="2">
        <f t="shared" si="15"/>
        <v>8.4099826697421815E-4</v>
      </c>
      <c r="H44" s="2">
        <f t="shared" si="15"/>
        <v>2.1144501644520766E-4</v>
      </c>
      <c r="I44" s="3">
        <f t="shared" si="7"/>
        <v>3.6798512607510686E-2</v>
      </c>
    </row>
    <row r="48" spans="1:9">
      <c r="B48">
        <f>B36</f>
        <v>2011</v>
      </c>
      <c r="C48" s="2">
        <f>C8/C7-1</f>
        <v>9.1609167739372666E-3</v>
      </c>
      <c r="D48" s="2">
        <f t="shared" ref="D48:I48" si="16">D8/D7-1</f>
        <v>7.8119145182322658E-3</v>
      </c>
      <c r="E48" s="2">
        <f t="shared" si="16"/>
        <v>-1.385607251623644E-2</v>
      </c>
      <c r="F48" s="2">
        <f t="shared" si="16"/>
        <v>1.5476240344362902E-2</v>
      </c>
      <c r="G48" s="2">
        <f t="shared" si="16"/>
        <v>7.5081678149355735E-3</v>
      </c>
      <c r="H48" s="2">
        <f t="shared" si="16"/>
        <v>-1.7787757116835223E-2</v>
      </c>
      <c r="I48" s="2">
        <f t="shared" si="16"/>
        <v>7.8676432273794283E-3</v>
      </c>
    </row>
    <row r="49" spans="2:9">
      <c r="B49" s="308">
        <f t="shared" ref="B49:B57" si="17">B37</f>
        <v>2012</v>
      </c>
      <c r="C49" s="2">
        <f t="shared" ref="C49:I49" si="18">C9/C8-1</f>
        <v>2.8936359718343851E-2</v>
      </c>
      <c r="D49" s="2">
        <f t="shared" si="18"/>
        <v>1.6455810586867514E-2</v>
      </c>
      <c r="E49" s="2">
        <f t="shared" si="18"/>
        <v>-1.9503508540901215E-2</v>
      </c>
      <c r="F49" s="2">
        <f t="shared" si="18"/>
        <v>8.8249860302895833E-3</v>
      </c>
      <c r="G49" s="2">
        <f t="shared" si="18"/>
        <v>-1.6324394248460217E-2</v>
      </c>
      <c r="H49" s="2">
        <f t="shared" si="18"/>
        <v>-6.5191753613382475E-2</v>
      </c>
      <c r="I49" s="2">
        <f t="shared" si="18"/>
        <v>2.1812984732385354E-2</v>
      </c>
    </row>
    <row r="50" spans="2:9">
      <c r="B50" s="308">
        <f t="shared" si="17"/>
        <v>2013</v>
      </c>
      <c r="C50" s="2">
        <f t="shared" ref="C50:I50" si="19">C10/C9-1</f>
        <v>-3.5626285812928593E-4</v>
      </c>
      <c r="D50" s="2">
        <f t="shared" si="19"/>
        <v>8.3472093523084823E-4</v>
      </c>
      <c r="E50" s="2">
        <f t="shared" si="19"/>
        <v>-2.2569100069275705E-2</v>
      </c>
      <c r="F50" s="2">
        <f t="shared" si="19"/>
        <v>4.5118807993205223E-4</v>
      </c>
      <c r="G50" s="2">
        <f t="shared" si="19"/>
        <v>8.9929930327357743E-2</v>
      </c>
      <c r="H50" s="2">
        <f t="shared" si="19"/>
        <v>8.9494850947526405E-2</v>
      </c>
      <c r="I50" s="2">
        <f t="shared" si="19"/>
        <v>-3.8855363045686708E-4</v>
      </c>
    </row>
    <row r="51" spans="2:9">
      <c r="B51" s="308">
        <f t="shared" si="17"/>
        <v>2014</v>
      </c>
      <c r="C51" s="2">
        <f t="shared" ref="C51:I51" si="20">C11/C10-1</f>
        <v>2.4220015945284334E-2</v>
      </c>
      <c r="D51" s="2">
        <f t="shared" si="20"/>
        <v>7.5123188279861974E-3</v>
      </c>
      <c r="E51" s="2">
        <f t="shared" si="20"/>
        <v>-4.9852030677671744E-3</v>
      </c>
      <c r="F51" s="2">
        <f t="shared" si="20"/>
        <v>1.0005775650481441E-2</v>
      </c>
      <c r="G51" s="2">
        <f t="shared" si="20"/>
        <v>4.0511868001105844E-2</v>
      </c>
      <c r="H51" s="2">
        <f t="shared" si="20"/>
        <v>-0.12949620941622197</v>
      </c>
      <c r="I51" s="2">
        <f t="shared" si="20"/>
        <v>1.596684325817832E-2</v>
      </c>
    </row>
    <row r="52" spans="2:9">
      <c r="B52" s="308">
        <f t="shared" si="17"/>
        <v>2015</v>
      </c>
      <c r="C52" s="2">
        <f t="shared" ref="C52:I52" si="21">C12/C11-1</f>
        <v>2.0850365284106553E-2</v>
      </c>
      <c r="D52" s="2">
        <f t="shared" si="21"/>
        <v>1.7321359603224007E-2</v>
      </c>
      <c r="E52" s="2">
        <f t="shared" si="21"/>
        <v>3.32682044533128E-2</v>
      </c>
      <c r="F52" s="2">
        <f t="shared" si="21"/>
        <v>4.911144966977421E-3</v>
      </c>
      <c r="G52" s="2">
        <f t="shared" si="21"/>
        <v>4.1115522059738119E-3</v>
      </c>
      <c r="H52" s="2">
        <f t="shared" si="21"/>
        <v>-2.7927846497563857E-2</v>
      </c>
      <c r="I52" s="2">
        <f t="shared" si="21"/>
        <v>1.9569636739043439E-2</v>
      </c>
    </row>
    <row r="53" spans="2:9">
      <c r="B53" s="308">
        <f t="shared" si="17"/>
        <v>2016</v>
      </c>
      <c r="C53" s="2">
        <f t="shared" ref="C53:I53" si="22">C13/C12-1</f>
        <v>4.8270427242573799E-3</v>
      </c>
      <c r="D53" s="2">
        <f t="shared" si="22"/>
        <v>-1.5437033095986319E-3</v>
      </c>
      <c r="E53" s="2">
        <f t="shared" si="22"/>
        <v>4.4071138653577702E-2</v>
      </c>
      <c r="F53" s="2">
        <f t="shared" si="22"/>
        <v>6.6528492499964953E-2</v>
      </c>
      <c r="G53" s="2">
        <f t="shared" si="22"/>
        <v>-5.5262903262575103E-3</v>
      </c>
      <c r="H53" s="2">
        <f t="shared" si="22"/>
        <v>-3.5572737952159761E-3</v>
      </c>
      <c r="I53" s="2">
        <f t="shared" si="22"/>
        <v>3.4238990666077829E-3</v>
      </c>
    </row>
    <row r="54" spans="2:9">
      <c r="B54" s="308">
        <f t="shared" si="17"/>
        <v>2017</v>
      </c>
      <c r="C54" s="2">
        <f t="shared" ref="C54:I54" si="23">C14/C13-1</f>
        <v>-3.5867435439355111E-3</v>
      </c>
      <c r="D54" s="2">
        <f t="shared" si="23"/>
        <v>-3.1393287238679068E-4</v>
      </c>
      <c r="E54" s="2">
        <f t="shared" si="23"/>
        <v>2.5934356575625817E-2</v>
      </c>
      <c r="F54" s="2">
        <f t="shared" si="23"/>
        <v>2.1847695625714314E-2</v>
      </c>
      <c r="G54" s="2">
        <f t="shared" si="23"/>
        <v>-7.1976450824351446E-4</v>
      </c>
      <c r="H54" s="2">
        <f t="shared" si="23"/>
        <v>-1.6024124282964181E-2</v>
      </c>
      <c r="I54" s="2">
        <f t="shared" si="23"/>
        <v>-1.1877758010996331E-3</v>
      </c>
    </row>
    <row r="55" spans="2:9">
      <c r="B55" s="308">
        <f t="shared" si="17"/>
        <v>2018</v>
      </c>
      <c r="C55" s="2">
        <f t="shared" ref="C55:I55" si="24">C15/C14-1</f>
        <v>6.4408114106093706E-3</v>
      </c>
      <c r="D55" s="2">
        <f t="shared" si="24"/>
        <v>3.6771461123021876E-3</v>
      </c>
      <c r="E55" s="2">
        <f t="shared" si="24"/>
        <v>1.9689526356251097E-2</v>
      </c>
      <c r="F55" s="2">
        <f t="shared" si="24"/>
        <v>2.122065138816831E-2</v>
      </c>
      <c r="G55" s="2">
        <f t="shared" si="24"/>
        <v>3.6014147117069406E-4</v>
      </c>
      <c r="H55" s="2">
        <f t="shared" si="24"/>
        <v>5.7707974477574364E-3</v>
      </c>
      <c r="I55" s="2">
        <f t="shared" si="24"/>
        <v>5.7102014896415199E-3</v>
      </c>
    </row>
    <row r="56" spans="2:9">
      <c r="B56" s="308">
        <f t="shared" si="17"/>
        <v>2019</v>
      </c>
      <c r="C56" s="2">
        <f t="shared" ref="C56:I56" si="25">C16/C15-1</f>
        <v>6.4291307967947464E-3</v>
      </c>
      <c r="D56" s="2">
        <f t="shared" si="25"/>
        <v>3.9751514361217044E-3</v>
      </c>
      <c r="E56" s="2">
        <f t="shared" si="25"/>
        <v>1.474851038653413E-2</v>
      </c>
      <c r="F56" s="2">
        <f t="shared" si="25"/>
        <v>2.0624259584024696E-2</v>
      </c>
      <c r="G56" s="2">
        <f t="shared" si="25"/>
        <v>-1.8000590799305272E-4</v>
      </c>
      <c r="H56" s="2">
        <f t="shared" si="25"/>
        <v>-5.2123497955718356E-3</v>
      </c>
      <c r="I56" s="2">
        <f t="shared" si="25"/>
        <v>5.6839998110640444E-3</v>
      </c>
    </row>
    <row r="57" spans="2:9">
      <c r="B57" s="308">
        <f t="shared" si="17"/>
        <v>0</v>
      </c>
      <c r="C57" s="2">
        <f t="shared" ref="C57:I57" si="26">C17/C16-1</f>
        <v>1.2284541214545364E-2</v>
      </c>
      <c r="D57" s="2">
        <f t="shared" si="26"/>
        <v>8.5674635374504149E-3</v>
      </c>
      <c r="E57" s="2">
        <f t="shared" si="26"/>
        <v>1.1417615812462811E-2</v>
      </c>
      <c r="F57" s="2">
        <f t="shared" si="26"/>
        <v>2.0056341844019387E-2</v>
      </c>
      <c r="G57" s="2">
        <f t="shared" si="26"/>
        <v>9.0019157976906072E-5</v>
      </c>
      <c r="H57" s="2">
        <f t="shared" si="26"/>
        <v>2.6850854421889281E-4</v>
      </c>
      <c r="I57" s="2">
        <f t="shared" si="26"/>
        <v>1.0680350638670788E-2</v>
      </c>
    </row>
    <row r="58" spans="2:9">
      <c r="C58" s="2"/>
      <c r="D58" s="2"/>
      <c r="E58" s="2"/>
      <c r="F58" s="2"/>
      <c r="G58" s="2"/>
      <c r="H58" s="2"/>
      <c r="I58" s="2"/>
    </row>
    <row r="59" spans="2:9">
      <c r="C59" s="2"/>
      <c r="D59" s="2"/>
      <c r="E59" s="2"/>
      <c r="F59" s="2"/>
      <c r="G59" s="2"/>
      <c r="H59" s="2"/>
      <c r="I59" s="2"/>
    </row>
  </sheetData>
  <mergeCells count="2">
    <mergeCell ref="C4:I4"/>
    <mergeCell ref="C20:I2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1:L27"/>
  <sheetViews>
    <sheetView workbookViewId="0">
      <selection activeCell="C2" sqref="C1:C2"/>
    </sheetView>
  </sheetViews>
  <sheetFormatPr defaultRowHeight="14.4"/>
  <cols>
    <col min="6" max="6" width="9.5546875" bestFit="1" customWidth="1"/>
    <col min="11" max="11" width="9.109375" style="317"/>
  </cols>
  <sheetData>
    <row r="1" spans="3:12" s="418" customFormat="1">
      <c r="C1" s="453" t="s">
        <v>300</v>
      </c>
    </row>
    <row r="2" spans="3:12" s="418" customFormat="1">
      <c r="C2" s="453" t="s">
        <v>290</v>
      </c>
    </row>
    <row r="4" spans="3:12">
      <c r="D4" t="s">
        <v>46</v>
      </c>
      <c r="J4" t="s">
        <v>271</v>
      </c>
    </row>
    <row r="5" spans="3:12">
      <c r="D5" t="s">
        <v>47</v>
      </c>
      <c r="F5" t="s">
        <v>48</v>
      </c>
    </row>
    <row r="6" spans="3:12">
      <c r="C6">
        <v>2004</v>
      </c>
      <c r="D6" s="361">
        <f>'BLS Data Series (2)'!N17</f>
        <v>7480.5666666666657</v>
      </c>
      <c r="J6" s="41">
        <v>37.968382347626552</v>
      </c>
      <c r="L6" s="41"/>
    </row>
    <row r="7" spans="3:12">
      <c r="C7">
        <f>C6+1</f>
        <v>2005</v>
      </c>
      <c r="D7" s="361">
        <f>'BLS Data Series (2)'!N18</f>
        <v>7780.9500000000007</v>
      </c>
      <c r="E7" s="2">
        <f>D7/D6-1</f>
        <v>4.0155157586100998E-2</v>
      </c>
      <c r="F7" s="40">
        <f>'BLS Data Series'!N17</f>
        <v>7780.9500000000007</v>
      </c>
      <c r="J7" s="41">
        <v>39.371302733685624</v>
      </c>
      <c r="K7" s="2">
        <f>J7/J6-1</f>
        <v>3.6949701286043135E-2</v>
      </c>
      <c r="L7" s="41"/>
    </row>
    <row r="8" spans="3:12">
      <c r="C8">
        <f t="shared" ref="C8:C22" si="0">C7+1</f>
        <v>2006</v>
      </c>
      <c r="D8" s="361">
        <f>'BLS Data Series (2)'!N19</f>
        <v>7984.0083333333341</v>
      </c>
      <c r="E8" s="2">
        <f t="shared" ref="E8:G22" si="1">D8/D7-1</f>
        <v>2.6096856210788388E-2</v>
      </c>
      <c r="F8" s="40">
        <f>'BLS Data Series'!N18</f>
        <v>7984.0083333333341</v>
      </c>
      <c r="G8" s="2">
        <f t="shared" si="1"/>
        <v>2.6096856210788388E-2</v>
      </c>
      <c r="I8" s="2"/>
      <c r="J8" s="41">
        <v>40.852873686427202</v>
      </c>
      <c r="K8" s="2">
        <f t="shared" ref="K8:K22" si="2">J8/J7-1</f>
        <v>3.7630732281407564E-2</v>
      </c>
      <c r="L8" s="41"/>
    </row>
    <row r="9" spans="3:12">
      <c r="C9">
        <f t="shared" si="0"/>
        <v>2007</v>
      </c>
      <c r="D9" s="361">
        <f>'BLS Data Series (2)'!N20</f>
        <v>7999.1666666666679</v>
      </c>
      <c r="E9" s="2">
        <f t="shared" si="1"/>
        <v>1.8985868626975044E-3</v>
      </c>
      <c r="F9" s="40">
        <f>'BLS Data Series'!N19</f>
        <v>7999.1666666666679</v>
      </c>
      <c r="G9" s="2">
        <f t="shared" si="1"/>
        <v>1.8985868626975044E-3</v>
      </c>
      <c r="I9" s="2"/>
      <c r="J9" s="41">
        <v>40.904774211632244</v>
      </c>
      <c r="K9" s="2">
        <f t="shared" si="2"/>
        <v>1.2704253219348871E-3</v>
      </c>
      <c r="L9" s="41"/>
    </row>
    <row r="10" spans="3:12">
      <c r="C10">
        <f t="shared" si="0"/>
        <v>2008</v>
      </c>
      <c r="D10" s="361">
        <f>'BLS Data Series (2)'!N21</f>
        <v>7715.0333333333338</v>
      </c>
      <c r="E10" s="2">
        <f t="shared" si="1"/>
        <v>-3.5520366704865136E-2</v>
      </c>
      <c r="F10" s="40">
        <f>'BLS Data Series'!N20</f>
        <v>7715.0333333333338</v>
      </c>
      <c r="G10" s="2">
        <f t="shared" si="1"/>
        <v>-3.5520366704865136E-2</v>
      </c>
      <c r="I10" s="2"/>
      <c r="J10" s="41">
        <v>39.475781257405529</v>
      </c>
      <c r="K10" s="2">
        <f t="shared" si="2"/>
        <v>-3.4934625157284072E-2</v>
      </c>
      <c r="L10" s="41"/>
    </row>
    <row r="11" spans="3:12">
      <c r="C11">
        <f t="shared" si="0"/>
        <v>2009</v>
      </c>
      <c r="D11" s="361">
        <f>'BLS Data Series (2)'!N22</f>
        <v>7230.5999999999995</v>
      </c>
      <c r="E11" s="2">
        <f t="shared" si="1"/>
        <v>-6.279082829627014E-2</v>
      </c>
      <c r="F11" s="40">
        <f>'BLS Data Series'!N21</f>
        <v>7230.5999999999995</v>
      </c>
      <c r="G11" s="2">
        <f t="shared" si="1"/>
        <v>-6.279082829627014E-2</v>
      </c>
      <c r="I11" s="2"/>
      <c r="J11" s="41">
        <v>37.207057582333853</v>
      </c>
      <c r="K11" s="2">
        <f t="shared" si="2"/>
        <v>-5.7471279929287578E-2</v>
      </c>
      <c r="L11" s="41"/>
    </row>
    <row r="12" spans="3:12">
      <c r="C12">
        <f t="shared" si="0"/>
        <v>2010</v>
      </c>
      <c r="D12" s="361">
        <f>'BLS Data Series (2)'!N23</f>
        <v>7172.6416666666664</v>
      </c>
      <c r="E12" s="2">
        <f t="shared" si="1"/>
        <v>-8.0157017859282531E-3</v>
      </c>
      <c r="F12" s="40">
        <f>'BLS Data Series'!N22</f>
        <v>7172.6416666666664</v>
      </c>
      <c r="G12" s="2">
        <f t="shared" si="1"/>
        <v>-8.0157017859282531E-3</v>
      </c>
      <c r="I12" s="2"/>
      <c r="J12" s="41">
        <v>37.881922785122093</v>
      </c>
      <c r="K12" s="2">
        <f t="shared" si="2"/>
        <v>1.813809655049603E-2</v>
      </c>
      <c r="L12" s="41"/>
    </row>
    <row r="13" spans="3:12">
      <c r="C13">
        <f t="shared" si="0"/>
        <v>2011</v>
      </c>
      <c r="D13" s="361">
        <f>'BLS Data Series (2)'!N24</f>
        <v>7251.6083333333336</v>
      </c>
      <c r="E13" s="2">
        <f t="shared" si="1"/>
        <v>1.100942586239162E-2</v>
      </c>
      <c r="F13" s="40">
        <f>'BLS Data Series'!N23</f>
        <v>7251.6083333333336</v>
      </c>
      <c r="G13" s="2">
        <f t="shared" si="1"/>
        <v>1.100942586239162E-2</v>
      </c>
      <c r="I13" s="2"/>
      <c r="J13" s="41">
        <v>38.472247153876488</v>
      </c>
      <c r="K13" s="2">
        <f t="shared" si="2"/>
        <v>1.5583273639590445E-2</v>
      </c>
      <c r="L13" s="41"/>
    </row>
    <row r="14" spans="3:12">
      <c r="C14">
        <f t="shared" si="0"/>
        <v>2012</v>
      </c>
      <c r="D14" s="361">
        <f>'BLS Data Series (2)'!N25</f>
        <v>7396.1083333333345</v>
      </c>
      <c r="E14" s="2">
        <f t="shared" si="1"/>
        <v>1.9926613981036567E-2</v>
      </c>
      <c r="F14" s="40">
        <f>'BLS Data Series'!N24</f>
        <v>7396.1083333333345</v>
      </c>
      <c r="G14" s="2">
        <f t="shared" si="1"/>
        <v>1.9926613981036567E-2</v>
      </c>
      <c r="I14" s="2"/>
      <c r="J14" s="41">
        <v>38.583386152835494</v>
      </c>
      <c r="K14" s="2">
        <f t="shared" si="2"/>
        <v>2.8888096532153629E-3</v>
      </c>
      <c r="L14" s="41"/>
    </row>
    <row r="15" spans="3:12">
      <c r="C15">
        <f t="shared" si="0"/>
        <v>2013</v>
      </c>
      <c r="D15" s="361">
        <f>'BLS Data Series (2)'!N26</f>
        <v>7582.1166666666659</v>
      </c>
      <c r="E15" s="2">
        <f t="shared" si="1"/>
        <v>2.5149487399341419E-2</v>
      </c>
      <c r="F15" s="40">
        <f>'BLS Data Series'!N25</f>
        <v>7582.1166666666659</v>
      </c>
      <c r="G15" s="2">
        <f t="shared" si="1"/>
        <v>2.5149487399341419E-2</v>
      </c>
      <c r="I15" s="2"/>
      <c r="J15" s="41">
        <v>38.520647320289719</v>
      </c>
      <c r="K15" s="2">
        <f t="shared" si="2"/>
        <v>-1.6260582287219716E-3</v>
      </c>
      <c r="L15" s="41"/>
    </row>
    <row r="16" spans="3:12">
      <c r="C16">
        <f t="shared" si="0"/>
        <v>2014</v>
      </c>
      <c r="D16" s="361">
        <f>'BLS Data Series (2)'!N27</f>
        <v>7826.791666666667</v>
      </c>
      <c r="E16" s="2">
        <f t="shared" si="1"/>
        <v>3.2270012551464555E-2</v>
      </c>
      <c r="F16" s="40">
        <f>'BLS Data Series'!N26</f>
        <v>7826.791666666667</v>
      </c>
      <c r="G16" s="2">
        <f t="shared" si="1"/>
        <v>3.2270012551464555E-2</v>
      </c>
      <c r="I16" s="2"/>
      <c r="J16" s="41">
        <v>39.26679086626357</v>
      </c>
      <c r="K16" s="2">
        <f t="shared" si="2"/>
        <v>1.9369963847436278E-2</v>
      </c>
      <c r="L16" s="41"/>
    </row>
    <row r="17" spans="3:12">
      <c r="C17">
        <f t="shared" si="0"/>
        <v>2015</v>
      </c>
      <c r="D17" s="361">
        <f>'BLS Data Series (2)'!N28</f>
        <v>8084.6500000000005</v>
      </c>
      <c r="E17" s="2">
        <f t="shared" si="1"/>
        <v>3.2945598185718961E-2</v>
      </c>
      <c r="J17" s="400">
        <v>40.534771563843591</v>
      </c>
      <c r="K17" s="2">
        <f t="shared" si="2"/>
        <v>3.2291426663782152E-2</v>
      </c>
      <c r="L17" s="41"/>
    </row>
    <row r="18" spans="3:12">
      <c r="C18">
        <f t="shared" si="0"/>
        <v>2016</v>
      </c>
      <c r="D18" s="41">
        <v>8297.795725031212</v>
      </c>
      <c r="E18" s="2">
        <f t="shared" si="1"/>
        <v>2.6364248920016431E-2</v>
      </c>
      <c r="J18" s="41">
        <v>41.44354265050481</v>
      </c>
      <c r="K18" s="2">
        <f t="shared" si="2"/>
        <v>2.2419543804012232E-2</v>
      </c>
      <c r="L18" s="41"/>
    </row>
    <row r="19" spans="3:12">
      <c r="C19">
        <f t="shared" si="0"/>
        <v>2017</v>
      </c>
      <c r="D19" s="41">
        <v>8459.6643208159985</v>
      </c>
      <c r="E19" s="2">
        <f t="shared" si="1"/>
        <v>1.9507421145171344E-2</v>
      </c>
      <c r="J19" s="400">
        <v>42.493071542997029</v>
      </c>
      <c r="K19" s="2">
        <f t="shared" si="2"/>
        <v>2.5324304472301939E-2</v>
      </c>
      <c r="L19" s="2">
        <f>(J19/J17)^(1/2)-1</f>
        <v>2.3870894024113465E-2</v>
      </c>
    </row>
    <row r="20" spans="3:12">
      <c r="C20">
        <f t="shared" si="0"/>
        <v>2018</v>
      </c>
      <c r="D20" s="41">
        <v>8591.9947192646214</v>
      </c>
      <c r="E20" s="2">
        <f t="shared" si="1"/>
        <v>1.5642511739267118E-2</v>
      </c>
      <c r="J20" s="41">
        <v>43.370191925856567</v>
      </c>
      <c r="K20" s="2">
        <f t="shared" si="2"/>
        <v>2.0641491683462299E-2</v>
      </c>
      <c r="L20" s="41"/>
    </row>
    <row r="21" spans="3:12">
      <c r="C21">
        <f t="shared" si="0"/>
        <v>2019</v>
      </c>
      <c r="D21" s="41">
        <v>8706.8194139636016</v>
      </c>
      <c r="E21" s="2">
        <f t="shared" si="1"/>
        <v>1.3364148658230102E-2</v>
      </c>
      <c r="J21" s="41">
        <v>44.191867234946642</v>
      </c>
      <c r="K21" s="2">
        <f t="shared" si="2"/>
        <v>1.8945623078974849E-2</v>
      </c>
      <c r="L21" s="41"/>
    </row>
    <row r="22" spans="3:12">
      <c r="C22">
        <f t="shared" si="0"/>
        <v>2020</v>
      </c>
      <c r="D22" s="41">
        <v>8826.8588488999358</v>
      </c>
      <c r="E22" s="2">
        <f t="shared" si="1"/>
        <v>1.378682952167587E-2</v>
      </c>
      <c r="J22" s="41">
        <v>45.040362923582684</v>
      </c>
      <c r="K22" s="2">
        <f t="shared" si="2"/>
        <v>1.9200267871122056E-2</v>
      </c>
      <c r="L22" s="2">
        <f>(J22/J17)^(1/5)-1</f>
        <v>2.1303523634126353E-2</v>
      </c>
    </row>
    <row r="24" spans="3:12">
      <c r="E24" s="2">
        <f>(D22/D17)^(1/5)-1</f>
        <v>1.7721599272761734E-2</v>
      </c>
    </row>
    <row r="26" spans="3:12">
      <c r="D26" t="s">
        <v>78</v>
      </c>
    </row>
    <row r="27" spans="3:12">
      <c r="D27" t="s">
        <v>79</v>
      </c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97"/>
  <sheetViews>
    <sheetView zoomScale="85" zoomScaleNormal="85" workbookViewId="0">
      <selection activeCell="B2" sqref="B1:B2"/>
    </sheetView>
  </sheetViews>
  <sheetFormatPr defaultColWidth="9.109375" defaultRowHeight="13.2"/>
  <cols>
    <col min="1" max="1" width="9.109375" style="362"/>
    <col min="2" max="2" width="17.6640625" style="362" customWidth="1"/>
    <col min="3" max="4" width="9.109375" style="362"/>
    <col min="5" max="5" width="18" style="362" customWidth="1"/>
    <col min="6" max="7" width="9.109375" style="362"/>
    <col min="8" max="8" width="11" style="362" customWidth="1"/>
    <col min="9" max="9" width="11.44140625" style="362" customWidth="1"/>
    <col min="10" max="10" width="9.109375" style="362"/>
    <col min="11" max="11" width="13.88671875" style="362" customWidth="1"/>
    <col min="12" max="12" width="9.44140625" style="362" customWidth="1"/>
    <col min="13" max="13" width="13" style="362" customWidth="1"/>
    <col min="14" max="14" width="12.88671875" style="362" customWidth="1"/>
    <col min="15" max="15" width="11.109375" style="362" customWidth="1"/>
    <col min="16" max="16384" width="9.109375" style="362"/>
  </cols>
  <sheetData>
    <row r="1" spans="1:13" ht="14.4">
      <c r="B1" s="453" t="s">
        <v>301</v>
      </c>
    </row>
    <row r="2" spans="1:13" ht="14.4">
      <c r="B2" s="453" t="s">
        <v>290</v>
      </c>
    </row>
    <row r="4" spans="1:13" ht="17.399999999999999">
      <c r="A4" s="426" t="s">
        <v>278</v>
      </c>
      <c r="B4" s="427"/>
      <c r="C4" s="427"/>
      <c r="D4" s="427"/>
      <c r="E4" s="427"/>
      <c r="F4" s="427"/>
      <c r="G4" s="427"/>
      <c r="H4" s="427"/>
      <c r="I4" s="427"/>
    </row>
    <row r="5" spans="1:13" ht="17.399999999999999">
      <c r="B5" s="363"/>
      <c r="C5" s="363"/>
      <c r="D5" s="363"/>
      <c r="E5" s="363"/>
      <c r="F5" s="363"/>
      <c r="G5" s="363"/>
      <c r="H5" s="363"/>
    </row>
    <row r="6" spans="1:13">
      <c r="B6" s="428" t="s">
        <v>29</v>
      </c>
      <c r="C6" s="428"/>
      <c r="D6" s="428"/>
      <c r="E6" s="428"/>
      <c r="F6" s="428"/>
      <c r="G6" s="428"/>
      <c r="H6" s="428"/>
    </row>
    <row r="7" spans="1:13">
      <c r="A7" s="364"/>
      <c r="B7" s="364"/>
      <c r="C7" s="364"/>
      <c r="D7" s="364"/>
      <c r="E7" s="364"/>
      <c r="F7" s="364"/>
      <c r="G7" s="364"/>
      <c r="H7" s="364"/>
    </row>
    <row r="8" spans="1:13" ht="14.4">
      <c r="B8" s="365" t="s">
        <v>273</v>
      </c>
      <c r="C8" s="366"/>
      <c r="D8" s="346"/>
      <c r="E8" s="346"/>
      <c r="F8" s="367">
        <f>AVERAGE(F18:F50)</f>
        <v>0.24413683347096518</v>
      </c>
      <c r="G8" s="368">
        <f>(D50/D17)^(1/33)-1</f>
        <v>2.0420308383674479E-2</v>
      </c>
      <c r="J8" s="390"/>
    </row>
    <row r="9" spans="1:13">
      <c r="B9" s="366"/>
      <c r="C9" s="366"/>
      <c r="D9" s="346"/>
      <c r="E9" s="346"/>
      <c r="F9" s="367"/>
      <c r="G9" s="370"/>
    </row>
    <row r="10" spans="1:13">
      <c r="B10" s="365" t="s">
        <v>32</v>
      </c>
      <c r="C10" s="366"/>
      <c r="D10" s="346"/>
      <c r="E10" s="346"/>
      <c r="F10" s="367">
        <f>AVERAGE(C57:C65)</f>
        <v>0.36368606791538205</v>
      </c>
      <c r="G10" s="368">
        <f>(B65/B56)^(1/9)-1</f>
        <v>1.9667453669224289E-2</v>
      </c>
    </row>
    <row r="11" spans="1:13">
      <c r="B11" s="365" t="s">
        <v>33</v>
      </c>
      <c r="C11" s="366"/>
      <c r="D11" s="346"/>
      <c r="E11" s="346"/>
      <c r="F11" s="367">
        <f>AVERAGE(F57:F65)</f>
        <v>0.31986958263183696</v>
      </c>
      <c r="G11" s="368">
        <f>(E65/E56)^(1/9)-1</f>
        <v>1.7459753140975476E-2</v>
      </c>
      <c r="I11" s="371"/>
    </row>
    <row r="12" spans="1:13">
      <c r="A12" s="364"/>
      <c r="H12" s="364"/>
    </row>
    <row r="13" spans="1:13">
      <c r="B13" s="424" t="s">
        <v>34</v>
      </c>
      <c r="C13" s="424"/>
      <c r="D13" s="424"/>
      <c r="E13" s="424"/>
      <c r="F13" s="424"/>
      <c r="G13" s="424"/>
      <c r="H13" s="424"/>
    </row>
    <row r="14" spans="1:13">
      <c r="A14" s="372"/>
      <c r="B14" s="373"/>
      <c r="C14" s="373"/>
      <c r="D14" s="374"/>
      <c r="E14" s="374"/>
      <c r="F14" s="374"/>
      <c r="G14" s="374"/>
      <c r="H14" s="374"/>
    </row>
    <row r="15" spans="1:13">
      <c r="A15" s="364"/>
      <c r="B15" s="364"/>
      <c r="C15" s="364"/>
      <c r="D15" s="375"/>
      <c r="E15" s="364"/>
      <c r="F15" s="373" t="s">
        <v>35</v>
      </c>
      <c r="G15" s="373"/>
      <c r="H15" s="373"/>
      <c r="M15" s="380"/>
    </row>
    <row r="16" spans="1:13">
      <c r="A16" s="364"/>
      <c r="B16" s="364"/>
      <c r="C16" s="375"/>
      <c r="D16" s="376"/>
      <c r="E16" s="377"/>
      <c r="F16" s="378" t="s">
        <v>36</v>
      </c>
      <c r="G16" s="364"/>
      <c r="H16" s="375" t="s">
        <v>37</v>
      </c>
      <c r="M16" s="380"/>
    </row>
    <row r="17" spans="1:13" ht="14.4">
      <c r="A17" s="364"/>
      <c r="B17" s="375">
        <v>1982</v>
      </c>
      <c r="C17" s="380"/>
      <c r="D17" s="380">
        <v>8.4935656264884134</v>
      </c>
      <c r="E17" s="401"/>
      <c r="F17" s="402"/>
      <c r="G17" s="364"/>
      <c r="H17" s="371"/>
      <c r="I17" s="403"/>
      <c r="M17" s="380"/>
    </row>
    <row r="18" spans="1:13" ht="14.4">
      <c r="A18" s="364"/>
      <c r="B18" s="375">
        <v>1983</v>
      </c>
      <c r="C18" s="380"/>
      <c r="D18" s="380">
        <v>8.9876556214217214</v>
      </c>
      <c r="E18" s="401"/>
      <c r="F18" s="381">
        <f>+D18-D17</f>
        <v>0.49408999493330796</v>
      </c>
      <c r="G18" s="364"/>
      <c r="H18" s="371">
        <f>(D18/D17)-1</f>
        <v>5.8172270240947732E-2</v>
      </c>
      <c r="I18" s="403"/>
      <c r="M18" s="380"/>
    </row>
    <row r="19" spans="1:13" ht="14.4">
      <c r="A19" s="364"/>
      <c r="B19" s="375">
        <v>1984</v>
      </c>
      <c r="C19" s="380"/>
      <c r="D19" s="380">
        <v>9.8163840640287408</v>
      </c>
      <c r="E19" s="401"/>
      <c r="F19" s="381">
        <f t="shared" ref="F19:F50" si="0">+D19-D18</f>
        <v>0.82872844260701939</v>
      </c>
      <c r="G19" s="364"/>
      <c r="H19" s="371">
        <f t="shared" ref="H19:H50" si="1">(D19/D18)-1</f>
        <v>9.2207409530887796E-2</v>
      </c>
      <c r="I19" s="403"/>
      <c r="M19" s="380"/>
    </row>
    <row r="20" spans="1:13" ht="14.4">
      <c r="A20" s="364"/>
      <c r="B20" s="375">
        <v>1985</v>
      </c>
      <c r="C20" s="380"/>
      <c r="D20" s="380">
        <v>10.320926454011174</v>
      </c>
      <c r="E20" s="401"/>
      <c r="F20" s="381">
        <f t="shared" si="0"/>
        <v>0.50454238998243284</v>
      </c>
      <c r="G20" s="364"/>
      <c r="H20" s="371">
        <f t="shared" si="1"/>
        <v>5.1397987964965974E-2</v>
      </c>
      <c r="I20" s="403"/>
      <c r="M20" s="380"/>
    </row>
    <row r="21" spans="1:13" ht="14.4">
      <c r="A21" s="364"/>
      <c r="B21" s="375">
        <v>1986</v>
      </c>
      <c r="C21" s="380"/>
      <c r="D21" s="380">
        <v>10.78487607174886</v>
      </c>
      <c r="E21" s="401"/>
      <c r="F21" s="381">
        <f t="shared" si="0"/>
        <v>0.46394961773768628</v>
      </c>
      <c r="G21" s="364"/>
      <c r="H21" s="371">
        <f t="shared" si="1"/>
        <v>4.4952322817626067E-2</v>
      </c>
      <c r="I21" s="403"/>
      <c r="M21" s="380"/>
    </row>
    <row r="22" spans="1:13" ht="14.4">
      <c r="A22" s="364"/>
      <c r="B22" s="375">
        <v>1987</v>
      </c>
      <c r="C22" s="380"/>
      <c r="D22" s="380">
        <v>11.310248858848389</v>
      </c>
      <c r="E22" s="401"/>
      <c r="F22" s="381">
        <f t="shared" si="0"/>
        <v>0.5253727870995295</v>
      </c>
      <c r="G22" s="364"/>
      <c r="H22" s="371">
        <f t="shared" si="1"/>
        <v>4.8713845537432743E-2</v>
      </c>
      <c r="I22" s="403"/>
      <c r="M22" s="380"/>
    </row>
    <row r="23" spans="1:13" ht="14.4">
      <c r="A23" s="364"/>
      <c r="B23" s="375">
        <v>1988</v>
      </c>
      <c r="C23" s="380"/>
      <c r="D23" s="380">
        <v>11.851224443680636</v>
      </c>
      <c r="E23" s="401"/>
      <c r="F23" s="381">
        <f t="shared" si="0"/>
        <v>0.54097558483224617</v>
      </c>
      <c r="G23" s="364"/>
      <c r="H23" s="371">
        <f t="shared" si="1"/>
        <v>4.7830564259337516E-2</v>
      </c>
      <c r="I23" s="403"/>
      <c r="M23" s="380"/>
    </row>
    <row r="24" spans="1:13" ht="14.4">
      <c r="A24" s="364"/>
      <c r="B24" s="375">
        <v>1989</v>
      </c>
      <c r="C24" s="380"/>
      <c r="D24" s="380">
        <v>12.429468721150398</v>
      </c>
      <c r="E24" s="401"/>
      <c r="F24" s="381">
        <f t="shared" si="0"/>
        <v>0.57824427746976248</v>
      </c>
      <c r="G24" s="364"/>
      <c r="H24" s="371">
        <f t="shared" si="1"/>
        <v>4.8791943838182528E-2</v>
      </c>
      <c r="I24" s="403"/>
      <c r="M24" s="380"/>
    </row>
    <row r="25" spans="1:13" ht="14.4">
      <c r="A25" s="364"/>
      <c r="B25" s="375">
        <v>1990</v>
      </c>
      <c r="C25" s="380"/>
      <c r="D25" s="380">
        <v>12.130146749091136</v>
      </c>
      <c r="E25" s="401"/>
      <c r="F25" s="381">
        <f t="shared" si="0"/>
        <v>-0.29932197205926236</v>
      </c>
      <c r="G25" s="364"/>
      <c r="H25" s="371">
        <f t="shared" si="1"/>
        <v>-2.4081638465361488E-2</v>
      </c>
      <c r="I25" s="403"/>
      <c r="M25" s="380"/>
    </row>
    <row r="26" spans="1:13" ht="14.4">
      <c r="A26" s="364"/>
      <c r="B26" s="375">
        <v>1991</v>
      </c>
      <c r="C26" s="380"/>
      <c r="D26" s="380">
        <v>11.471002108479162</v>
      </c>
      <c r="E26" s="401"/>
      <c r="F26" s="381">
        <f t="shared" si="0"/>
        <v>-0.65914464061197364</v>
      </c>
      <c r="G26" s="364"/>
      <c r="H26" s="371">
        <f t="shared" si="1"/>
        <v>-5.4339378924773585E-2</v>
      </c>
      <c r="I26" s="403"/>
      <c r="M26" s="380"/>
    </row>
    <row r="27" spans="1:13" ht="14.4">
      <c r="A27" s="364"/>
      <c r="B27" s="375">
        <v>1992</v>
      </c>
      <c r="C27" s="380"/>
      <c r="D27" s="380">
        <v>11.581705922206089</v>
      </c>
      <c r="E27" s="401"/>
      <c r="F27" s="381">
        <f t="shared" si="0"/>
        <v>0.11070381372692673</v>
      </c>
      <c r="G27" s="364"/>
      <c r="H27" s="371">
        <f t="shared" si="1"/>
        <v>9.6507534982577248E-3</v>
      </c>
      <c r="I27" s="403"/>
      <c r="J27" s="390"/>
      <c r="M27" s="380"/>
    </row>
    <row r="28" spans="1:13" ht="14.4">
      <c r="A28" s="364"/>
      <c r="B28" s="375">
        <v>1993</v>
      </c>
      <c r="C28" s="380"/>
      <c r="D28" s="380">
        <v>11.986567479722291</v>
      </c>
      <c r="E28" s="401"/>
      <c r="F28" s="381">
        <f t="shared" si="0"/>
        <v>0.40486155751620245</v>
      </c>
      <c r="G28" s="364"/>
      <c r="H28" s="371">
        <f t="shared" si="1"/>
        <v>3.4956988222256902E-2</v>
      </c>
      <c r="I28" s="403"/>
      <c r="J28" s="390"/>
      <c r="M28" s="380"/>
    </row>
    <row r="29" spans="1:13" ht="14.4">
      <c r="A29" s="364"/>
      <c r="B29" s="375">
        <v>1994</v>
      </c>
      <c r="C29" s="380"/>
      <c r="D29" s="380">
        <v>12.357197666992763</v>
      </c>
      <c r="E29" s="401"/>
      <c r="F29" s="381">
        <f t="shared" si="0"/>
        <v>0.37063018727047137</v>
      </c>
      <c r="G29" s="364"/>
      <c r="H29" s="371">
        <f t="shared" si="1"/>
        <v>3.0920460582019693E-2</v>
      </c>
      <c r="I29" s="403"/>
      <c r="M29" s="380"/>
    </row>
    <row r="30" spans="1:13" ht="14.4">
      <c r="A30" s="364"/>
      <c r="B30" s="375">
        <v>1995</v>
      </c>
      <c r="C30" s="380"/>
      <c r="D30" s="380">
        <v>12.879488225791118</v>
      </c>
      <c r="E30" s="401"/>
      <c r="F30" s="381">
        <f t="shared" si="0"/>
        <v>0.52229055879835506</v>
      </c>
      <c r="G30" s="364"/>
      <c r="H30" s="371">
        <f t="shared" si="1"/>
        <v>4.2266100524833483E-2</v>
      </c>
      <c r="I30" s="403"/>
      <c r="M30" s="380"/>
    </row>
    <row r="31" spans="1:13" ht="14.4">
      <c r="A31" s="364"/>
      <c r="B31" s="375">
        <v>1996</v>
      </c>
      <c r="C31" s="380"/>
      <c r="D31" s="380">
        <v>13.262163689242605</v>
      </c>
      <c r="E31" s="401"/>
      <c r="F31" s="381">
        <f t="shared" si="0"/>
        <v>0.38267546345148773</v>
      </c>
      <c r="G31" s="364"/>
      <c r="H31" s="371">
        <f t="shared" si="1"/>
        <v>2.9712008485335728E-2</v>
      </c>
      <c r="I31" s="403"/>
      <c r="M31" s="380"/>
    </row>
    <row r="32" spans="1:13" ht="14.4">
      <c r="A32" s="364"/>
      <c r="B32" s="375">
        <v>1997</v>
      </c>
      <c r="C32" s="380"/>
      <c r="D32" s="380">
        <v>13.779374262351658</v>
      </c>
      <c r="E32" s="401"/>
      <c r="F32" s="381">
        <f t="shared" si="0"/>
        <v>0.51721057310905216</v>
      </c>
      <c r="G32" s="364"/>
      <c r="H32" s="371">
        <f t="shared" si="1"/>
        <v>3.8998958633618797E-2</v>
      </c>
      <c r="I32" s="403"/>
      <c r="M32" s="380"/>
    </row>
    <row r="33" spans="1:16" ht="14.4">
      <c r="A33" s="364"/>
      <c r="B33" s="375">
        <v>1998</v>
      </c>
      <c r="C33" s="380"/>
      <c r="D33" s="380">
        <v>14.638113273693138</v>
      </c>
      <c r="E33" s="401"/>
      <c r="F33" s="381">
        <f t="shared" si="0"/>
        <v>0.85873901134148056</v>
      </c>
      <c r="G33" s="364"/>
      <c r="H33" s="371">
        <f t="shared" si="1"/>
        <v>6.2320610137410082E-2</v>
      </c>
      <c r="I33" s="403"/>
      <c r="M33" s="380"/>
    </row>
    <row r="34" spans="1:16" ht="14.4">
      <c r="A34" s="364"/>
      <c r="B34" s="375">
        <v>1999</v>
      </c>
      <c r="C34" s="380"/>
      <c r="D34" s="380">
        <v>14.957888591084973</v>
      </c>
      <c r="E34" s="401"/>
      <c r="F34" s="381">
        <f t="shared" si="0"/>
        <v>0.3197753173918354</v>
      </c>
      <c r="G34" s="364"/>
      <c r="H34" s="371">
        <f t="shared" si="1"/>
        <v>2.1845391643916301E-2</v>
      </c>
      <c r="I34" s="403"/>
      <c r="M34" s="380"/>
    </row>
    <row r="35" spans="1:16" ht="14.4">
      <c r="A35" s="364"/>
      <c r="B35" s="375">
        <v>2000</v>
      </c>
      <c r="C35" s="380"/>
      <c r="D35" s="380">
        <v>15.663809426744473</v>
      </c>
      <c r="E35" s="404"/>
      <c r="F35" s="381">
        <f t="shared" si="0"/>
        <v>0.7059208356594997</v>
      </c>
      <c r="G35" s="364"/>
      <c r="H35" s="371">
        <f t="shared" si="1"/>
        <v>4.7193882436070256E-2</v>
      </c>
      <c r="I35" s="403"/>
      <c r="M35" s="380"/>
    </row>
    <row r="36" spans="1:16" ht="14.4">
      <c r="A36" s="364"/>
      <c r="B36" s="375">
        <v>2001</v>
      </c>
      <c r="C36" s="380"/>
      <c r="D36" s="380">
        <v>15.688658399061859</v>
      </c>
      <c r="E36" s="404"/>
      <c r="F36" s="381">
        <f t="shared" si="0"/>
        <v>2.4848972317386142E-2</v>
      </c>
      <c r="G36" s="364"/>
      <c r="H36" s="371">
        <f t="shared" si="1"/>
        <v>1.5863939377964709E-3</v>
      </c>
      <c r="I36" s="403"/>
      <c r="M36" s="380"/>
    </row>
    <row r="37" spans="1:16" ht="14.4">
      <c r="A37" s="364"/>
      <c r="B37" s="375">
        <v>2002</v>
      </c>
      <c r="C37" s="380"/>
      <c r="D37" s="380">
        <v>15.450722012467576</v>
      </c>
      <c r="E37" s="404"/>
      <c r="F37" s="381">
        <f t="shared" si="0"/>
        <v>-0.23793638659428318</v>
      </c>
      <c r="G37" s="364"/>
      <c r="H37" s="371">
        <f t="shared" si="1"/>
        <v>-1.5166139802528344E-2</v>
      </c>
      <c r="I37" s="403"/>
      <c r="L37" s="192"/>
      <c r="M37" s="429"/>
      <c r="N37" s="429"/>
      <c r="O37" s="430"/>
      <c r="P37" s="430"/>
    </row>
    <row r="38" spans="1:16" ht="14.4">
      <c r="A38" s="364"/>
      <c r="B38" s="375">
        <v>2003</v>
      </c>
      <c r="C38" s="380"/>
      <c r="D38" s="380">
        <v>15.472853765364597</v>
      </c>
      <c r="E38" s="404"/>
      <c r="F38" s="381">
        <f t="shared" si="0"/>
        <v>2.2131752897021073E-2</v>
      </c>
      <c r="G38" s="364"/>
      <c r="H38" s="371">
        <f t="shared" si="1"/>
        <v>1.4324089760440195E-3</v>
      </c>
      <c r="I38" s="403"/>
      <c r="L38" s="192"/>
      <c r="M38" s="386"/>
      <c r="N38" s="386"/>
      <c r="O38" s="386"/>
      <c r="P38" s="386"/>
    </row>
    <row r="39" spans="1:16" ht="14.4">
      <c r="A39" s="364"/>
      <c r="B39" s="375">
        <v>2004</v>
      </c>
      <c r="C39" s="380"/>
      <c r="D39" s="380">
        <v>16.3213795315834</v>
      </c>
      <c r="E39" s="404"/>
      <c r="F39" s="381">
        <f t="shared" si="0"/>
        <v>0.8485257662188026</v>
      </c>
      <c r="G39" s="364"/>
      <c r="H39" s="371">
        <f t="shared" si="1"/>
        <v>5.4839642323654347E-2</v>
      </c>
      <c r="I39" s="403"/>
      <c r="L39" s="388"/>
      <c r="M39" s="393"/>
      <c r="N39" s="381"/>
      <c r="O39" s="192"/>
    </row>
    <row r="40" spans="1:16" ht="14.4">
      <c r="A40" s="364"/>
      <c r="B40" s="375">
        <v>2005</v>
      </c>
      <c r="C40" s="380"/>
      <c r="D40" s="380">
        <v>17.205842932331006</v>
      </c>
      <c r="E40" s="404"/>
      <c r="F40" s="381">
        <f t="shared" si="0"/>
        <v>0.88446340074760599</v>
      </c>
      <c r="G40" s="364"/>
      <c r="H40" s="371">
        <f t="shared" si="1"/>
        <v>5.4190480592408719E-2</v>
      </c>
      <c r="I40" s="403"/>
      <c r="L40" s="389"/>
      <c r="M40" s="393"/>
      <c r="N40" s="381"/>
      <c r="O40" s="390"/>
      <c r="P40" s="390"/>
    </row>
    <row r="41" spans="1:16" ht="14.4">
      <c r="A41" s="364"/>
      <c r="B41" s="375">
        <v>2006</v>
      </c>
      <c r="C41" s="380"/>
      <c r="D41" s="380">
        <v>17.933554606133548</v>
      </c>
      <c r="E41" s="404"/>
      <c r="F41" s="381">
        <f t="shared" si="0"/>
        <v>0.72771167380254198</v>
      </c>
      <c r="G41" s="364"/>
      <c r="H41" s="371">
        <f t="shared" si="1"/>
        <v>4.2294450592427424E-2</v>
      </c>
      <c r="I41" s="403"/>
      <c r="L41" s="388"/>
      <c r="M41" s="393"/>
      <c r="N41" s="381"/>
      <c r="O41" s="390"/>
      <c r="P41" s="390"/>
    </row>
    <row r="42" spans="1:16" ht="14.4">
      <c r="A42" s="364"/>
      <c r="B42" s="375">
        <v>2007</v>
      </c>
      <c r="C42" s="380"/>
      <c r="D42" s="380">
        <v>17.683902060614507</v>
      </c>
      <c r="E42" s="405"/>
      <c r="F42" s="381">
        <f t="shared" si="0"/>
        <v>-0.24965254551904081</v>
      </c>
      <c r="G42" s="364"/>
      <c r="H42" s="371">
        <f t="shared" si="1"/>
        <v>-1.3920973895139355E-2</v>
      </c>
      <c r="I42" s="403"/>
      <c r="L42" s="389"/>
      <c r="M42" s="393"/>
      <c r="N42" s="381"/>
      <c r="O42" s="390"/>
      <c r="P42" s="390"/>
    </row>
    <row r="43" spans="1:16" ht="14.4">
      <c r="A43" s="364"/>
      <c r="B43" s="375">
        <v>2008</v>
      </c>
      <c r="C43" s="380"/>
      <c r="D43" s="380">
        <v>16.26294494862012</v>
      </c>
      <c r="E43" s="405"/>
      <c r="F43" s="381">
        <f t="shared" si="0"/>
        <v>-1.4209571119943867</v>
      </c>
      <c r="G43" s="364"/>
      <c r="H43" s="371">
        <f t="shared" si="1"/>
        <v>-8.0353143052015352E-2</v>
      </c>
      <c r="I43" s="403"/>
      <c r="L43" s="388"/>
      <c r="M43" s="393"/>
      <c r="N43" s="381"/>
      <c r="O43" s="390"/>
      <c r="P43" s="390"/>
    </row>
    <row r="44" spans="1:16" ht="14.4">
      <c r="A44" s="364"/>
      <c r="B44" s="375">
        <v>2009</v>
      </c>
      <c r="C44" s="380"/>
      <c r="D44" s="380">
        <v>14.331850872078627</v>
      </c>
      <c r="E44" s="405"/>
      <c r="F44" s="381">
        <f t="shared" si="0"/>
        <v>-1.931094076541493</v>
      </c>
      <c r="G44" s="364"/>
      <c r="H44" s="371">
        <f t="shared" si="1"/>
        <v>-0.11874196725392849</v>
      </c>
      <c r="I44" s="403"/>
      <c r="L44" s="389"/>
      <c r="M44" s="393"/>
      <c r="N44" s="381"/>
      <c r="O44" s="390"/>
      <c r="P44" s="390"/>
    </row>
    <row r="45" spans="1:16" ht="14.4">
      <c r="A45" s="364"/>
      <c r="B45" s="375">
        <v>2010</v>
      </c>
      <c r="C45" s="380"/>
      <c r="D45" s="380">
        <v>14.449372461539589</v>
      </c>
      <c r="E45" s="405"/>
      <c r="F45" s="381">
        <f t="shared" si="0"/>
        <v>0.11752158946096181</v>
      </c>
      <c r="G45" s="364"/>
      <c r="H45" s="371">
        <f t="shared" si="1"/>
        <v>8.2000287687835627E-3</v>
      </c>
      <c r="I45" s="403"/>
      <c r="L45" s="388"/>
      <c r="M45" s="393"/>
      <c r="N45" s="381"/>
      <c r="O45" s="390"/>
      <c r="P45" s="390"/>
    </row>
    <row r="46" spans="1:16" ht="14.4">
      <c r="A46" s="364"/>
      <c r="B46" s="375">
        <v>2011</v>
      </c>
      <c r="D46" s="380">
        <v>14.74730233807202</v>
      </c>
      <c r="E46" s="405"/>
      <c r="F46" s="381">
        <f t="shared" si="0"/>
        <v>0.29792987653243053</v>
      </c>
      <c r="G46" s="364"/>
      <c r="H46" s="371">
        <f t="shared" si="1"/>
        <v>2.0618879977344351E-2</v>
      </c>
      <c r="I46" s="403"/>
      <c r="L46" s="389"/>
      <c r="M46" s="393"/>
      <c r="N46" s="381"/>
      <c r="O46" s="390"/>
      <c r="P46" s="390"/>
    </row>
    <row r="47" spans="1:16" ht="14.4">
      <c r="A47" s="364"/>
      <c r="B47" s="375">
        <v>2012</v>
      </c>
      <c r="D47" s="380">
        <v>14.958802084401817</v>
      </c>
      <c r="E47" s="405"/>
      <c r="F47" s="381">
        <f t="shared" si="0"/>
        <v>0.21149974632979784</v>
      </c>
      <c r="G47" s="364"/>
      <c r="H47" s="371">
        <f t="shared" si="1"/>
        <v>1.4341588819521522E-2</v>
      </c>
      <c r="I47" s="403"/>
      <c r="L47" s="388"/>
      <c r="M47" s="393"/>
      <c r="N47" s="381"/>
      <c r="O47" s="390"/>
      <c r="P47" s="390"/>
    </row>
    <row r="48" spans="1:16" ht="14.4">
      <c r="A48" s="364"/>
      <c r="B48" s="375">
        <v>2013</v>
      </c>
      <c r="D48" s="380">
        <v>15.157485676201295</v>
      </c>
      <c r="E48" s="405"/>
      <c r="F48" s="381">
        <f t="shared" si="0"/>
        <v>0.19868359179947781</v>
      </c>
      <c r="G48" s="364"/>
      <c r="H48" s="371">
        <f t="shared" si="1"/>
        <v>1.3282052311304637E-2</v>
      </c>
      <c r="I48" s="403"/>
      <c r="L48" s="389"/>
      <c r="M48" s="393"/>
      <c r="N48" s="381"/>
      <c r="O48" s="390"/>
      <c r="P48" s="390"/>
    </row>
    <row r="49" spans="1:16" ht="14.4">
      <c r="A49" s="364"/>
      <c r="B49" s="375">
        <v>2014</v>
      </c>
      <c r="D49" s="380">
        <v>15.751634599891412</v>
      </c>
      <c r="E49" s="405"/>
      <c r="F49" s="381">
        <f t="shared" si="0"/>
        <v>0.59414892369011696</v>
      </c>
      <c r="G49" s="364"/>
      <c r="H49" s="371">
        <f t="shared" si="1"/>
        <v>3.9198382659400233E-2</v>
      </c>
      <c r="I49" s="403"/>
      <c r="L49" s="388"/>
      <c r="M49" s="393"/>
      <c r="N49" s="381"/>
      <c r="O49" s="390"/>
      <c r="P49" s="390"/>
    </row>
    <row r="50" spans="1:16" ht="14.4">
      <c r="A50" s="364"/>
      <c r="B50" s="375">
        <v>2015</v>
      </c>
      <c r="D50" s="380">
        <v>16.550081131030264</v>
      </c>
      <c r="E50" s="405"/>
      <c r="F50" s="381">
        <f t="shared" si="0"/>
        <v>0.79844653113885222</v>
      </c>
      <c r="G50" s="364"/>
      <c r="H50" s="371">
        <f t="shared" si="1"/>
        <v>5.0689757058252072E-2</v>
      </c>
      <c r="I50" s="403"/>
      <c r="L50" s="388"/>
      <c r="M50" s="393"/>
      <c r="N50" s="381"/>
      <c r="O50" s="390"/>
      <c r="P50" s="390"/>
    </row>
    <row r="51" spans="1:16" ht="14.4">
      <c r="A51" s="364"/>
      <c r="B51" s="375"/>
      <c r="D51" s="381"/>
      <c r="F51" s="401"/>
      <c r="G51" s="364"/>
      <c r="H51" s="371"/>
      <c r="I51" s="384"/>
      <c r="L51" s="389"/>
      <c r="M51" s="393"/>
      <c r="N51" s="381"/>
      <c r="O51" s="390"/>
      <c r="P51" s="390"/>
    </row>
    <row r="52" spans="1:16" ht="14.4">
      <c r="A52" s="424" t="s">
        <v>38</v>
      </c>
      <c r="B52" s="424"/>
      <c r="C52" s="424"/>
      <c r="D52" s="424"/>
      <c r="E52" s="424"/>
      <c r="F52" s="424"/>
      <c r="G52" s="424"/>
      <c r="H52" s="424"/>
      <c r="I52" s="424"/>
      <c r="L52" s="388"/>
      <c r="M52" s="393"/>
      <c r="N52" s="381"/>
      <c r="O52" s="390"/>
      <c r="P52" s="390"/>
    </row>
    <row r="53" spans="1:16" ht="14.4">
      <c r="A53" s="364"/>
      <c r="B53" s="364"/>
      <c r="C53" s="364"/>
      <c r="D53" s="364"/>
      <c r="E53" s="364"/>
      <c r="F53" s="364"/>
      <c r="G53" s="364"/>
      <c r="H53" s="364"/>
      <c r="L53" s="389"/>
      <c r="M53" s="393"/>
      <c r="N53" s="381"/>
      <c r="O53" s="390"/>
      <c r="P53" s="390"/>
    </row>
    <row r="54" spans="1:16" ht="14.4">
      <c r="A54" s="364"/>
      <c r="B54" s="395" t="s">
        <v>274</v>
      </c>
      <c r="C54" s="425" t="s">
        <v>35</v>
      </c>
      <c r="D54" s="425"/>
      <c r="E54" s="395" t="s">
        <v>275</v>
      </c>
      <c r="F54" s="425" t="s">
        <v>35</v>
      </c>
      <c r="G54" s="425"/>
      <c r="H54" s="425" t="s">
        <v>276</v>
      </c>
      <c r="I54" s="425"/>
      <c r="K54" s="395"/>
      <c r="L54" s="388"/>
      <c r="M54" s="393"/>
      <c r="N54" s="381"/>
      <c r="O54" s="390"/>
      <c r="P54" s="390"/>
    </row>
    <row r="55" spans="1:16" ht="14.4">
      <c r="A55" s="364"/>
      <c r="B55" s="396" t="s">
        <v>277</v>
      </c>
      <c r="C55" s="397" t="s">
        <v>36</v>
      </c>
      <c r="D55" s="398" t="s">
        <v>37</v>
      </c>
      <c r="E55" s="396" t="s">
        <v>277</v>
      </c>
      <c r="F55" s="397" t="s">
        <v>36</v>
      </c>
      <c r="G55" s="398" t="s">
        <v>37</v>
      </c>
      <c r="H55" s="397" t="s">
        <v>36</v>
      </c>
      <c r="I55" s="398" t="s">
        <v>37</v>
      </c>
      <c r="K55" s="396"/>
      <c r="L55" s="389"/>
      <c r="M55" s="393"/>
      <c r="N55" s="381"/>
      <c r="O55" s="390"/>
      <c r="P55" s="390"/>
    </row>
    <row r="56" spans="1:16" ht="14.4">
      <c r="A56" s="375">
        <v>2016</v>
      </c>
      <c r="B56" s="393">
        <v>17.084225534672861</v>
      </c>
      <c r="C56" s="381">
        <f>+B56-D50</f>
        <v>0.53414440364259619</v>
      </c>
      <c r="D56" s="371">
        <f>(B56/D50)-1</f>
        <v>3.2274428107854636E-2</v>
      </c>
      <c r="E56" s="393">
        <v>17.077813044875452</v>
      </c>
      <c r="F56" s="393">
        <f>+E56-D50</f>
        <v>0.52773191384518725</v>
      </c>
      <c r="G56" s="371">
        <f>(E56/D50)-1</f>
        <v>3.1886968388071812E-2</v>
      </c>
      <c r="H56" s="381">
        <f t="shared" ref="H56:H80" si="2">E56-B56</f>
        <v>-6.4124897974089379E-3</v>
      </c>
      <c r="I56" s="371">
        <f t="shared" ref="I56:I80" si="3">(E56/B56)-1</f>
        <v>-3.7534565347396853E-4</v>
      </c>
      <c r="K56" s="393"/>
      <c r="L56" s="389"/>
      <c r="M56" s="393"/>
      <c r="N56" s="381"/>
      <c r="O56" s="390"/>
      <c r="P56" s="390"/>
    </row>
    <row r="57" spans="1:16" ht="14.4">
      <c r="A57" s="375">
        <v>2017</v>
      </c>
      <c r="B57" s="393">
        <v>17.812641597141024</v>
      </c>
      <c r="C57" s="381">
        <f t="shared" ref="C57:C80" si="4">+B57-B56</f>
        <v>0.72841606246816326</v>
      </c>
      <c r="D57" s="371">
        <f t="shared" ref="D57:D80" si="5">(B57/B56)-1</f>
        <v>4.2636762257078908E-2</v>
      </c>
      <c r="E57" s="393">
        <v>17.597221500912941</v>
      </c>
      <c r="F57" s="393">
        <f t="shared" ref="F57:F80" si="6">+E57-E56</f>
        <v>0.51940845603748897</v>
      </c>
      <c r="G57" s="371">
        <f t="shared" ref="G57:G78" si="7">(E57/E56)-1</f>
        <v>3.0414225444009624E-2</v>
      </c>
      <c r="H57" s="381">
        <f t="shared" si="2"/>
        <v>-0.21542009622808322</v>
      </c>
      <c r="I57" s="371">
        <f t="shared" si="3"/>
        <v>-1.2093663651923436E-2</v>
      </c>
      <c r="K57" s="407">
        <f>(E57/D50)^(1/2)-1</f>
        <v>3.1150333984992784E-2</v>
      </c>
      <c r="L57" s="389"/>
      <c r="M57" s="393"/>
      <c r="N57" s="381"/>
      <c r="O57" s="390"/>
      <c r="P57" s="390"/>
    </row>
    <row r="58" spans="1:16" ht="14.4">
      <c r="A58" s="375">
        <v>2018</v>
      </c>
      <c r="B58" s="393">
        <v>18.321148935856026</v>
      </c>
      <c r="C58" s="381">
        <f t="shared" si="4"/>
        <v>0.50850733871500253</v>
      </c>
      <c r="D58" s="371">
        <f t="shared" si="5"/>
        <v>2.854755348564475E-2</v>
      </c>
      <c r="E58" s="393">
        <v>17.985248929917354</v>
      </c>
      <c r="F58" s="393">
        <f t="shared" si="6"/>
        <v>0.38802742900441345</v>
      </c>
      <c r="G58" s="371">
        <f t="shared" si="7"/>
        <v>2.2050494106940821E-2</v>
      </c>
      <c r="H58" s="381">
        <f t="shared" si="2"/>
        <v>-0.33590000593867231</v>
      </c>
      <c r="I58" s="371">
        <f t="shared" si="3"/>
        <v>-1.8334003348517536E-2</v>
      </c>
      <c r="K58" s="393"/>
      <c r="L58" s="389"/>
      <c r="M58" s="393"/>
      <c r="N58" s="381"/>
      <c r="O58" s="390"/>
      <c r="P58" s="390"/>
    </row>
    <row r="59" spans="1:16" ht="14.4">
      <c r="A59" s="375">
        <v>2019</v>
      </c>
      <c r="B59" s="393">
        <v>18.737037223538312</v>
      </c>
      <c r="C59" s="381">
        <f t="shared" si="4"/>
        <v>0.41588828768228581</v>
      </c>
      <c r="D59" s="371">
        <f t="shared" si="5"/>
        <v>2.2699902126135596E-2</v>
      </c>
      <c r="E59" s="393">
        <v>18.315054309931149</v>
      </c>
      <c r="F59" s="393">
        <f t="shared" si="6"/>
        <v>0.329805380013795</v>
      </c>
      <c r="G59" s="371">
        <f t="shared" si="7"/>
        <v>1.8337548804519654E-2</v>
      </c>
      <c r="H59" s="381">
        <f t="shared" si="2"/>
        <v>-0.42198291360716311</v>
      </c>
      <c r="I59" s="371">
        <f t="shared" si="3"/>
        <v>-2.2521325467456998E-2</v>
      </c>
      <c r="K59" s="393" t="s">
        <v>283</v>
      </c>
      <c r="L59" s="388"/>
      <c r="M59" s="393"/>
      <c r="N59" s="381"/>
      <c r="O59" s="390"/>
      <c r="P59" s="390"/>
    </row>
    <row r="60" spans="1:16" ht="14.4">
      <c r="A60" s="375">
        <v>2020</v>
      </c>
      <c r="B60" s="393">
        <v>19.043952737508135</v>
      </c>
      <c r="C60" s="381">
        <f t="shared" si="4"/>
        <v>0.30691551396982319</v>
      </c>
      <c r="D60" s="371">
        <f t="shared" si="5"/>
        <v>1.6380151798186304E-2</v>
      </c>
      <c r="E60" s="408">
        <v>18.669981034374342</v>
      </c>
      <c r="F60" s="393">
        <f t="shared" si="6"/>
        <v>0.3549267244431924</v>
      </c>
      <c r="G60" s="371">
        <f t="shared" si="7"/>
        <v>1.9378961068695189E-2</v>
      </c>
      <c r="H60" s="381">
        <f t="shared" si="2"/>
        <v>-0.37397170313379391</v>
      </c>
      <c r="I60" s="371">
        <f t="shared" si="3"/>
        <v>-1.9637294226068747E-2</v>
      </c>
      <c r="K60" s="407">
        <f>(E60/D50)^(1/5)-1</f>
        <v>2.4398066142491848E-2</v>
      </c>
      <c r="L60" s="389"/>
      <c r="M60" s="393"/>
      <c r="N60" s="381"/>
      <c r="O60" s="390"/>
      <c r="P60" s="390"/>
    </row>
    <row r="61" spans="1:16" ht="14.4">
      <c r="A61" s="375">
        <v>2021</v>
      </c>
      <c r="B61" s="393">
        <v>19.2934804114503</v>
      </c>
      <c r="C61" s="381">
        <f t="shared" si="4"/>
        <v>0.2495276739421648</v>
      </c>
      <c r="D61" s="371">
        <f t="shared" si="5"/>
        <v>1.3102724911236763E-2</v>
      </c>
      <c r="E61" s="393">
        <v>18.986206586657477</v>
      </c>
      <c r="F61" s="393">
        <f t="shared" si="6"/>
        <v>0.31622555228313587</v>
      </c>
      <c r="G61" s="371">
        <f t="shared" si="7"/>
        <v>1.6937647215651497E-2</v>
      </c>
      <c r="H61" s="381">
        <f t="shared" si="2"/>
        <v>-0.30727382479282284</v>
      </c>
      <c r="I61" s="371">
        <f t="shared" si="3"/>
        <v>-1.5926303509783635E-2</v>
      </c>
      <c r="K61" s="393"/>
      <c r="L61" s="388"/>
      <c r="M61" s="393"/>
      <c r="N61" s="381"/>
      <c r="O61" s="390"/>
      <c r="P61" s="390"/>
    </row>
    <row r="62" spans="1:16" ht="14.4">
      <c r="A62" s="375">
        <v>2022</v>
      </c>
      <c r="B62" s="393">
        <v>19.586964161482229</v>
      </c>
      <c r="C62" s="381">
        <f t="shared" si="4"/>
        <v>0.29348375003192828</v>
      </c>
      <c r="D62" s="371">
        <f t="shared" si="5"/>
        <v>1.5211550418749331E-2</v>
      </c>
      <c r="E62" s="393">
        <v>19.282266493748931</v>
      </c>
      <c r="F62" s="393">
        <f t="shared" si="6"/>
        <v>0.29605990709145402</v>
      </c>
      <c r="G62" s="371">
        <f t="shared" si="7"/>
        <v>1.5593420715200201E-2</v>
      </c>
      <c r="H62" s="381">
        <f t="shared" si="2"/>
        <v>-0.3046976677332971</v>
      </c>
      <c r="I62" s="371">
        <f t="shared" si="3"/>
        <v>-1.5556145670214905E-2</v>
      </c>
      <c r="K62" s="393"/>
      <c r="L62" s="389"/>
      <c r="M62" s="393"/>
      <c r="N62" s="381"/>
      <c r="O62" s="390"/>
      <c r="P62" s="390"/>
    </row>
    <row r="63" spans="1:16" ht="14.4">
      <c r="A63" s="375">
        <v>2023</v>
      </c>
      <c r="B63" s="393">
        <v>19.88752279426641</v>
      </c>
      <c r="C63" s="381">
        <f t="shared" si="4"/>
        <v>0.30055863278418116</v>
      </c>
      <c r="D63" s="371">
        <f t="shared" si="5"/>
        <v>1.5344829872881993E-2</v>
      </c>
      <c r="E63" s="393">
        <v>19.534385497022637</v>
      </c>
      <c r="F63" s="393">
        <f t="shared" si="6"/>
        <v>0.25211900327370529</v>
      </c>
      <c r="G63" s="371">
        <f t="shared" si="7"/>
        <v>1.3075174713275572E-2</v>
      </c>
      <c r="H63" s="381">
        <f t="shared" si="2"/>
        <v>-0.35313729724377296</v>
      </c>
      <c r="I63" s="371">
        <f t="shared" si="3"/>
        <v>-1.7756726209539941E-2</v>
      </c>
      <c r="K63" s="393"/>
      <c r="L63" s="388"/>
      <c r="M63" s="393"/>
      <c r="N63" s="381"/>
      <c r="O63" s="390"/>
      <c r="P63" s="390"/>
    </row>
    <row r="64" spans="1:16" ht="14.4">
      <c r="A64" s="375">
        <v>2024</v>
      </c>
      <c r="B64" s="393">
        <v>20.109311133615211</v>
      </c>
      <c r="C64" s="381">
        <f t="shared" si="4"/>
        <v>0.2217883393488016</v>
      </c>
      <c r="D64" s="371">
        <f t="shared" si="5"/>
        <v>1.1152135016672116E-2</v>
      </c>
      <c r="E64" s="393">
        <v>19.735154552083589</v>
      </c>
      <c r="F64" s="393">
        <f t="shared" si="6"/>
        <v>0.20076905506095244</v>
      </c>
      <c r="G64" s="371">
        <f t="shared" si="7"/>
        <v>1.027772565927676E-2</v>
      </c>
      <c r="H64" s="381">
        <f t="shared" si="2"/>
        <v>-0.37415658153162212</v>
      </c>
      <c r="I64" s="371">
        <f t="shared" si="3"/>
        <v>-1.8606136184653899E-2</v>
      </c>
      <c r="K64" s="393"/>
      <c r="L64" s="389"/>
      <c r="M64" s="393"/>
      <c r="N64" s="381"/>
      <c r="O64" s="390"/>
      <c r="P64" s="390"/>
    </row>
    <row r="65" spans="1:16" ht="14.4">
      <c r="A65" s="375">
        <v>2025</v>
      </c>
      <c r="B65" s="393">
        <v>20.357400145911299</v>
      </c>
      <c r="C65" s="381">
        <f t="shared" si="4"/>
        <v>0.24808901229608793</v>
      </c>
      <c r="D65" s="371">
        <f t="shared" si="5"/>
        <v>1.2337021922216751E-2</v>
      </c>
      <c r="E65" s="393">
        <v>19.956639288561984</v>
      </c>
      <c r="F65" s="393">
        <f t="shared" si="6"/>
        <v>0.22148473647839495</v>
      </c>
      <c r="G65" s="371">
        <f t="shared" si="7"/>
        <v>1.1222852899067437E-2</v>
      </c>
      <c r="H65" s="381">
        <f t="shared" si="2"/>
        <v>-0.4007608573493151</v>
      </c>
      <c r="I65" s="371">
        <f t="shared" si="3"/>
        <v>-1.9686249446239201E-2</v>
      </c>
      <c r="K65" s="393"/>
      <c r="L65" s="388"/>
      <c r="M65" s="393"/>
      <c r="N65" s="381"/>
      <c r="O65" s="390"/>
      <c r="P65" s="390"/>
    </row>
    <row r="66" spans="1:16" ht="14.4">
      <c r="A66" s="375">
        <v>2026</v>
      </c>
      <c r="B66" s="393">
        <v>20.678413504049797</v>
      </c>
      <c r="C66" s="381">
        <f t="shared" si="4"/>
        <v>0.3210133581384973</v>
      </c>
      <c r="D66" s="371">
        <f t="shared" si="5"/>
        <v>1.5768877943039827E-2</v>
      </c>
      <c r="E66" s="393">
        <v>20.268162778438786</v>
      </c>
      <c r="F66" s="393">
        <f t="shared" si="6"/>
        <v>0.31152348987680156</v>
      </c>
      <c r="G66" s="371">
        <f t="shared" si="7"/>
        <v>1.5610017567203816E-2</v>
      </c>
      <c r="H66" s="381">
        <f t="shared" si="2"/>
        <v>-0.41025072561101084</v>
      </c>
      <c r="I66" s="371">
        <f t="shared" si="3"/>
        <v>-1.983956484527527E-2</v>
      </c>
      <c r="K66" s="393"/>
      <c r="L66" s="389"/>
      <c r="M66" s="393"/>
      <c r="N66" s="381"/>
      <c r="O66" s="390"/>
      <c r="P66" s="390"/>
    </row>
    <row r="67" spans="1:16" ht="14.4">
      <c r="A67" s="375">
        <v>2027</v>
      </c>
      <c r="B67" s="393">
        <v>21.028105770108169</v>
      </c>
      <c r="C67" s="381">
        <f t="shared" si="4"/>
        <v>0.34969226605837278</v>
      </c>
      <c r="D67" s="371">
        <f t="shared" si="5"/>
        <v>1.6910981395641622E-2</v>
      </c>
      <c r="E67" s="393">
        <v>20.62799000533013</v>
      </c>
      <c r="F67" s="393">
        <f t="shared" si="6"/>
        <v>0.35982722689134405</v>
      </c>
      <c r="G67" s="371">
        <f t="shared" si="7"/>
        <v>1.7753322332408228E-2</v>
      </c>
      <c r="H67" s="381">
        <f t="shared" si="2"/>
        <v>-0.40011576477803956</v>
      </c>
      <c r="I67" s="371">
        <f t="shared" si="3"/>
        <v>-1.9027665599191113E-2</v>
      </c>
      <c r="K67" s="393"/>
      <c r="L67" s="388"/>
      <c r="M67" s="393"/>
      <c r="N67" s="381"/>
      <c r="O67" s="390"/>
      <c r="P67" s="390"/>
    </row>
    <row r="68" spans="1:16" ht="14.4">
      <c r="A68" s="375">
        <v>2028</v>
      </c>
      <c r="B68" s="393">
        <v>21.383920833042961</v>
      </c>
      <c r="C68" s="381">
        <f t="shared" si="4"/>
        <v>0.35581506293479137</v>
      </c>
      <c r="D68" s="371">
        <f t="shared" si="5"/>
        <v>1.6920927963021137E-2</v>
      </c>
      <c r="E68" s="393">
        <v>20.926602068005469</v>
      </c>
      <c r="F68" s="393">
        <f t="shared" si="6"/>
        <v>0.29861206267533902</v>
      </c>
      <c r="G68" s="371">
        <f t="shared" si="7"/>
        <v>1.447606202049645E-2</v>
      </c>
      <c r="H68" s="381">
        <f t="shared" si="2"/>
        <v>-0.45731876503749191</v>
      </c>
      <c r="I68" s="371">
        <f t="shared" si="3"/>
        <v>-2.138610447579059E-2</v>
      </c>
      <c r="K68" s="393"/>
      <c r="L68" s="389"/>
      <c r="M68" s="393"/>
      <c r="N68" s="381"/>
      <c r="O68" s="390"/>
      <c r="P68" s="390"/>
    </row>
    <row r="69" spans="1:16" ht="14.4">
      <c r="A69" s="375">
        <v>2029</v>
      </c>
      <c r="B69" s="393">
        <v>21.743232458929359</v>
      </c>
      <c r="C69" s="381">
        <f t="shared" si="4"/>
        <v>0.35931162588639864</v>
      </c>
      <c r="D69" s="371">
        <f t="shared" si="5"/>
        <v>1.6802887959217472E-2</v>
      </c>
      <c r="E69" s="393">
        <v>21.252629588798257</v>
      </c>
      <c r="F69" s="393">
        <f t="shared" si="6"/>
        <v>0.32602752079278829</v>
      </c>
      <c r="G69" s="371">
        <f t="shared" si="7"/>
        <v>1.5579572819958587E-2</v>
      </c>
      <c r="H69" s="381">
        <f t="shared" si="2"/>
        <v>-0.49060287013110226</v>
      </c>
      <c r="I69" s="371">
        <f t="shared" si="3"/>
        <v>-2.2563474453846655E-2</v>
      </c>
      <c r="K69" s="393"/>
      <c r="L69" s="388"/>
      <c r="M69" s="393"/>
      <c r="N69" s="381"/>
      <c r="O69" s="390"/>
      <c r="P69" s="390"/>
    </row>
    <row r="70" spans="1:16" ht="14.4">
      <c r="A70" s="375">
        <v>2030</v>
      </c>
      <c r="B70" s="393">
        <v>22.123811047432717</v>
      </c>
      <c r="C70" s="381">
        <f t="shared" si="4"/>
        <v>0.38057858850335791</v>
      </c>
      <c r="D70" s="371">
        <f t="shared" si="5"/>
        <v>1.7503312316704989E-2</v>
      </c>
      <c r="E70" s="393">
        <v>21.580466560471265</v>
      </c>
      <c r="F70" s="393">
        <f t="shared" si="6"/>
        <v>0.32783697167300829</v>
      </c>
      <c r="G70" s="371">
        <f t="shared" si="7"/>
        <v>1.5425713336000735E-2</v>
      </c>
      <c r="H70" s="381">
        <f t="shared" si="2"/>
        <v>-0.54334448696145188</v>
      </c>
      <c r="I70" s="371">
        <f t="shared" si="3"/>
        <v>-2.4559262678411908E-2</v>
      </c>
      <c r="K70" s="393"/>
      <c r="L70" s="389"/>
      <c r="M70" s="393"/>
      <c r="N70" s="381"/>
      <c r="O70" s="390"/>
      <c r="P70" s="390"/>
    </row>
    <row r="71" spans="1:16" ht="14.4">
      <c r="A71" s="375">
        <v>2031</v>
      </c>
      <c r="B71" s="393">
        <v>22.559789732057904</v>
      </c>
      <c r="C71" s="381">
        <f t="shared" si="4"/>
        <v>0.43597868462518719</v>
      </c>
      <c r="D71" s="371">
        <f t="shared" si="5"/>
        <v>1.9706310259586912E-2</v>
      </c>
      <c r="E71" s="393">
        <v>21.984565187380539</v>
      </c>
      <c r="F71" s="393">
        <f t="shared" si="6"/>
        <v>0.40409862690927412</v>
      </c>
      <c r="G71" s="371">
        <f t="shared" si="7"/>
        <v>1.8725203450858485E-2</v>
      </c>
      <c r="H71" s="381">
        <f t="shared" si="2"/>
        <v>-0.57522454467736495</v>
      </c>
      <c r="I71" s="371">
        <f t="shared" si="3"/>
        <v>-2.5497779523182329E-2</v>
      </c>
      <c r="K71" s="393"/>
      <c r="L71" s="388"/>
      <c r="M71" s="393"/>
      <c r="N71" s="381"/>
      <c r="O71" s="390"/>
      <c r="P71" s="390"/>
    </row>
    <row r="72" spans="1:16" ht="14.4">
      <c r="A72" s="375">
        <v>2032</v>
      </c>
      <c r="B72" s="393">
        <v>23.082670074727467</v>
      </c>
      <c r="C72" s="381">
        <f t="shared" si="4"/>
        <v>0.52288034266956274</v>
      </c>
      <c r="D72" s="371">
        <f t="shared" si="5"/>
        <v>2.317753617741114E-2</v>
      </c>
      <c r="E72" s="393">
        <v>22.465112710421533</v>
      </c>
      <c r="F72" s="393">
        <f t="shared" si="6"/>
        <v>0.48054752304099324</v>
      </c>
      <c r="G72" s="371">
        <f t="shared" si="7"/>
        <v>2.1858404700986878E-2</v>
      </c>
      <c r="H72" s="381">
        <f t="shared" si="2"/>
        <v>-0.61755736430593444</v>
      </c>
      <c r="I72" s="371">
        <f t="shared" si="3"/>
        <v>-2.6754156356550762E-2</v>
      </c>
      <c r="K72" s="393"/>
      <c r="L72" s="389"/>
      <c r="M72" s="393"/>
      <c r="N72" s="381"/>
      <c r="O72" s="390"/>
      <c r="P72" s="390"/>
    </row>
    <row r="73" spans="1:16" ht="14.4">
      <c r="A73" s="375">
        <v>2033</v>
      </c>
      <c r="B73" s="393">
        <v>23.50330964867452</v>
      </c>
      <c r="C73" s="381">
        <f t="shared" si="4"/>
        <v>0.42063957394705298</v>
      </c>
      <c r="D73" s="371">
        <f t="shared" si="5"/>
        <v>1.822317663360784E-2</v>
      </c>
      <c r="E73" s="393">
        <v>22.88781954772902</v>
      </c>
      <c r="F73" s="393">
        <f t="shared" si="6"/>
        <v>0.42270683730748715</v>
      </c>
      <c r="G73" s="371">
        <f t="shared" si="7"/>
        <v>1.8816145850512278E-2</v>
      </c>
      <c r="H73" s="381">
        <f t="shared" si="2"/>
        <v>-0.61549010094550027</v>
      </c>
      <c r="I73" s="371">
        <f t="shared" si="3"/>
        <v>-2.6187379996510884E-2</v>
      </c>
      <c r="K73" s="393"/>
      <c r="L73" s="388"/>
      <c r="M73" s="393"/>
      <c r="N73" s="381"/>
      <c r="O73" s="390"/>
      <c r="P73" s="390"/>
    </row>
    <row r="74" spans="1:16" ht="14.4">
      <c r="A74" s="375">
        <v>2034</v>
      </c>
      <c r="B74" s="393">
        <v>23.861858493100712</v>
      </c>
      <c r="C74" s="381">
        <f t="shared" si="4"/>
        <v>0.35854884442619195</v>
      </c>
      <c r="D74" s="371">
        <f t="shared" si="5"/>
        <v>1.5255249145152305E-2</v>
      </c>
      <c r="E74" s="393">
        <v>23.225065502329311</v>
      </c>
      <c r="F74" s="393">
        <f t="shared" si="6"/>
        <v>0.3372459546002915</v>
      </c>
      <c r="G74" s="371">
        <f t="shared" si="7"/>
        <v>1.4734734949173101E-2</v>
      </c>
      <c r="H74" s="381">
        <f t="shared" si="2"/>
        <v>-0.63679299077140072</v>
      </c>
      <c r="I74" s="371">
        <f t="shared" si="3"/>
        <v>-2.6686646849218398E-2</v>
      </c>
      <c r="K74" s="393"/>
      <c r="L74" s="389"/>
      <c r="M74" s="393"/>
      <c r="N74" s="381"/>
      <c r="O74" s="390"/>
      <c r="P74" s="390"/>
    </row>
    <row r="75" spans="1:16" ht="14.4">
      <c r="A75" s="375">
        <v>2035</v>
      </c>
      <c r="B75" s="393">
        <v>24.228612133752694</v>
      </c>
      <c r="C75" s="381">
        <f t="shared" si="4"/>
        <v>0.36675364065198224</v>
      </c>
      <c r="D75" s="371">
        <f t="shared" si="5"/>
        <v>1.5369869063552866E-2</v>
      </c>
      <c r="E75" s="393">
        <v>23.587782433542646</v>
      </c>
      <c r="F75" s="393">
        <f t="shared" si="6"/>
        <v>0.3627169312133347</v>
      </c>
      <c r="G75" s="371">
        <f t="shared" si="7"/>
        <v>1.5617477211289588E-2</v>
      </c>
      <c r="H75" s="381">
        <f t="shared" si="2"/>
        <v>-0.64082970021004826</v>
      </c>
      <c r="I75" s="371">
        <f t="shared" si="3"/>
        <v>-2.6449294605583873E-2</v>
      </c>
      <c r="K75" s="393"/>
      <c r="L75" s="388"/>
      <c r="M75" s="393"/>
      <c r="N75" s="381"/>
      <c r="O75" s="390"/>
      <c r="P75" s="390"/>
    </row>
    <row r="76" spans="1:16" ht="14.4">
      <c r="A76" s="375">
        <v>2036</v>
      </c>
      <c r="B76" s="393">
        <v>24.641563656369051</v>
      </c>
      <c r="C76" s="381">
        <f t="shared" si="4"/>
        <v>0.41295152261635693</v>
      </c>
      <c r="D76" s="371">
        <f t="shared" si="5"/>
        <v>1.7043961095942306E-2</v>
      </c>
      <c r="E76" s="393">
        <v>23.962408252948975</v>
      </c>
      <c r="F76" s="393">
        <f t="shared" si="6"/>
        <v>0.37462581940632944</v>
      </c>
      <c r="G76" s="371">
        <f t="shared" si="7"/>
        <v>1.5882197508893414E-2</v>
      </c>
      <c r="H76" s="381">
        <f t="shared" si="2"/>
        <v>-0.67915540342007574</v>
      </c>
      <c r="I76" s="371">
        <f t="shared" si="3"/>
        <v>-2.7561376091672529E-2</v>
      </c>
      <c r="K76" s="393"/>
      <c r="L76" s="389"/>
      <c r="M76" s="393"/>
      <c r="N76" s="381"/>
      <c r="O76" s="390"/>
      <c r="P76" s="390"/>
    </row>
    <row r="77" spans="1:16" ht="14.4">
      <c r="A77" s="375">
        <v>2037</v>
      </c>
      <c r="B77" s="393">
        <v>25.023672622945224</v>
      </c>
      <c r="C77" s="381">
        <f t="shared" si="4"/>
        <v>0.38210896657617255</v>
      </c>
      <c r="D77" s="371">
        <f t="shared" si="5"/>
        <v>1.5506685042586899E-2</v>
      </c>
      <c r="E77" s="393">
        <v>24.303206962417288</v>
      </c>
      <c r="F77" s="393">
        <f t="shared" si="6"/>
        <v>0.34079870946831292</v>
      </c>
      <c r="G77" s="371">
        <f t="shared" si="7"/>
        <v>1.4222222819627151E-2</v>
      </c>
      <c r="H77" s="381">
        <f t="shared" si="2"/>
        <v>-0.72046566052793537</v>
      </c>
      <c r="I77" s="371">
        <f t="shared" si="3"/>
        <v>-2.8791363737204256E-2</v>
      </c>
      <c r="K77" s="393"/>
      <c r="L77" s="388"/>
      <c r="M77" s="393"/>
      <c r="N77" s="381"/>
      <c r="O77" s="390"/>
      <c r="P77" s="390"/>
    </row>
    <row r="78" spans="1:16" ht="14.4">
      <c r="A78" s="375">
        <v>2038</v>
      </c>
      <c r="B78" s="393">
        <v>25.441206350681394</v>
      </c>
      <c r="C78" s="381">
        <f t="shared" si="4"/>
        <v>0.41753372773617059</v>
      </c>
      <c r="D78" s="371">
        <f t="shared" si="5"/>
        <v>1.6685549480587314E-2</v>
      </c>
      <c r="E78" s="393">
        <v>23.342013794079438</v>
      </c>
      <c r="F78" s="393">
        <f t="shared" si="6"/>
        <v>-0.96119316833785007</v>
      </c>
      <c r="G78" s="371">
        <f t="shared" si="7"/>
        <v>-3.9550054847668825E-2</v>
      </c>
      <c r="H78" s="381">
        <f t="shared" si="2"/>
        <v>-2.099192556601956</v>
      </c>
      <c r="I78" s="371">
        <f t="shared" si="3"/>
        <v>-8.2511518033645981E-2</v>
      </c>
      <c r="K78" s="393"/>
      <c r="L78" s="389"/>
      <c r="M78" s="393"/>
      <c r="N78" s="381"/>
      <c r="O78" s="390"/>
      <c r="P78" s="390"/>
    </row>
    <row r="79" spans="1:16" ht="14.4">
      <c r="A79" s="375">
        <v>2039</v>
      </c>
      <c r="B79" s="393">
        <v>25.869818068267652</v>
      </c>
      <c r="C79" s="381">
        <f t="shared" si="4"/>
        <v>0.42861171758625716</v>
      </c>
      <c r="D79" s="371">
        <f t="shared" si="5"/>
        <v>1.684714599136039E-2</v>
      </c>
      <c r="E79" s="393">
        <v>23.714330632409787</v>
      </c>
      <c r="F79" s="393">
        <f t="shared" si="6"/>
        <v>0.37231683833034879</v>
      </c>
      <c r="G79" s="371">
        <f>(E79/E78)-1</f>
        <v>1.5950502026726765E-2</v>
      </c>
      <c r="H79" s="381">
        <f t="shared" si="2"/>
        <v>-2.1554874358578644</v>
      </c>
      <c r="I79" s="371">
        <f t="shared" si="3"/>
        <v>-8.3320548686108498E-2</v>
      </c>
      <c r="K79" s="393"/>
      <c r="L79" s="388"/>
      <c r="M79" s="393"/>
      <c r="N79" s="381"/>
      <c r="O79" s="390"/>
      <c r="P79" s="390"/>
    </row>
    <row r="80" spans="1:16" ht="14.4">
      <c r="A80" s="375">
        <v>2040</v>
      </c>
      <c r="B80" s="393">
        <v>26.339144766882132</v>
      </c>
      <c r="C80" s="381">
        <f t="shared" si="4"/>
        <v>0.46932669861448062</v>
      </c>
      <c r="D80" s="371">
        <f t="shared" si="5"/>
        <v>1.8141863130849201E-2</v>
      </c>
      <c r="E80" s="393">
        <v>24.07165833836163</v>
      </c>
      <c r="F80" s="393">
        <f t="shared" si="6"/>
        <v>0.35732770595184249</v>
      </c>
      <c r="G80" s="371">
        <f>(E80/E79)-1</f>
        <v>1.5068007252268423E-2</v>
      </c>
      <c r="H80" s="381">
        <f t="shared" si="2"/>
        <v>-2.2674864285205025</v>
      </c>
      <c r="I80" s="371">
        <f t="shared" si="3"/>
        <v>-8.6088081013608209E-2</v>
      </c>
      <c r="K80" s="393"/>
      <c r="L80" s="389"/>
      <c r="M80" s="393"/>
      <c r="N80" s="381"/>
      <c r="O80" s="390"/>
      <c r="P80" s="390"/>
    </row>
    <row r="81" spans="1:11">
      <c r="A81" s="375"/>
      <c r="B81" s="393"/>
      <c r="C81" s="381"/>
      <c r="D81" s="371"/>
      <c r="E81" s="393"/>
      <c r="F81" s="393"/>
      <c r="G81" s="371"/>
      <c r="H81" s="381"/>
      <c r="I81" s="371"/>
      <c r="K81" s="393"/>
    </row>
    <row r="82" spans="1:11">
      <c r="A82" s="375"/>
      <c r="B82" s="406"/>
      <c r="C82" s="393"/>
      <c r="D82" s="371"/>
      <c r="E82" s="393"/>
      <c r="F82" s="393"/>
      <c r="G82" s="371"/>
      <c r="H82" s="393"/>
      <c r="I82" s="371"/>
    </row>
    <row r="83" spans="1:11">
      <c r="B83" s="399"/>
      <c r="C83" s="393"/>
      <c r="D83" s="371"/>
      <c r="E83" s="393"/>
      <c r="F83" s="393"/>
      <c r="G83" s="371"/>
      <c r="H83" s="393"/>
      <c r="I83" s="371"/>
    </row>
    <row r="84" spans="1:11">
      <c r="B84" s="399"/>
    </row>
    <row r="85" spans="1:11">
      <c r="B85" s="399"/>
    </row>
    <row r="86" spans="1:11">
      <c r="B86" s="399"/>
    </row>
    <row r="87" spans="1:11">
      <c r="B87" s="399"/>
    </row>
    <row r="88" spans="1:11">
      <c r="B88" s="399"/>
    </row>
    <row r="89" spans="1:11">
      <c r="B89" s="399"/>
    </row>
    <row r="90" spans="1:11">
      <c r="B90" s="399"/>
    </row>
    <row r="91" spans="1:11">
      <c r="B91" s="399"/>
    </row>
    <row r="92" spans="1:11">
      <c r="B92" s="399"/>
    </row>
    <row r="93" spans="1:11">
      <c r="B93" s="399"/>
    </row>
    <row r="94" spans="1:11">
      <c r="B94" s="399"/>
    </row>
    <row r="95" spans="1:11" ht="409.6">
      <c r="B95" s="399"/>
    </row>
    <row r="96" spans="1:11" ht="409.6">
      <c r="B96" s="399"/>
    </row>
    <row r="97" spans="2:2">
      <c r="B97" s="399"/>
    </row>
  </sheetData>
  <mergeCells count="9">
    <mergeCell ref="M37:N37"/>
    <mergeCell ref="O37:P37"/>
    <mergeCell ref="A52:I52"/>
    <mergeCell ref="C54:D54"/>
    <mergeCell ref="F54:G54"/>
    <mergeCell ref="H54:I54"/>
    <mergeCell ref="A4:I4"/>
    <mergeCell ref="B6:H6"/>
    <mergeCell ref="B13:H13"/>
  </mergeCells>
  <printOptions horizontalCentered="1"/>
  <pageMargins left="0.93" right="0.24" top="0.23" bottom="0.18" header="0.5" footer="0.5"/>
  <pageSetup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84"/>
  <sheetViews>
    <sheetView zoomScale="90" zoomScaleNormal="90" workbookViewId="0">
      <selection activeCell="B2" sqref="B1:B2"/>
    </sheetView>
  </sheetViews>
  <sheetFormatPr defaultColWidth="9.109375" defaultRowHeight="13.2"/>
  <cols>
    <col min="1" max="1" width="9.109375" style="362"/>
    <col min="2" max="2" width="17.6640625" style="362" customWidth="1"/>
    <col min="3" max="4" width="9.109375" style="362"/>
    <col min="5" max="5" width="18" style="362" customWidth="1"/>
    <col min="6" max="7" width="9.109375" style="362"/>
    <col min="8" max="8" width="11" style="362" customWidth="1"/>
    <col min="9" max="9" width="11.44140625" style="362" customWidth="1"/>
    <col min="10" max="10" width="9.109375" style="362"/>
    <col min="11" max="11" width="12.88671875" style="362" bestFit="1" customWidth="1"/>
    <col min="12" max="12" width="9.109375" style="362"/>
    <col min="13" max="13" width="12.44140625" style="362" bestFit="1" customWidth="1"/>
    <col min="14" max="14" width="12.88671875" style="362" bestFit="1" customWidth="1"/>
    <col min="15" max="16384" width="9.109375" style="362"/>
  </cols>
  <sheetData>
    <row r="1" spans="1:14" ht="14.4">
      <c r="B1" s="453" t="s">
        <v>302</v>
      </c>
    </row>
    <row r="2" spans="1:14" ht="14.4">
      <c r="B2" s="453" t="s">
        <v>290</v>
      </c>
    </row>
    <row r="4" spans="1:14" ht="17.399999999999999">
      <c r="A4" s="426" t="s">
        <v>272</v>
      </c>
      <c r="B4" s="427"/>
      <c r="C4" s="427"/>
      <c r="D4" s="427"/>
      <c r="E4" s="427"/>
      <c r="F4" s="427"/>
      <c r="G4" s="427"/>
      <c r="H4" s="427"/>
      <c r="I4" s="427"/>
    </row>
    <row r="5" spans="1:14" ht="17.399999999999999">
      <c r="B5" s="363"/>
      <c r="C5" s="363"/>
      <c r="D5" s="363"/>
      <c r="E5" s="363"/>
      <c r="F5" s="363"/>
      <c r="G5" s="363"/>
      <c r="H5" s="363"/>
    </row>
    <row r="6" spans="1:14">
      <c r="B6" s="428" t="s">
        <v>29</v>
      </c>
      <c r="C6" s="428"/>
      <c r="D6" s="428"/>
      <c r="E6" s="428"/>
      <c r="F6" s="428"/>
      <c r="G6" s="428"/>
      <c r="H6" s="428"/>
    </row>
    <row r="7" spans="1:14">
      <c r="A7" s="364"/>
      <c r="B7" s="364"/>
      <c r="C7" s="364"/>
      <c r="D7" s="364"/>
      <c r="E7" s="364"/>
      <c r="F7" s="364"/>
      <c r="G7" s="364"/>
      <c r="H7" s="364"/>
    </row>
    <row r="8" spans="1:14">
      <c r="B8" s="365" t="s">
        <v>273</v>
      </c>
      <c r="C8" s="366"/>
      <c r="D8" s="346"/>
      <c r="E8" s="346"/>
      <c r="F8" s="367">
        <f>AVERAGE(F18:F50)</f>
        <v>0.5129522928706487</v>
      </c>
      <c r="G8" s="368">
        <f>(D50/D17)^(1/33)-1</f>
        <v>1.6516804656272699E-2</v>
      </c>
      <c r="J8" s="369"/>
    </row>
    <row r="9" spans="1:14">
      <c r="B9" s="366"/>
      <c r="C9" s="366"/>
      <c r="D9" s="346"/>
      <c r="E9" s="346"/>
      <c r="F9" s="367"/>
      <c r="G9" s="370"/>
    </row>
    <row r="10" spans="1:14">
      <c r="B10" s="365" t="s">
        <v>32</v>
      </c>
      <c r="C10" s="366"/>
      <c r="D10" s="346"/>
      <c r="E10" s="346"/>
      <c r="F10" s="367">
        <f>AVERAGE(C56:C64)</f>
        <v>0.98894232088989908</v>
      </c>
      <c r="G10" s="368">
        <f>(B64/B55)^(1/9)-1</f>
        <v>2.1641301788553502E-2</v>
      </c>
    </row>
    <row r="11" spans="1:14">
      <c r="B11" s="365" t="s">
        <v>33</v>
      </c>
      <c r="C11" s="366"/>
      <c r="D11" s="346"/>
      <c r="E11" s="346"/>
      <c r="F11" s="367">
        <f>AVERAGE(F56:F64)</f>
        <v>0.77588245683828683</v>
      </c>
      <c r="G11" s="368">
        <f>(E64/E55)^(1/9)-1</f>
        <v>1.7452183361549967E-2</v>
      </c>
      <c r="I11" s="371"/>
    </row>
    <row r="12" spans="1:14">
      <c r="A12" s="364"/>
      <c r="H12" s="364"/>
    </row>
    <row r="13" spans="1:14">
      <c r="B13" s="424" t="s">
        <v>34</v>
      </c>
      <c r="C13" s="424"/>
      <c r="D13" s="424"/>
      <c r="E13" s="424"/>
      <c r="F13" s="424"/>
      <c r="G13" s="424"/>
      <c r="H13" s="424"/>
    </row>
    <row r="14" spans="1:14">
      <c r="A14" s="372"/>
      <c r="B14" s="373"/>
      <c r="C14" s="373"/>
      <c r="D14" s="374"/>
      <c r="E14" s="374"/>
      <c r="F14" s="374"/>
      <c r="G14" s="374"/>
      <c r="H14" s="374"/>
    </row>
    <row r="15" spans="1:14">
      <c r="A15" s="364"/>
      <c r="B15" s="364"/>
      <c r="C15" s="364"/>
      <c r="D15" s="375"/>
      <c r="E15" s="364"/>
      <c r="F15" s="373" t="s">
        <v>35</v>
      </c>
      <c r="G15" s="373"/>
      <c r="H15" s="373"/>
    </row>
    <row r="16" spans="1:14">
      <c r="A16" s="364"/>
      <c r="B16" s="364"/>
      <c r="C16" s="375"/>
      <c r="D16" s="376"/>
      <c r="E16" s="377"/>
      <c r="F16" s="378" t="s">
        <v>36</v>
      </c>
      <c r="G16" s="364"/>
      <c r="H16" s="375" t="s">
        <v>37</v>
      </c>
      <c r="N16" s="379"/>
    </row>
    <row r="17" spans="1:18">
      <c r="A17" s="364"/>
      <c r="B17" s="375">
        <v>1982</v>
      </c>
      <c r="D17" s="380">
        <v>23.607345899112186</v>
      </c>
      <c r="E17" s="377"/>
      <c r="F17" s="381"/>
      <c r="G17" s="364"/>
      <c r="H17" s="371"/>
      <c r="K17" s="382"/>
      <c r="N17" s="381"/>
      <c r="Q17" s="383"/>
      <c r="R17" s="383"/>
    </row>
    <row r="18" spans="1:18">
      <c r="A18" s="364"/>
      <c r="B18" s="375">
        <v>1983</v>
      </c>
      <c r="D18" s="380">
        <v>24.554972872810779</v>
      </c>
      <c r="E18" s="377"/>
      <c r="F18" s="381">
        <f>+D18-D17</f>
        <v>0.94762697369859339</v>
      </c>
      <c r="G18" s="364"/>
      <c r="H18" s="371">
        <f>(D18/D17)-1</f>
        <v>4.0141190701756591E-2</v>
      </c>
      <c r="K18" s="382"/>
      <c r="N18" s="381"/>
      <c r="Q18" s="383"/>
      <c r="R18" s="383"/>
    </row>
    <row r="19" spans="1:18">
      <c r="A19" s="364"/>
      <c r="B19" s="375">
        <v>1984</v>
      </c>
      <c r="D19" s="380">
        <v>25.631987199655764</v>
      </c>
      <c r="E19" s="377"/>
      <c r="F19" s="381">
        <f t="shared" ref="F19:F50" si="0">+D19-D18</f>
        <v>1.077014326844985</v>
      </c>
      <c r="G19" s="364"/>
      <c r="H19" s="371">
        <f t="shared" ref="H19:H50" si="1">(D19/D18)-1</f>
        <v>4.3861352746088489E-2</v>
      </c>
      <c r="K19" s="382"/>
      <c r="N19" s="381"/>
      <c r="Q19" s="383"/>
      <c r="R19" s="383"/>
    </row>
    <row r="20" spans="1:18">
      <c r="A20" s="364"/>
      <c r="B20" s="375">
        <v>1985</v>
      </c>
      <c r="D20" s="380">
        <v>26.447534111295301</v>
      </c>
      <c r="E20" s="377"/>
      <c r="F20" s="381">
        <f t="shared" si="0"/>
        <v>0.81554691163953663</v>
      </c>
      <c r="G20" s="364"/>
      <c r="H20" s="371">
        <f t="shared" si="1"/>
        <v>3.1817545213602916E-2</v>
      </c>
      <c r="K20" s="382"/>
      <c r="N20" s="381"/>
      <c r="Q20" s="383"/>
      <c r="R20" s="383"/>
    </row>
    <row r="21" spans="1:18">
      <c r="A21" s="364"/>
      <c r="B21" s="375">
        <v>1986</v>
      </c>
      <c r="D21" s="380">
        <v>27.22632012369559</v>
      </c>
      <c r="E21" s="377"/>
      <c r="F21" s="381">
        <f t="shared" si="0"/>
        <v>0.778786012400289</v>
      </c>
      <c r="G21" s="364"/>
      <c r="H21" s="371">
        <f t="shared" si="1"/>
        <v>2.9446450815529213E-2</v>
      </c>
      <c r="K21" s="382"/>
      <c r="N21" s="381"/>
      <c r="Q21" s="383"/>
      <c r="R21" s="383"/>
    </row>
    <row r="22" spans="1:18">
      <c r="A22" s="364"/>
      <c r="B22" s="375">
        <v>1987</v>
      </c>
      <c r="D22" s="380">
        <v>27.839557775606661</v>
      </c>
      <c r="E22" s="377"/>
      <c r="F22" s="381">
        <f t="shared" si="0"/>
        <v>0.61323765191107071</v>
      </c>
      <c r="G22" s="364"/>
      <c r="H22" s="371">
        <f t="shared" si="1"/>
        <v>2.2523706807419774E-2</v>
      </c>
      <c r="I22" s="384"/>
      <c r="K22" s="382"/>
      <c r="N22" s="381"/>
      <c r="Q22" s="383"/>
      <c r="R22" s="383"/>
    </row>
    <row r="23" spans="1:18">
      <c r="A23" s="364"/>
      <c r="B23" s="375">
        <v>1988</v>
      </c>
      <c r="D23" s="380">
        <v>28.662997273298089</v>
      </c>
      <c r="E23" s="377"/>
      <c r="F23" s="381">
        <f t="shared" si="0"/>
        <v>0.8234394976914281</v>
      </c>
      <c r="G23" s="364"/>
      <c r="H23" s="371">
        <f t="shared" si="1"/>
        <v>2.9578037996456086E-2</v>
      </c>
      <c r="I23" s="384"/>
      <c r="K23" s="382"/>
      <c r="N23" s="381"/>
      <c r="Q23" s="383"/>
      <c r="R23" s="383"/>
    </row>
    <row r="24" spans="1:18">
      <c r="A24" s="364"/>
      <c r="B24" s="375">
        <v>1989</v>
      </c>
      <c r="D24" s="380">
        <v>29.770717465640768</v>
      </c>
      <c r="E24" s="377"/>
      <c r="F24" s="381">
        <f t="shared" si="0"/>
        <v>1.1077201923426792</v>
      </c>
      <c r="G24" s="364"/>
      <c r="H24" s="371">
        <f t="shared" si="1"/>
        <v>3.8646348872056313E-2</v>
      </c>
      <c r="K24" s="382"/>
      <c r="N24" s="381"/>
      <c r="Q24" s="383"/>
      <c r="R24" s="383"/>
    </row>
    <row r="25" spans="1:18">
      <c r="A25" s="364"/>
      <c r="B25" s="375">
        <v>1990</v>
      </c>
      <c r="D25" s="380">
        <v>29.424304431858435</v>
      </c>
      <c r="E25" s="377"/>
      <c r="F25" s="381">
        <f t="shared" si="0"/>
        <v>-0.34641303378233346</v>
      </c>
      <c r="G25" s="364"/>
      <c r="H25" s="371">
        <f t="shared" si="1"/>
        <v>-1.1636032426230236E-2</v>
      </c>
      <c r="K25" s="382"/>
      <c r="N25" s="381"/>
      <c r="Q25" s="383"/>
      <c r="R25" s="383"/>
    </row>
    <row r="26" spans="1:18">
      <c r="A26" s="364"/>
      <c r="B26" s="375">
        <v>1991</v>
      </c>
      <c r="D26" s="411">
        <v>28.942147743628137</v>
      </c>
      <c r="E26" s="412"/>
      <c r="F26" s="413">
        <f t="shared" si="0"/>
        <v>-0.48215668823029745</v>
      </c>
      <c r="G26" s="414"/>
      <c r="H26" s="410">
        <f t="shared" si="1"/>
        <v>-1.6386341072119115E-2</v>
      </c>
      <c r="K26" s="382"/>
      <c r="N26" s="381"/>
      <c r="Q26" s="383"/>
      <c r="R26" s="383"/>
    </row>
    <row r="27" spans="1:18">
      <c r="A27" s="364"/>
      <c r="B27" s="375">
        <v>1992</v>
      </c>
      <c r="D27" s="411">
        <v>29.325438511746043</v>
      </c>
      <c r="E27" s="412"/>
      <c r="F27" s="413">
        <f t="shared" si="0"/>
        <v>0.38329076811790586</v>
      </c>
      <c r="G27" s="414"/>
      <c r="H27" s="410">
        <f t="shared" si="1"/>
        <v>1.3243342253419721E-2</v>
      </c>
      <c r="J27" s="369"/>
      <c r="K27" s="382"/>
      <c r="N27" s="381"/>
      <c r="Q27" s="383"/>
      <c r="R27" s="383"/>
    </row>
    <row r="28" spans="1:18">
      <c r="A28" s="364"/>
      <c r="B28" s="375">
        <v>1993</v>
      </c>
      <c r="D28" s="411">
        <v>29.706636673469294</v>
      </c>
      <c r="E28" s="412"/>
      <c r="F28" s="413">
        <f t="shared" si="0"/>
        <v>0.38119816172325116</v>
      </c>
      <c r="G28" s="414"/>
      <c r="H28" s="410">
        <f t="shared" si="1"/>
        <v>1.2998890419680054E-2</v>
      </c>
      <c r="J28" s="369"/>
      <c r="K28" s="382"/>
      <c r="N28" s="381"/>
      <c r="Q28" s="383"/>
      <c r="R28" s="383"/>
    </row>
    <row r="29" spans="1:18">
      <c r="A29" s="364"/>
      <c r="B29" s="375">
        <v>1994</v>
      </c>
      <c r="D29" s="411">
        <v>30.072855705956091</v>
      </c>
      <c r="E29" s="412"/>
      <c r="F29" s="413">
        <f t="shared" si="0"/>
        <v>0.36621903248679644</v>
      </c>
      <c r="G29" s="414"/>
      <c r="H29" s="410">
        <f t="shared" si="1"/>
        <v>1.2327852409285356E-2</v>
      </c>
      <c r="I29" s="385"/>
      <c r="K29" s="382"/>
      <c r="N29" s="381"/>
      <c r="Q29" s="383"/>
      <c r="R29" s="383"/>
    </row>
    <row r="30" spans="1:18">
      <c r="A30" s="364"/>
      <c r="B30" s="375">
        <v>1995</v>
      </c>
      <c r="D30" s="411">
        <v>30.960224337666673</v>
      </c>
      <c r="E30" s="412"/>
      <c r="F30" s="413">
        <f t="shared" si="0"/>
        <v>0.88736863171058289</v>
      </c>
      <c r="G30" s="414"/>
      <c r="H30" s="410">
        <f t="shared" si="1"/>
        <v>2.9507295229526109E-2</v>
      </c>
      <c r="K30" s="382"/>
      <c r="N30" s="381"/>
      <c r="Q30" s="383"/>
      <c r="R30" s="383"/>
    </row>
    <row r="31" spans="1:18">
      <c r="A31" s="364"/>
      <c r="B31" s="375">
        <v>1996</v>
      </c>
      <c r="D31" s="411">
        <v>31.546592141960375</v>
      </c>
      <c r="E31" s="412"/>
      <c r="F31" s="413">
        <f t="shared" si="0"/>
        <v>0.58636780429370106</v>
      </c>
      <c r="G31" s="414"/>
      <c r="H31" s="410">
        <f t="shared" si="1"/>
        <v>1.8939391326706856E-2</v>
      </c>
      <c r="K31" s="382"/>
      <c r="N31" s="381"/>
      <c r="Q31" s="383"/>
      <c r="R31" s="383"/>
    </row>
    <row r="32" spans="1:18">
      <c r="A32" s="364"/>
      <c r="B32" s="375">
        <v>1997</v>
      </c>
      <c r="D32" s="411">
        <v>32.216353555577321</v>
      </c>
      <c r="E32" s="412"/>
      <c r="F32" s="413">
        <f t="shared" si="0"/>
        <v>0.6697614136169463</v>
      </c>
      <c r="G32" s="414"/>
      <c r="H32" s="410">
        <f t="shared" si="1"/>
        <v>2.1230864196138954E-2</v>
      </c>
      <c r="K32" s="382"/>
      <c r="N32" s="381"/>
      <c r="Q32" s="383"/>
      <c r="R32" s="383"/>
    </row>
    <row r="33" spans="1:18">
      <c r="A33" s="364"/>
      <c r="B33" s="375">
        <v>1998</v>
      </c>
      <c r="D33" s="411">
        <v>33.818572097437581</v>
      </c>
      <c r="E33" s="412"/>
      <c r="F33" s="413">
        <f t="shared" si="0"/>
        <v>1.6022185418602604</v>
      </c>
      <c r="G33" s="414"/>
      <c r="H33" s="410">
        <f t="shared" si="1"/>
        <v>4.973308165047996E-2</v>
      </c>
      <c r="K33" s="382"/>
      <c r="N33" s="381"/>
      <c r="Q33" s="383"/>
      <c r="R33" s="383"/>
    </row>
    <row r="34" spans="1:18" ht="14.4">
      <c r="A34" s="364"/>
      <c r="B34" s="375">
        <v>1999</v>
      </c>
      <c r="D34" s="411">
        <v>34.365359408607297</v>
      </c>
      <c r="E34" s="412"/>
      <c r="F34" s="413">
        <f t="shared" si="0"/>
        <v>0.54678731116971591</v>
      </c>
      <c r="G34" s="414"/>
      <c r="H34" s="410">
        <f t="shared" si="1"/>
        <v>1.6168255406949772E-2</v>
      </c>
      <c r="K34" s="382"/>
      <c r="L34" s="192"/>
      <c r="N34" s="381"/>
      <c r="O34" s="192"/>
      <c r="Q34" s="383"/>
      <c r="R34" s="383"/>
    </row>
    <row r="35" spans="1:18" ht="14.4">
      <c r="A35" s="364"/>
      <c r="B35" s="375">
        <v>2000</v>
      </c>
      <c r="D35" s="411">
        <v>35.546581203596176</v>
      </c>
      <c r="E35" s="412"/>
      <c r="F35" s="413">
        <f t="shared" si="0"/>
        <v>1.181221794988879</v>
      </c>
      <c r="G35" s="414"/>
      <c r="H35" s="410">
        <f t="shared" si="1"/>
        <v>3.437245573206571E-2</v>
      </c>
      <c r="K35" s="382"/>
      <c r="L35" s="192"/>
      <c r="N35" s="381"/>
      <c r="O35" s="192"/>
      <c r="Q35" s="383"/>
      <c r="R35" s="383"/>
    </row>
    <row r="36" spans="1:18" ht="14.4">
      <c r="A36" s="364"/>
      <c r="B36" s="375">
        <v>2001</v>
      </c>
      <c r="D36" s="411">
        <v>35.964786982844849</v>
      </c>
      <c r="E36" s="412"/>
      <c r="F36" s="413">
        <f t="shared" si="0"/>
        <v>0.41820577924867308</v>
      </c>
      <c r="G36" s="414"/>
      <c r="H36" s="410">
        <f t="shared" si="1"/>
        <v>1.1765007072082723E-2</v>
      </c>
      <c r="K36" s="382"/>
      <c r="L36" s="192"/>
      <c r="N36" s="381"/>
      <c r="O36" s="192"/>
      <c r="Q36" s="383"/>
      <c r="R36" s="383"/>
    </row>
    <row r="37" spans="1:18" ht="14.4">
      <c r="A37" s="364"/>
      <c r="B37" s="375">
        <v>2002</v>
      </c>
      <c r="D37" s="411">
        <v>36.05251642687913</v>
      </c>
      <c r="E37" s="412"/>
      <c r="F37" s="413">
        <f t="shared" si="0"/>
        <v>8.7729444034280846E-2</v>
      </c>
      <c r="G37" s="414"/>
      <c r="H37" s="410">
        <f t="shared" si="1"/>
        <v>2.4393149909696099E-3</v>
      </c>
      <c r="K37" s="382"/>
      <c r="L37" s="192"/>
      <c r="M37" s="429"/>
      <c r="N37" s="429"/>
      <c r="O37" s="430"/>
      <c r="P37" s="430"/>
      <c r="Q37" s="383"/>
      <c r="R37" s="383"/>
    </row>
    <row r="38" spans="1:18" ht="14.4">
      <c r="A38" s="364"/>
      <c r="B38" s="375">
        <v>2003</v>
      </c>
      <c r="D38" s="411">
        <v>36.444218526784773</v>
      </c>
      <c r="E38" s="412"/>
      <c r="F38" s="413">
        <f t="shared" si="0"/>
        <v>0.39170209990564331</v>
      </c>
      <c r="G38" s="414"/>
      <c r="H38" s="410">
        <f t="shared" si="1"/>
        <v>1.0864764480451372E-2</v>
      </c>
      <c r="K38" s="382"/>
      <c r="L38" s="192"/>
      <c r="M38" s="386"/>
      <c r="N38" s="386"/>
      <c r="O38" s="386"/>
      <c r="P38" s="386"/>
      <c r="Q38" s="383"/>
      <c r="R38" s="383"/>
    </row>
    <row r="39" spans="1:18" ht="14.4">
      <c r="A39" s="364"/>
      <c r="B39" s="375">
        <v>2004</v>
      </c>
      <c r="D39" s="411">
        <v>37.968382347626552</v>
      </c>
      <c r="E39" s="412"/>
      <c r="F39" s="413">
        <f t="shared" si="0"/>
        <v>1.5241638208417783</v>
      </c>
      <c r="G39" s="414"/>
      <c r="H39" s="410">
        <f t="shared" si="1"/>
        <v>4.1821827506647979E-2</v>
      </c>
      <c r="I39" s="387"/>
      <c r="K39" s="382"/>
      <c r="L39" s="388"/>
      <c r="M39" s="381"/>
      <c r="N39" s="381"/>
      <c r="O39" s="192"/>
      <c r="Q39" s="383"/>
      <c r="R39" s="383"/>
    </row>
    <row r="40" spans="1:18" ht="14.4">
      <c r="A40" s="364"/>
      <c r="B40" s="375">
        <v>2005</v>
      </c>
      <c r="D40" s="411">
        <v>39.371302733685624</v>
      </c>
      <c r="E40" s="412"/>
      <c r="F40" s="413">
        <f t="shared" si="0"/>
        <v>1.4029203860590727</v>
      </c>
      <c r="G40" s="414"/>
      <c r="H40" s="410">
        <f t="shared" si="1"/>
        <v>3.6949701286043135E-2</v>
      </c>
      <c r="I40" s="415">
        <f>(D40/D26)^(1/14)-1</f>
        <v>2.2224673202043022E-2</v>
      </c>
      <c r="K40" s="382"/>
      <c r="L40" s="389"/>
      <c r="M40" s="381"/>
      <c r="N40" s="381"/>
      <c r="O40" s="390"/>
      <c r="P40" s="390"/>
      <c r="Q40" s="383"/>
      <c r="R40" s="383"/>
    </row>
    <row r="41" spans="1:18" ht="14.4">
      <c r="A41" s="364"/>
      <c r="B41" s="375">
        <v>2006</v>
      </c>
      <c r="D41" s="380">
        <v>40.852873686427202</v>
      </c>
      <c r="E41" s="377"/>
      <c r="F41" s="381">
        <f t="shared" si="0"/>
        <v>1.4815709527415777</v>
      </c>
      <c r="G41" s="364"/>
      <c r="H41" s="371">
        <f t="shared" si="1"/>
        <v>3.7630732281407564E-2</v>
      </c>
      <c r="I41" s="387"/>
      <c r="K41" s="382"/>
      <c r="L41" s="388"/>
      <c r="M41" s="381"/>
      <c r="N41" s="381"/>
      <c r="O41" s="390"/>
      <c r="P41" s="390"/>
      <c r="Q41" s="383"/>
      <c r="R41" s="383"/>
    </row>
    <row r="42" spans="1:18" ht="14.4">
      <c r="A42" s="364"/>
      <c r="B42" s="375">
        <v>2007</v>
      </c>
      <c r="D42" s="380">
        <v>40.904774211632244</v>
      </c>
      <c r="E42" s="391"/>
      <c r="F42" s="381">
        <f t="shared" si="0"/>
        <v>5.1900525205041959E-2</v>
      </c>
      <c r="G42" s="364"/>
      <c r="H42" s="371">
        <f t="shared" si="1"/>
        <v>1.2704253219348871E-3</v>
      </c>
      <c r="I42" s="392"/>
      <c r="K42" s="382"/>
      <c r="L42" s="389"/>
      <c r="M42" s="381"/>
      <c r="N42" s="381"/>
      <c r="O42" s="390"/>
      <c r="P42" s="390"/>
      <c r="Q42" s="383"/>
      <c r="R42" s="383"/>
    </row>
    <row r="43" spans="1:18" ht="14.4">
      <c r="A43" s="364"/>
      <c r="B43" s="375">
        <v>2008</v>
      </c>
      <c r="D43" s="380">
        <v>39.475781257405529</v>
      </c>
      <c r="E43" s="364"/>
      <c r="F43" s="381">
        <f t="shared" si="0"/>
        <v>-1.4289929542267146</v>
      </c>
      <c r="G43" s="364"/>
      <c r="H43" s="371">
        <f t="shared" si="1"/>
        <v>-3.4934625157284072E-2</v>
      </c>
      <c r="I43" s="384"/>
      <c r="K43" s="382"/>
      <c r="L43" s="388"/>
      <c r="M43" s="381"/>
      <c r="N43" s="381"/>
      <c r="O43" s="390"/>
      <c r="P43" s="390"/>
      <c r="Q43" s="383"/>
      <c r="R43" s="383"/>
    </row>
    <row r="44" spans="1:18" ht="14.4">
      <c r="A44" s="364"/>
      <c r="B44" s="375">
        <v>2009</v>
      </c>
      <c r="D44" s="380">
        <v>37.207057582333853</v>
      </c>
      <c r="E44" s="364"/>
      <c r="F44" s="381">
        <f t="shared" si="0"/>
        <v>-2.2687236750716764</v>
      </c>
      <c r="G44" s="364"/>
      <c r="H44" s="371">
        <f t="shared" si="1"/>
        <v>-5.7471279929287578E-2</v>
      </c>
      <c r="I44" s="384"/>
      <c r="K44" s="382"/>
      <c r="L44" s="389"/>
      <c r="M44" s="381"/>
      <c r="N44" s="381"/>
      <c r="O44" s="390"/>
      <c r="P44" s="390"/>
      <c r="Q44" s="383"/>
      <c r="R44" s="383"/>
    </row>
    <row r="45" spans="1:18" ht="14.4">
      <c r="A45" s="364"/>
      <c r="B45" s="375">
        <v>2010</v>
      </c>
      <c r="D45" s="380">
        <v>37.881922785122093</v>
      </c>
      <c r="E45" s="364"/>
      <c r="F45" s="381">
        <f t="shared" si="0"/>
        <v>0.67486520278824003</v>
      </c>
      <c r="G45" s="364"/>
      <c r="H45" s="371">
        <f t="shared" si="1"/>
        <v>1.813809655049603E-2</v>
      </c>
      <c r="I45" s="384"/>
      <c r="K45" s="382"/>
      <c r="L45" s="388"/>
      <c r="M45" s="381"/>
      <c r="N45" s="381"/>
      <c r="O45" s="390"/>
      <c r="P45" s="390"/>
      <c r="Q45" s="383"/>
      <c r="R45" s="383"/>
    </row>
    <row r="46" spans="1:18" ht="14.4">
      <c r="A46" s="364"/>
      <c r="B46" s="375">
        <v>2011</v>
      </c>
      <c r="D46" s="380">
        <v>38.472247153876488</v>
      </c>
      <c r="E46" s="364"/>
      <c r="F46" s="381">
        <f t="shared" si="0"/>
        <v>0.59032436875439487</v>
      </c>
      <c r="G46" s="364"/>
      <c r="H46" s="371">
        <f t="shared" si="1"/>
        <v>1.5583273639590445E-2</v>
      </c>
      <c r="I46" s="384"/>
      <c r="K46" s="393"/>
      <c r="L46" s="389"/>
      <c r="M46" s="381"/>
      <c r="N46" s="381"/>
      <c r="O46" s="390"/>
      <c r="P46" s="390"/>
    </row>
    <row r="47" spans="1:18" ht="14.4">
      <c r="A47" s="364"/>
      <c r="B47" s="375">
        <v>2012</v>
      </c>
      <c r="D47" s="380">
        <v>38.583386152835494</v>
      </c>
      <c r="E47" s="364"/>
      <c r="F47" s="381">
        <f t="shared" si="0"/>
        <v>0.11113899895900659</v>
      </c>
      <c r="G47" s="364"/>
      <c r="H47" s="371">
        <f t="shared" si="1"/>
        <v>2.8888096532153629E-3</v>
      </c>
      <c r="I47" s="384"/>
      <c r="K47" s="393"/>
      <c r="L47" s="388"/>
      <c r="M47" s="381"/>
      <c r="N47" s="381"/>
      <c r="O47" s="390"/>
      <c r="P47" s="390"/>
    </row>
    <row r="48" spans="1:18" ht="14.4">
      <c r="A48" s="364"/>
      <c r="B48" s="375">
        <v>2013</v>
      </c>
      <c r="D48" s="380">
        <v>38.520647320289719</v>
      </c>
      <c r="E48" s="364"/>
      <c r="F48" s="381">
        <f t="shared" si="0"/>
        <v>-6.2738832545775836E-2</v>
      </c>
      <c r="G48" s="364"/>
      <c r="H48" s="371">
        <f t="shared" si="1"/>
        <v>-1.6260582287219716E-3</v>
      </c>
      <c r="I48" s="384"/>
      <c r="K48" s="393"/>
      <c r="L48" s="389"/>
      <c r="M48" s="381"/>
      <c r="N48" s="381"/>
      <c r="O48" s="390"/>
      <c r="P48" s="390"/>
    </row>
    <row r="49" spans="1:18" ht="14.4">
      <c r="A49" s="364"/>
      <c r="B49" s="375">
        <v>2014</v>
      </c>
      <c r="D49" s="380">
        <v>39.26679086626357</v>
      </c>
      <c r="E49" s="364"/>
      <c r="F49" s="381">
        <f t="shared" si="0"/>
        <v>0.74614354597385102</v>
      </c>
      <c r="G49" s="364"/>
      <c r="H49" s="371">
        <f t="shared" si="1"/>
        <v>1.9369963847436278E-2</v>
      </c>
      <c r="I49" s="384"/>
      <c r="K49" s="393"/>
      <c r="L49" s="388"/>
      <c r="M49" s="381"/>
      <c r="N49" s="381"/>
      <c r="O49" s="390"/>
      <c r="P49" s="390"/>
    </row>
    <row r="50" spans="1:18" ht="14.4">
      <c r="A50" s="364"/>
      <c r="B50" s="375">
        <v>2015</v>
      </c>
      <c r="D50" s="380">
        <v>40.534771563843591</v>
      </c>
      <c r="E50" s="364"/>
      <c r="F50" s="381">
        <f t="shared" si="0"/>
        <v>1.2679806975800219</v>
      </c>
      <c r="G50" s="364"/>
      <c r="H50" s="371">
        <f t="shared" si="1"/>
        <v>3.2291426663782152E-2</v>
      </c>
      <c r="I50" s="384"/>
      <c r="K50" s="393"/>
      <c r="L50" s="389"/>
      <c r="M50" s="381"/>
      <c r="N50" s="381"/>
      <c r="O50" s="390"/>
      <c r="P50" s="390"/>
    </row>
    <row r="51" spans="1:18" ht="14.4">
      <c r="A51" s="424" t="s">
        <v>38</v>
      </c>
      <c r="B51" s="424"/>
      <c r="C51" s="424"/>
      <c r="D51" s="424"/>
      <c r="E51" s="424"/>
      <c r="F51" s="424"/>
      <c r="G51" s="424"/>
      <c r="H51" s="424"/>
      <c r="I51" s="424"/>
      <c r="L51" s="388"/>
      <c r="M51" s="381"/>
      <c r="N51" s="381"/>
      <c r="O51" s="390"/>
      <c r="P51" s="390"/>
    </row>
    <row r="52" spans="1:18" ht="14.4">
      <c r="A52" s="364"/>
      <c r="B52" s="394"/>
      <c r="C52" s="364"/>
      <c r="D52" s="364"/>
      <c r="E52" s="394"/>
      <c r="F52" s="364"/>
      <c r="G52" s="364"/>
      <c r="H52" s="364"/>
      <c r="L52" s="389"/>
      <c r="M52" s="381"/>
      <c r="N52" s="381"/>
      <c r="O52" s="390"/>
      <c r="P52" s="390"/>
    </row>
    <row r="53" spans="1:18" ht="14.4">
      <c r="A53" s="364"/>
      <c r="B53" s="395" t="s">
        <v>274</v>
      </c>
      <c r="C53" s="425" t="s">
        <v>35</v>
      </c>
      <c r="D53" s="425"/>
      <c r="E53" s="394" t="s">
        <v>275</v>
      </c>
      <c r="F53" s="425" t="s">
        <v>35</v>
      </c>
      <c r="G53" s="425"/>
      <c r="H53" s="425" t="s">
        <v>276</v>
      </c>
      <c r="I53" s="425"/>
      <c r="L53" s="388"/>
      <c r="M53" s="381"/>
      <c r="N53" s="381"/>
      <c r="O53" s="390"/>
      <c r="P53" s="390"/>
    </row>
    <row r="54" spans="1:18" ht="14.4">
      <c r="A54" s="364"/>
      <c r="B54" s="396" t="s">
        <v>277</v>
      </c>
      <c r="C54" s="397" t="s">
        <v>36</v>
      </c>
      <c r="D54" s="398" t="s">
        <v>37</v>
      </c>
      <c r="E54" s="396" t="s">
        <v>277</v>
      </c>
      <c r="F54" s="397" t="s">
        <v>36</v>
      </c>
      <c r="G54" s="398" t="s">
        <v>37</v>
      </c>
      <c r="H54" s="397" t="s">
        <v>36</v>
      </c>
      <c r="I54" s="398" t="s">
        <v>37</v>
      </c>
      <c r="L54" s="389"/>
      <c r="M54" s="381"/>
      <c r="N54" s="381"/>
      <c r="O54" s="390"/>
      <c r="P54" s="390"/>
    </row>
    <row r="55" spans="1:18" ht="14.4">
      <c r="A55" s="375">
        <v>2016</v>
      </c>
      <c r="B55" s="381">
        <v>41.882288973284687</v>
      </c>
      <c r="C55" s="381">
        <f>+B55-D50</f>
        <v>1.347517409441096</v>
      </c>
      <c r="D55" s="371">
        <f>(B55/D50)-1</f>
        <v>3.3243493362697496E-2</v>
      </c>
      <c r="E55" s="393">
        <v>41.44354265050481</v>
      </c>
      <c r="F55" s="381">
        <f>+E55-D50</f>
        <v>0.90877108666121842</v>
      </c>
      <c r="G55" s="371">
        <f>(E55/D50)-1</f>
        <v>2.2419543804012232E-2</v>
      </c>
      <c r="H55" s="381">
        <f t="shared" ref="H55:H79" si="2">E55-B55</f>
        <v>-0.43874632277987757</v>
      </c>
      <c r="I55" s="371">
        <f t="shared" ref="I55:I79" si="3">(E55/B55)-1</f>
        <v>-1.0475700672896382E-2</v>
      </c>
      <c r="K55" s="393"/>
      <c r="L55" s="388"/>
      <c r="M55" s="381"/>
      <c r="N55" s="381"/>
      <c r="O55" s="390"/>
      <c r="P55" s="390"/>
      <c r="Q55" s="383"/>
      <c r="R55" s="383"/>
    </row>
    <row r="56" spans="1:18" ht="14.4">
      <c r="A56" s="375">
        <v>2017</v>
      </c>
      <c r="B56" s="381">
        <v>43.3898824169056</v>
      </c>
      <c r="C56" s="381">
        <f>+B56-B55</f>
        <v>1.5075934436209124</v>
      </c>
      <c r="D56" s="371">
        <f>(B56/B55)-1</f>
        <v>3.5995965850447176E-2</v>
      </c>
      <c r="E56" s="393">
        <v>42.493071542997029</v>
      </c>
      <c r="F56" s="381">
        <f>+E56-E55</f>
        <v>1.0495288924922193</v>
      </c>
      <c r="G56" s="371">
        <f>(E56/E55)-1</f>
        <v>2.5324304472301939E-2</v>
      </c>
      <c r="H56" s="381">
        <f t="shared" si="2"/>
        <v>-0.89681087390857073</v>
      </c>
      <c r="I56" s="371">
        <f t="shared" si="3"/>
        <v>-2.0668663383129005E-2</v>
      </c>
      <c r="K56" s="393"/>
      <c r="L56" s="389"/>
      <c r="M56" s="381"/>
      <c r="N56" s="381"/>
      <c r="O56" s="390"/>
      <c r="P56" s="390"/>
      <c r="Q56" s="383"/>
      <c r="R56" s="383"/>
    </row>
    <row r="57" spans="1:18" ht="14.4">
      <c r="A57" s="375">
        <v>2018</v>
      </c>
      <c r="B57" s="381">
        <v>44.581473700535753</v>
      </c>
      <c r="C57" s="381">
        <f>+B57-B56</f>
        <v>1.191591283630153</v>
      </c>
      <c r="D57" s="371">
        <f>(B57/B56)-1</f>
        <v>2.746242251087283E-2</v>
      </c>
      <c r="E57" s="393">
        <v>43.370191925856567</v>
      </c>
      <c r="F57" s="381">
        <f>+E57-E56</f>
        <v>0.87712038285953753</v>
      </c>
      <c r="G57" s="371">
        <f>(E57/E56)-1</f>
        <v>2.0641491683462299E-2</v>
      </c>
      <c r="H57" s="381">
        <f t="shared" si="2"/>
        <v>-1.2112817746791862</v>
      </c>
      <c r="I57" s="371">
        <f t="shared" si="3"/>
        <v>-2.717007030354468E-2</v>
      </c>
      <c r="K57" s="393"/>
      <c r="L57" s="389"/>
      <c r="M57" s="381"/>
      <c r="N57" s="381"/>
      <c r="O57" s="390"/>
      <c r="P57" s="390"/>
      <c r="Q57" s="383"/>
      <c r="R57" s="383"/>
    </row>
    <row r="58" spans="1:18" ht="14.4">
      <c r="A58" s="375">
        <v>2019</v>
      </c>
      <c r="B58" s="381">
        <v>45.675672690455109</v>
      </c>
      <c r="C58" s="381">
        <f t="shared" ref="C58:C79" si="4">+B58-B57</f>
        <v>1.0941989899193558</v>
      </c>
      <c r="D58" s="371">
        <f t="shared" ref="D58:D79" si="5">(B58/B57)-1</f>
        <v>2.4543804838515371E-2</v>
      </c>
      <c r="E58" s="393">
        <v>44.191867234946642</v>
      </c>
      <c r="F58" s="381">
        <f t="shared" ref="F58:F79" si="6">+E58-E57</f>
        <v>0.82167530909007525</v>
      </c>
      <c r="G58" s="371">
        <f t="shared" ref="G58:G79" si="7">(E58/E57)-1</f>
        <v>1.8945623078974849E-2</v>
      </c>
      <c r="H58" s="381">
        <f t="shared" si="2"/>
        <v>-1.4838054555084668</v>
      </c>
      <c r="I58" s="371">
        <f t="shared" si="3"/>
        <v>-3.2485683693467271E-2</v>
      </c>
      <c r="K58" s="393"/>
      <c r="L58" s="389"/>
      <c r="M58" s="381"/>
      <c r="N58" s="381"/>
      <c r="O58" s="390"/>
      <c r="P58" s="390"/>
      <c r="Q58" s="383"/>
      <c r="R58" s="383"/>
    </row>
    <row r="59" spans="1:18" ht="14.4">
      <c r="A59" s="375">
        <v>2020</v>
      </c>
      <c r="B59" s="381">
        <v>46.575845102688881</v>
      </c>
      <c r="C59" s="381">
        <f t="shared" si="4"/>
        <v>0.90017241223377198</v>
      </c>
      <c r="D59" s="371">
        <f t="shared" si="5"/>
        <v>1.9707918005592573E-2</v>
      </c>
      <c r="E59" s="393">
        <v>45.040362923582684</v>
      </c>
      <c r="F59" s="381">
        <f t="shared" si="6"/>
        <v>0.84849568863604219</v>
      </c>
      <c r="G59" s="371">
        <f t="shared" si="7"/>
        <v>1.9200267871122056E-2</v>
      </c>
      <c r="H59" s="381">
        <f t="shared" si="2"/>
        <v>-1.5354821791061966</v>
      </c>
      <c r="I59" s="371">
        <f t="shared" si="3"/>
        <v>-3.296734982952676E-2</v>
      </c>
      <c r="K59" s="393"/>
      <c r="L59" s="388"/>
      <c r="M59" s="381"/>
      <c r="N59" s="381"/>
      <c r="O59" s="390"/>
      <c r="P59" s="390"/>
      <c r="Q59" s="383"/>
      <c r="R59" s="383"/>
    </row>
    <row r="60" spans="1:18" ht="14.4">
      <c r="A60" s="375">
        <v>2021</v>
      </c>
      <c r="B60" s="381">
        <v>47.376972862724649</v>
      </c>
      <c r="C60" s="381">
        <f t="shared" si="4"/>
        <v>0.80112776003576869</v>
      </c>
      <c r="D60" s="371">
        <f t="shared" si="5"/>
        <v>1.7200498633346717E-2</v>
      </c>
      <c r="E60" s="393">
        <v>45.765312838581245</v>
      </c>
      <c r="F60" s="381">
        <f t="shared" si="6"/>
        <v>0.72494991499856098</v>
      </c>
      <c r="G60" s="371">
        <f t="shared" si="7"/>
        <v>1.6095561135431868E-2</v>
      </c>
      <c r="H60" s="381">
        <f t="shared" si="2"/>
        <v>-1.6116600241434043</v>
      </c>
      <c r="I60" s="371">
        <f t="shared" si="3"/>
        <v>-3.4017792331587082E-2</v>
      </c>
      <c r="K60" s="393"/>
      <c r="L60" s="389"/>
      <c r="M60" s="381"/>
      <c r="N60" s="381"/>
      <c r="O60" s="390"/>
      <c r="P60" s="390"/>
      <c r="Q60" s="383"/>
      <c r="R60" s="383"/>
    </row>
    <row r="61" spans="1:18" ht="14.4">
      <c r="A61" s="375">
        <v>2022</v>
      </c>
      <c r="B61" s="381">
        <v>48.202672688920096</v>
      </c>
      <c r="C61" s="381">
        <f t="shared" si="4"/>
        <v>0.82569982619544646</v>
      </c>
      <c r="D61" s="371">
        <f t="shared" si="5"/>
        <v>1.742829430212689E-2</v>
      </c>
      <c r="E61" s="393">
        <v>46.437382049140318</v>
      </c>
      <c r="F61" s="381">
        <f t="shared" si="6"/>
        <v>0.67206921055907287</v>
      </c>
      <c r="G61" s="371">
        <f t="shared" si="7"/>
        <v>1.4685122178220933E-2</v>
      </c>
      <c r="H61" s="381">
        <f t="shared" si="2"/>
        <v>-1.7652906397797778</v>
      </c>
      <c r="I61" s="371">
        <f t="shared" si="3"/>
        <v>-3.6622256429062028E-2</v>
      </c>
      <c r="K61" s="393"/>
      <c r="L61" s="388"/>
      <c r="M61" s="381"/>
      <c r="N61" s="381"/>
      <c r="O61" s="390"/>
      <c r="P61" s="390"/>
      <c r="Q61" s="383"/>
      <c r="R61" s="383"/>
    </row>
    <row r="62" spans="1:18" ht="14.4">
      <c r="A62" s="375">
        <v>2023</v>
      </c>
      <c r="B62" s="381">
        <v>49.094713844491999</v>
      </c>
      <c r="C62" s="381">
        <f t="shared" si="4"/>
        <v>0.89204115557190278</v>
      </c>
      <c r="D62" s="371">
        <f t="shared" si="5"/>
        <v>1.8506051756274289E-2</v>
      </c>
      <c r="E62" s="393">
        <v>47.094251553962927</v>
      </c>
      <c r="F62" s="381">
        <f t="shared" si="6"/>
        <v>0.65686950482260897</v>
      </c>
      <c r="G62" s="371">
        <f t="shared" si="7"/>
        <v>1.4145274256147866E-2</v>
      </c>
      <c r="H62" s="381">
        <f t="shared" si="2"/>
        <v>-2.0004622905290717</v>
      </c>
      <c r="I62" s="371">
        <f t="shared" si="3"/>
        <v>-4.0746999704806441E-2</v>
      </c>
      <c r="K62" s="393"/>
      <c r="L62" s="389"/>
      <c r="M62" s="381"/>
      <c r="N62" s="381"/>
      <c r="O62" s="390"/>
      <c r="P62" s="390"/>
      <c r="Q62" s="383"/>
      <c r="R62" s="383"/>
    </row>
    <row r="63" spans="1:18" ht="14.4">
      <c r="A63" s="375">
        <v>2024</v>
      </c>
      <c r="B63" s="381">
        <v>49.937548512671292</v>
      </c>
      <c r="C63" s="381">
        <f t="shared" si="4"/>
        <v>0.84283466817929309</v>
      </c>
      <c r="D63" s="371">
        <f t="shared" si="5"/>
        <v>1.7167523795921902E-2</v>
      </c>
      <c r="E63" s="393">
        <v>47.744171551448495</v>
      </c>
      <c r="F63" s="381">
        <f t="shared" si="6"/>
        <v>0.6499199974855685</v>
      </c>
      <c r="G63" s="371">
        <f t="shared" si="7"/>
        <v>1.380041036942381E-2</v>
      </c>
      <c r="H63" s="381">
        <f t="shared" si="2"/>
        <v>-2.1933769612227962</v>
      </c>
      <c r="I63" s="371">
        <f t="shared" si="3"/>
        <v>-4.3922399608107399E-2</v>
      </c>
      <c r="K63" s="393"/>
      <c r="L63" s="388"/>
      <c r="M63" s="381"/>
      <c r="N63" s="381"/>
      <c r="O63" s="390"/>
      <c r="P63" s="390"/>
      <c r="Q63" s="383"/>
      <c r="R63" s="383"/>
    </row>
    <row r="64" spans="1:18" ht="14.4">
      <c r="A64" s="375">
        <v>2025</v>
      </c>
      <c r="B64" s="381">
        <v>50.782769861293779</v>
      </c>
      <c r="C64" s="381">
        <f t="shared" si="4"/>
        <v>0.84522134862248777</v>
      </c>
      <c r="D64" s="371">
        <f t="shared" si="5"/>
        <v>1.6925567509747053E-2</v>
      </c>
      <c r="E64" s="393">
        <v>48.426484762049391</v>
      </c>
      <c r="F64" s="381">
        <f t="shared" si="6"/>
        <v>0.68231321060089556</v>
      </c>
      <c r="G64" s="371">
        <f t="shared" si="7"/>
        <v>1.4291026285075281E-2</v>
      </c>
      <c r="H64" s="381">
        <f t="shared" si="2"/>
        <v>-2.3562850992443884</v>
      </c>
      <c r="I64" s="371">
        <f t="shared" si="3"/>
        <v>-4.6399302473659088E-2</v>
      </c>
      <c r="K64" s="393"/>
      <c r="L64" s="389"/>
      <c r="M64" s="381"/>
      <c r="N64" s="381"/>
      <c r="O64" s="390"/>
      <c r="P64" s="390"/>
      <c r="Q64" s="383"/>
      <c r="R64" s="383"/>
    </row>
    <row r="65" spans="1:18" ht="14.4">
      <c r="A65" s="375">
        <v>2026</v>
      </c>
      <c r="B65" s="381">
        <v>51.67971372676535</v>
      </c>
      <c r="C65" s="381">
        <f t="shared" si="4"/>
        <v>0.89694386547157023</v>
      </c>
      <c r="D65" s="371">
        <f t="shared" si="5"/>
        <v>1.7662365954465464E-2</v>
      </c>
      <c r="E65" s="393">
        <v>49.238479821299102</v>
      </c>
      <c r="F65" s="381">
        <f t="shared" si="6"/>
        <v>0.81199505924971049</v>
      </c>
      <c r="G65" s="371">
        <f t="shared" si="7"/>
        <v>1.6767582103874856E-2</v>
      </c>
      <c r="H65" s="381">
        <f t="shared" si="2"/>
        <v>-2.4412339054662482</v>
      </c>
      <c r="I65" s="371">
        <f t="shared" si="3"/>
        <v>-4.7237759836930238E-2</v>
      </c>
      <c r="K65" s="393"/>
      <c r="L65" s="388"/>
      <c r="M65" s="381"/>
      <c r="N65" s="381"/>
      <c r="O65" s="390"/>
      <c r="P65" s="390"/>
      <c r="Q65" s="383"/>
      <c r="R65" s="383"/>
    </row>
    <row r="66" spans="1:18" ht="14.4">
      <c r="A66" s="375">
        <v>2027</v>
      </c>
      <c r="B66" s="381">
        <v>52.588184950345145</v>
      </c>
      <c r="C66" s="381">
        <f t="shared" si="4"/>
        <v>0.90847122357979515</v>
      </c>
      <c r="D66" s="371">
        <f t="shared" si="5"/>
        <v>1.7578874921462484E-2</v>
      </c>
      <c r="E66" s="393">
        <v>50.104273120779418</v>
      </c>
      <c r="F66" s="381">
        <f t="shared" si="6"/>
        <v>0.86579329948031614</v>
      </c>
      <c r="G66" s="371">
        <f t="shared" si="7"/>
        <v>1.75836724168279E-2</v>
      </c>
      <c r="H66" s="381">
        <f t="shared" si="2"/>
        <v>-2.4839118295657272</v>
      </c>
      <c r="I66" s="371">
        <f t="shared" si="3"/>
        <v>-4.7233267927217604E-2</v>
      </c>
      <c r="K66" s="393"/>
      <c r="L66" s="389"/>
      <c r="M66" s="381"/>
      <c r="N66" s="381"/>
      <c r="O66" s="390"/>
      <c r="P66" s="390"/>
      <c r="Q66" s="383"/>
      <c r="R66" s="383"/>
    </row>
    <row r="67" spans="1:18" ht="14.4">
      <c r="A67" s="375">
        <v>2028</v>
      </c>
      <c r="B67" s="381">
        <v>53.429083619491315</v>
      </c>
      <c r="C67" s="381">
        <f t="shared" si="4"/>
        <v>0.84089866914617062</v>
      </c>
      <c r="D67" s="371">
        <f t="shared" si="5"/>
        <v>1.599025845710722E-2</v>
      </c>
      <c r="E67" s="393">
        <v>50.846624700821501</v>
      </c>
      <c r="F67" s="381">
        <f t="shared" si="6"/>
        <v>0.74235158004208301</v>
      </c>
      <c r="G67" s="371">
        <f t="shared" si="7"/>
        <v>1.4816133112091956E-2</v>
      </c>
      <c r="H67" s="381">
        <f t="shared" si="2"/>
        <v>-2.5824589186698148</v>
      </c>
      <c r="I67" s="371">
        <f t="shared" si="3"/>
        <v>-4.8334329240258822E-2</v>
      </c>
      <c r="K67" s="393"/>
      <c r="L67" s="388"/>
      <c r="M67" s="381"/>
      <c r="N67" s="381"/>
      <c r="O67" s="390"/>
      <c r="P67" s="390"/>
      <c r="Q67" s="383"/>
      <c r="R67" s="383"/>
    </row>
    <row r="68" spans="1:18" ht="14.4">
      <c r="A68" s="375">
        <v>2029</v>
      </c>
      <c r="B68" s="381">
        <v>54.247804190746869</v>
      </c>
      <c r="C68" s="381">
        <f t="shared" si="4"/>
        <v>0.81872057125555386</v>
      </c>
      <c r="D68" s="371">
        <f t="shared" si="5"/>
        <v>1.5323500157447656E-2</v>
      </c>
      <c r="E68" s="393">
        <v>51.592453798745616</v>
      </c>
      <c r="F68" s="381">
        <f t="shared" si="6"/>
        <v>0.74582909792411556</v>
      </c>
      <c r="G68" s="371">
        <f t="shared" si="7"/>
        <v>1.4668212537459979E-2</v>
      </c>
      <c r="H68" s="381">
        <f t="shared" si="2"/>
        <v>-2.6553503920012531</v>
      </c>
      <c r="I68" s="371">
        <f t="shared" si="3"/>
        <v>-4.8948532233018538E-2</v>
      </c>
      <c r="K68" s="393"/>
      <c r="L68" s="389"/>
      <c r="M68" s="381"/>
      <c r="N68" s="381"/>
      <c r="O68" s="390"/>
      <c r="P68" s="390"/>
      <c r="Q68" s="383"/>
      <c r="R68" s="383"/>
    </row>
    <row r="69" spans="1:18" ht="14.4">
      <c r="A69" s="375">
        <v>2030</v>
      </c>
      <c r="B69" s="381">
        <v>55.075297574301338</v>
      </c>
      <c r="C69" s="381">
        <f t="shared" si="4"/>
        <v>0.82749338355446866</v>
      </c>
      <c r="D69" s="371">
        <f t="shared" si="5"/>
        <v>1.5253951674151223E-2</v>
      </c>
      <c r="E69" s="393">
        <v>52.334855719911324</v>
      </c>
      <c r="F69" s="381">
        <f t="shared" si="6"/>
        <v>0.74240192116570825</v>
      </c>
      <c r="G69" s="371">
        <f t="shared" si="7"/>
        <v>1.4389738547069486E-2</v>
      </c>
      <c r="H69" s="381">
        <f t="shared" si="2"/>
        <v>-2.7404418543900135</v>
      </c>
      <c r="I69" s="371">
        <f t="shared" si="3"/>
        <v>-4.975809437421419E-2</v>
      </c>
      <c r="K69" s="393"/>
      <c r="L69" s="388"/>
      <c r="M69" s="381"/>
      <c r="N69" s="381"/>
      <c r="O69" s="390"/>
      <c r="P69" s="390"/>
      <c r="Q69" s="383"/>
      <c r="R69" s="383"/>
    </row>
    <row r="70" spans="1:18" ht="14.4">
      <c r="A70" s="375">
        <v>2031</v>
      </c>
      <c r="B70" s="381">
        <v>55.954312477598876</v>
      </c>
      <c r="C70" s="381">
        <f t="shared" si="4"/>
        <v>0.87901490329753784</v>
      </c>
      <c r="D70" s="371">
        <f t="shared" si="5"/>
        <v>1.5960238836870033E-2</v>
      </c>
      <c r="E70" s="393">
        <v>53.158649271868207</v>
      </c>
      <c r="F70" s="381">
        <f t="shared" si="6"/>
        <v>0.8237935519568822</v>
      </c>
      <c r="G70" s="371">
        <f t="shared" si="7"/>
        <v>1.5740820159430902E-2</v>
      </c>
      <c r="H70" s="381">
        <f t="shared" si="2"/>
        <v>-2.7956632057306692</v>
      </c>
      <c r="I70" s="371">
        <f t="shared" si="3"/>
        <v>-4.9963319750374935E-2</v>
      </c>
      <c r="K70" s="393"/>
      <c r="L70" s="389"/>
      <c r="M70" s="381"/>
      <c r="N70" s="381"/>
      <c r="O70" s="390"/>
      <c r="P70" s="390"/>
      <c r="Q70" s="383"/>
      <c r="R70" s="383"/>
    </row>
    <row r="71" spans="1:18" ht="14.4">
      <c r="A71" s="375">
        <v>2032</v>
      </c>
      <c r="B71" s="381">
        <v>56.908047962148608</v>
      </c>
      <c r="C71" s="381">
        <f t="shared" si="4"/>
        <v>0.95373548454973189</v>
      </c>
      <c r="D71" s="371">
        <f t="shared" si="5"/>
        <v>1.704489685100774E-2</v>
      </c>
      <c r="E71" s="393">
        <v>54.058057729807793</v>
      </c>
      <c r="F71" s="381">
        <f t="shared" si="6"/>
        <v>0.89940845793958601</v>
      </c>
      <c r="G71" s="371">
        <f t="shared" si="7"/>
        <v>1.6919324893673648E-2</v>
      </c>
      <c r="H71" s="381">
        <f t="shared" si="2"/>
        <v>-2.8499902323408151</v>
      </c>
      <c r="I71" s="371">
        <f t="shared" si="3"/>
        <v>-5.0080618372930985E-2</v>
      </c>
      <c r="K71" s="393"/>
      <c r="L71" s="388"/>
      <c r="M71" s="381"/>
      <c r="N71" s="381"/>
      <c r="O71" s="390"/>
      <c r="P71" s="390"/>
      <c r="Q71" s="383"/>
      <c r="R71" s="383"/>
    </row>
    <row r="72" spans="1:18" ht="14.4">
      <c r="A72" s="375">
        <v>2033</v>
      </c>
      <c r="B72" s="381">
        <v>57.810909617416307</v>
      </c>
      <c r="C72" s="381">
        <f t="shared" si="4"/>
        <v>0.90286165526769935</v>
      </c>
      <c r="D72" s="371">
        <f t="shared" si="5"/>
        <v>1.5865271918450219E-2</v>
      </c>
      <c r="E72" s="393">
        <v>54.927060521682563</v>
      </c>
      <c r="F72" s="381">
        <f t="shared" si="6"/>
        <v>0.86900279187477025</v>
      </c>
      <c r="G72" s="371">
        <f t="shared" si="7"/>
        <v>1.6075360979822984E-2</v>
      </c>
      <c r="H72" s="381">
        <f t="shared" si="2"/>
        <v>-2.8838490957337442</v>
      </c>
      <c r="I72" s="371">
        <f t="shared" si="3"/>
        <v>-4.9884167448992156E-2</v>
      </c>
      <c r="K72" s="393"/>
      <c r="L72" s="389"/>
      <c r="M72" s="381"/>
      <c r="N72" s="381"/>
      <c r="O72" s="390"/>
      <c r="P72" s="390"/>
      <c r="Q72" s="383"/>
      <c r="R72" s="383"/>
    </row>
    <row r="73" spans="1:18" ht="14.4">
      <c r="A73" s="375">
        <v>2034</v>
      </c>
      <c r="B73" s="381">
        <v>58.689393165290021</v>
      </c>
      <c r="C73" s="381">
        <f t="shared" si="4"/>
        <v>0.87848354787371363</v>
      </c>
      <c r="D73" s="371">
        <f t="shared" si="5"/>
        <v>1.5195809124737503E-2</v>
      </c>
      <c r="E73" s="393">
        <v>55.741483963017821</v>
      </c>
      <c r="F73" s="381">
        <f t="shared" si="6"/>
        <v>0.81442344133525779</v>
      </c>
      <c r="G73" s="371">
        <f t="shared" si="7"/>
        <v>1.4827362571382618E-2</v>
      </c>
      <c r="H73" s="381">
        <f t="shared" si="2"/>
        <v>-2.9479092022722</v>
      </c>
      <c r="I73" s="371">
        <f t="shared" si="3"/>
        <v>-5.022899442783213E-2</v>
      </c>
      <c r="K73" s="393"/>
      <c r="L73" s="388"/>
      <c r="M73" s="381"/>
      <c r="N73" s="381"/>
      <c r="O73" s="390"/>
      <c r="P73" s="390"/>
      <c r="Q73" s="383"/>
      <c r="R73" s="383"/>
    </row>
    <row r="74" spans="1:18" ht="14.4">
      <c r="A74" s="375">
        <v>2035</v>
      </c>
      <c r="B74" s="381">
        <v>59.579700268570519</v>
      </c>
      <c r="C74" s="381">
        <f t="shared" si="4"/>
        <v>0.89030710328049878</v>
      </c>
      <c r="D74" s="371">
        <f t="shared" si="5"/>
        <v>1.5169812725326359E-2</v>
      </c>
      <c r="E74" s="393">
        <v>56.576332780616575</v>
      </c>
      <c r="F74" s="381">
        <f t="shared" si="6"/>
        <v>0.83484881759875407</v>
      </c>
      <c r="G74" s="371">
        <f t="shared" si="7"/>
        <v>1.4977154504042911E-2</v>
      </c>
      <c r="H74" s="381">
        <f t="shared" si="2"/>
        <v>-3.0033674879539447</v>
      </c>
      <c r="I74" s="371">
        <f t="shared" si="3"/>
        <v>-5.0409241308961072E-2</v>
      </c>
      <c r="K74" s="393"/>
      <c r="L74" s="389"/>
      <c r="M74" s="381"/>
      <c r="N74" s="381"/>
      <c r="O74" s="390"/>
      <c r="P74" s="390"/>
      <c r="Q74" s="383"/>
      <c r="R74" s="383"/>
    </row>
    <row r="75" spans="1:18" ht="14.4">
      <c r="A75" s="375">
        <v>2036</v>
      </c>
      <c r="B75" s="381">
        <v>60.499791886035858</v>
      </c>
      <c r="C75" s="381">
        <f t="shared" si="4"/>
        <v>0.92009161746533863</v>
      </c>
      <c r="D75" s="371">
        <f t="shared" si="5"/>
        <v>1.5443038708113477E-2</v>
      </c>
      <c r="E75" s="393">
        <v>57.406956032751054</v>
      </c>
      <c r="F75" s="381">
        <f t="shared" si="6"/>
        <v>0.83062325213447963</v>
      </c>
      <c r="G75" s="371">
        <f t="shared" si="7"/>
        <v>1.468146151068761E-2</v>
      </c>
      <c r="H75" s="381">
        <f t="shared" si="2"/>
        <v>-3.0928358532848037</v>
      </c>
      <c r="I75" s="371">
        <f t="shared" si="3"/>
        <v>-5.1121429625920256E-2</v>
      </c>
      <c r="K75" s="393"/>
      <c r="L75" s="388"/>
      <c r="M75" s="381"/>
      <c r="N75" s="381"/>
      <c r="O75" s="390"/>
      <c r="P75" s="390"/>
      <c r="Q75" s="383"/>
      <c r="R75" s="383"/>
    </row>
    <row r="76" spans="1:18" ht="14.4">
      <c r="A76" s="375">
        <v>2037</v>
      </c>
      <c r="B76" s="381">
        <v>61.368765133925081</v>
      </c>
      <c r="C76" s="381">
        <f t="shared" si="4"/>
        <v>0.86897324788922248</v>
      </c>
      <c r="D76" s="371">
        <f t="shared" si="5"/>
        <v>1.4363243588112029E-2</v>
      </c>
      <c r="E76" s="393">
        <v>58.192034900183025</v>
      </c>
      <c r="F76" s="381">
        <f t="shared" si="6"/>
        <v>0.7850788674319702</v>
      </c>
      <c r="G76" s="371">
        <f t="shared" si="7"/>
        <v>1.3675674895287537E-2</v>
      </c>
      <c r="H76" s="381">
        <f t="shared" si="2"/>
        <v>-3.176730233742056</v>
      </c>
      <c r="I76" s="371">
        <f t="shared" si="3"/>
        <v>-5.1764610658361354E-2</v>
      </c>
      <c r="K76" s="393"/>
      <c r="L76" s="389"/>
      <c r="M76" s="381"/>
      <c r="N76" s="381"/>
      <c r="O76" s="390"/>
      <c r="P76" s="390"/>
      <c r="Q76" s="383"/>
      <c r="R76" s="383"/>
    </row>
    <row r="77" spans="1:18" ht="14.4">
      <c r="A77" s="375">
        <v>2038</v>
      </c>
      <c r="B77" s="381">
        <v>62.317253323716415</v>
      </c>
      <c r="C77" s="381">
        <f t="shared" si="4"/>
        <v>0.94848818979133398</v>
      </c>
      <c r="D77" s="371">
        <f t="shared" si="5"/>
        <v>1.5455552799888528E-2</v>
      </c>
      <c r="E77" s="393">
        <v>59.03934814324731</v>
      </c>
      <c r="F77" s="381">
        <f t="shared" si="6"/>
        <v>0.8473132430642849</v>
      </c>
      <c r="G77" s="371">
        <f t="shared" si="7"/>
        <v>1.456063951909714E-2</v>
      </c>
      <c r="H77" s="381">
        <f t="shared" si="2"/>
        <v>-3.2779051804691051</v>
      </c>
      <c r="I77" s="371">
        <f t="shared" si="3"/>
        <v>-5.2600283318674723E-2</v>
      </c>
      <c r="K77" s="393"/>
      <c r="L77" s="388"/>
      <c r="M77" s="381"/>
      <c r="N77" s="381"/>
      <c r="O77" s="390"/>
      <c r="P77" s="390"/>
      <c r="Q77" s="383"/>
      <c r="R77" s="383"/>
    </row>
    <row r="78" spans="1:18" ht="14.4">
      <c r="A78" s="375">
        <v>2039</v>
      </c>
      <c r="B78" s="381">
        <v>63.266808512553901</v>
      </c>
      <c r="C78" s="381">
        <f t="shared" si="4"/>
        <v>0.94955518883748624</v>
      </c>
      <c r="D78" s="371">
        <f t="shared" si="5"/>
        <v>1.5237436475334931E-2</v>
      </c>
      <c r="E78" s="393">
        <v>59.940300055356722</v>
      </c>
      <c r="F78" s="381">
        <f t="shared" si="6"/>
        <v>0.90095191210941294</v>
      </c>
      <c r="G78" s="371">
        <f t="shared" si="7"/>
        <v>1.526019409840762E-2</v>
      </c>
      <c r="H78" s="381">
        <f t="shared" si="2"/>
        <v>-3.3265084571971784</v>
      </c>
      <c r="I78" s="371">
        <f t="shared" si="3"/>
        <v>-5.2579046349984671E-2</v>
      </c>
      <c r="K78" s="393"/>
      <c r="L78" s="389"/>
      <c r="M78" s="381"/>
      <c r="N78" s="381"/>
      <c r="O78" s="390"/>
      <c r="P78" s="390"/>
      <c r="Q78" s="383"/>
      <c r="R78" s="383"/>
    </row>
    <row r="79" spans="1:18" ht="14.4">
      <c r="A79" s="375">
        <v>2040</v>
      </c>
      <c r="B79" s="381">
        <v>64.238332664515994</v>
      </c>
      <c r="C79" s="381">
        <f t="shared" si="4"/>
        <v>0.97152415196209319</v>
      </c>
      <c r="D79" s="371">
        <f t="shared" si="5"/>
        <v>1.5355984833173908E-2</v>
      </c>
      <c r="E79" s="393">
        <v>60.857412679871459</v>
      </c>
      <c r="F79" s="381">
        <f t="shared" si="6"/>
        <v>0.9171126245147363</v>
      </c>
      <c r="G79" s="371">
        <f t="shared" si="7"/>
        <v>1.5300434326617651E-2</v>
      </c>
      <c r="H79" s="381">
        <f t="shared" si="2"/>
        <v>-3.3809199846445352</v>
      </c>
      <c r="I79" s="371">
        <f t="shared" si="3"/>
        <v>-5.2630880105518196E-2</v>
      </c>
      <c r="K79" s="393"/>
      <c r="L79" s="388"/>
      <c r="M79" s="381"/>
      <c r="N79" s="381"/>
      <c r="O79" s="390"/>
      <c r="P79" s="390"/>
      <c r="Q79" s="383"/>
      <c r="R79" s="383"/>
    </row>
    <row r="80" spans="1:18" ht="14.4">
      <c r="B80" s="381"/>
      <c r="C80" s="381"/>
      <c r="D80" s="371"/>
      <c r="E80" s="393"/>
      <c r="F80" s="381"/>
      <c r="G80" s="371"/>
      <c r="H80" s="381"/>
      <c r="I80" s="371"/>
      <c r="K80" s="393"/>
      <c r="L80" s="389"/>
      <c r="M80" s="381"/>
      <c r="N80" s="381"/>
      <c r="O80" s="390"/>
      <c r="P80" s="390"/>
      <c r="Q80" s="383"/>
      <c r="R80" s="383"/>
    </row>
    <row r="81" spans="2:18" ht="14.4">
      <c r="B81" s="399"/>
      <c r="E81" s="383"/>
      <c r="L81" s="192"/>
      <c r="N81" s="381"/>
      <c r="O81" s="192"/>
      <c r="Q81" s="383"/>
      <c r="R81" s="383"/>
    </row>
    <row r="82" spans="2:18">
      <c r="B82" s="399"/>
      <c r="E82" s="383"/>
      <c r="Q82" s="383"/>
      <c r="R82" s="383"/>
    </row>
    <row r="83" spans="2:18">
      <c r="B83" s="399"/>
    </row>
    <row r="84" spans="2:18">
      <c r="B84" s="399"/>
    </row>
  </sheetData>
  <mergeCells count="9">
    <mergeCell ref="A4:I4"/>
    <mergeCell ref="B6:H6"/>
    <mergeCell ref="B13:H13"/>
    <mergeCell ref="M37:N37"/>
    <mergeCell ref="O37:P37"/>
    <mergeCell ref="A51:I51"/>
    <mergeCell ref="C53:D53"/>
    <mergeCell ref="F53:G53"/>
    <mergeCell ref="H53:I53"/>
  </mergeCells>
  <printOptions horizontalCentered="1"/>
  <pageMargins left="0.43" right="0.24" top="0.23" bottom="0.18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27"/>
  <sheetViews>
    <sheetView workbookViewId="0">
      <pane ySplit="16" topLeftCell="A17" activePane="bottomLeft" state="frozen"/>
      <selection activeCell="A25" sqref="A1:XFD1048576"/>
      <selection pane="bottomLeft" activeCell="A2" sqref="A1:A2"/>
    </sheetView>
  </sheetViews>
  <sheetFormatPr defaultColWidth="9.109375" defaultRowHeight="14.4"/>
  <cols>
    <col min="1" max="1" width="20" style="42" customWidth="1"/>
    <col min="2" max="255" width="8" style="42" customWidth="1"/>
    <col min="256" max="16384" width="9.109375" style="42"/>
  </cols>
  <sheetData>
    <row r="1" spans="1:13" s="417" customFormat="1">
      <c r="A1" s="453" t="s">
        <v>303</v>
      </c>
    </row>
    <row r="2" spans="1:13" s="417" customFormat="1">
      <c r="A2" s="453" t="s">
        <v>290</v>
      </c>
    </row>
    <row r="3" spans="1:13" s="417" customFormat="1"/>
    <row r="4" spans="1:13" ht="15.6">
      <c r="A4" s="433" t="s">
        <v>49</v>
      </c>
      <c r="B4" s="432"/>
      <c r="C4" s="432"/>
      <c r="D4" s="432"/>
      <c r="E4" s="432"/>
      <c r="F4" s="432"/>
    </row>
    <row r="5" spans="1:13" ht="15.6">
      <c r="A5" s="433" t="s">
        <v>50</v>
      </c>
      <c r="B5" s="432"/>
      <c r="C5" s="432"/>
      <c r="D5" s="432"/>
      <c r="E5" s="432"/>
      <c r="F5" s="432"/>
    </row>
    <row r="6" spans="1:13">
      <c r="A6" s="432"/>
      <c r="B6" s="432"/>
      <c r="C6" s="432"/>
      <c r="D6" s="432"/>
      <c r="E6" s="432"/>
      <c r="F6" s="432"/>
    </row>
    <row r="7" spans="1:13">
      <c r="A7" s="43" t="s">
        <v>51</v>
      </c>
      <c r="B7" s="431" t="s">
        <v>52</v>
      </c>
      <c r="C7" s="432"/>
      <c r="D7" s="432"/>
      <c r="E7" s="432"/>
      <c r="F7" s="432"/>
    </row>
    <row r="8" spans="1:13">
      <c r="A8" s="434" t="s">
        <v>53</v>
      </c>
      <c r="B8" s="432"/>
      <c r="C8" s="432"/>
      <c r="D8" s="432"/>
      <c r="E8" s="432"/>
      <c r="F8" s="432"/>
    </row>
    <row r="9" spans="1:13">
      <c r="A9" s="43" t="s">
        <v>54</v>
      </c>
      <c r="B9" s="431" t="s">
        <v>55</v>
      </c>
      <c r="C9" s="432"/>
      <c r="D9" s="432"/>
      <c r="E9" s="432"/>
      <c r="F9" s="432"/>
    </row>
    <row r="10" spans="1:13">
      <c r="A10" s="43" t="s">
        <v>56</v>
      </c>
      <c r="B10" s="431" t="s">
        <v>57</v>
      </c>
      <c r="C10" s="432"/>
      <c r="D10" s="432"/>
      <c r="E10" s="432"/>
      <c r="F10" s="432"/>
    </row>
    <row r="11" spans="1:13">
      <c r="A11" s="43" t="s">
        <v>58</v>
      </c>
      <c r="B11" s="431" t="s">
        <v>59</v>
      </c>
      <c r="C11" s="432"/>
      <c r="D11" s="432"/>
      <c r="E11" s="432"/>
      <c r="F11" s="432"/>
    </row>
    <row r="12" spans="1:13">
      <c r="A12" s="43" t="s">
        <v>60</v>
      </c>
      <c r="B12" s="431" t="s">
        <v>59</v>
      </c>
      <c r="C12" s="432"/>
      <c r="D12" s="432"/>
      <c r="E12" s="432"/>
      <c r="F12" s="432"/>
    </row>
    <row r="13" spans="1:13">
      <c r="A13" s="43" t="s">
        <v>61</v>
      </c>
      <c r="B13" s="431" t="s">
        <v>62</v>
      </c>
      <c r="C13" s="432"/>
      <c r="D13" s="432"/>
      <c r="E13" s="432"/>
      <c r="F13" s="432"/>
    </row>
    <row r="14" spans="1:13">
      <c r="A14" s="43" t="s">
        <v>63</v>
      </c>
      <c r="B14" s="435" t="s">
        <v>64</v>
      </c>
      <c r="C14" s="432"/>
      <c r="D14" s="432"/>
      <c r="E14" s="432"/>
      <c r="F14" s="432"/>
    </row>
    <row r="16" spans="1:13" ht="15" thickBot="1">
      <c r="A16" s="44" t="s">
        <v>65</v>
      </c>
      <c r="B16" s="44" t="s">
        <v>66</v>
      </c>
      <c r="C16" s="44" t="s">
        <v>67</v>
      </c>
      <c r="D16" s="44" t="s">
        <v>68</v>
      </c>
      <c r="E16" s="44" t="s">
        <v>69</v>
      </c>
      <c r="F16" s="44" t="s">
        <v>70</v>
      </c>
      <c r="G16" s="44" t="s">
        <v>71</v>
      </c>
      <c r="H16" s="44" t="s">
        <v>72</v>
      </c>
      <c r="I16" s="44" t="s">
        <v>73</v>
      </c>
      <c r="J16" s="44" t="s">
        <v>74</v>
      </c>
      <c r="K16" s="44" t="s">
        <v>75</v>
      </c>
      <c r="L16" s="44" t="s">
        <v>76</v>
      </c>
      <c r="M16" s="44" t="s">
        <v>77</v>
      </c>
    </row>
    <row r="17" spans="1:14" ht="15" thickTop="1">
      <c r="A17" s="45">
        <v>2005</v>
      </c>
      <c r="B17" s="46">
        <v>7645.5</v>
      </c>
      <c r="C17" s="46">
        <v>7668.7</v>
      </c>
      <c r="D17" s="46">
        <v>7668.1</v>
      </c>
      <c r="E17" s="46">
        <v>7713.4</v>
      </c>
      <c r="F17" s="46">
        <v>7752.1</v>
      </c>
      <c r="G17" s="46">
        <v>7752.1</v>
      </c>
      <c r="H17" s="46">
        <v>7810.5</v>
      </c>
      <c r="I17" s="46">
        <v>7840.8</v>
      </c>
      <c r="J17" s="46">
        <v>7870.8</v>
      </c>
      <c r="K17" s="46">
        <v>7870.8</v>
      </c>
      <c r="L17" s="46">
        <v>7880.1</v>
      </c>
      <c r="M17" s="46">
        <v>7898.5</v>
      </c>
      <c r="N17" s="47">
        <f t="shared" ref="N17:N25" si="0">AVERAGE(B17:M17)</f>
        <v>7780.9500000000007</v>
      </c>
    </row>
    <row r="18" spans="1:14">
      <c r="A18" s="45">
        <v>2006</v>
      </c>
      <c r="B18" s="46">
        <v>7906.2</v>
      </c>
      <c r="C18" s="46">
        <v>7920.2</v>
      </c>
      <c r="D18" s="46">
        <v>7949.9</v>
      </c>
      <c r="E18" s="46">
        <v>7960.1</v>
      </c>
      <c r="F18" s="46">
        <v>7976</v>
      </c>
      <c r="G18" s="46">
        <v>7989.6</v>
      </c>
      <c r="H18" s="46">
        <v>7995.9</v>
      </c>
      <c r="I18" s="46">
        <v>8017.3</v>
      </c>
      <c r="J18" s="46">
        <v>8020.7</v>
      </c>
      <c r="K18" s="46">
        <v>8016</v>
      </c>
      <c r="L18" s="46">
        <v>8022.5</v>
      </c>
      <c r="M18" s="46">
        <v>8033.7</v>
      </c>
      <c r="N18" s="47">
        <f t="shared" si="0"/>
        <v>7984.0083333333341</v>
      </c>
    </row>
    <row r="19" spans="1:14">
      <c r="A19" s="45">
        <v>2007</v>
      </c>
      <c r="B19" s="46">
        <v>8037.7</v>
      </c>
      <c r="C19" s="46">
        <v>8040.4</v>
      </c>
      <c r="D19" s="46">
        <v>8053.3</v>
      </c>
      <c r="E19" s="46">
        <v>8038.1</v>
      </c>
      <c r="F19" s="46">
        <v>8029.1</v>
      </c>
      <c r="G19" s="46">
        <v>8026.9</v>
      </c>
      <c r="H19" s="46">
        <v>7995.1</v>
      </c>
      <c r="I19" s="46">
        <v>7983.3</v>
      </c>
      <c r="J19" s="46">
        <v>7965.2</v>
      </c>
      <c r="K19" s="46">
        <v>7947.1</v>
      </c>
      <c r="L19" s="46">
        <v>7942</v>
      </c>
      <c r="M19" s="46">
        <v>7931.8</v>
      </c>
      <c r="N19" s="47">
        <f t="shared" si="0"/>
        <v>7999.1666666666679</v>
      </c>
    </row>
    <row r="20" spans="1:14">
      <c r="A20" s="45">
        <v>2008</v>
      </c>
      <c r="B20" s="46">
        <v>7896.2</v>
      </c>
      <c r="C20" s="46">
        <v>7889.2</v>
      </c>
      <c r="D20" s="46">
        <v>7861.3</v>
      </c>
      <c r="E20" s="46">
        <v>7808.2</v>
      </c>
      <c r="F20" s="46">
        <v>7773.3</v>
      </c>
      <c r="G20" s="46">
        <v>7742.7</v>
      </c>
      <c r="H20" s="46">
        <v>7703.4</v>
      </c>
      <c r="I20" s="46">
        <v>7668.4</v>
      </c>
      <c r="J20" s="46">
        <v>7636.1</v>
      </c>
      <c r="K20" s="46">
        <v>7581.1</v>
      </c>
      <c r="L20" s="46">
        <v>7533.8</v>
      </c>
      <c r="M20" s="46">
        <v>7486.7</v>
      </c>
      <c r="N20" s="47">
        <f t="shared" si="0"/>
        <v>7715.0333333333338</v>
      </c>
    </row>
    <row r="21" spans="1:14">
      <c r="A21" s="45">
        <v>2009</v>
      </c>
      <c r="B21" s="46">
        <v>7417.2</v>
      </c>
      <c r="C21" s="46">
        <v>7360.4</v>
      </c>
      <c r="D21" s="46">
        <v>7311.8</v>
      </c>
      <c r="E21" s="46">
        <v>7265.3</v>
      </c>
      <c r="F21" s="46">
        <v>7244.9</v>
      </c>
      <c r="G21" s="46">
        <v>7221.1</v>
      </c>
      <c r="H21" s="46">
        <v>7193.8</v>
      </c>
      <c r="I21" s="46">
        <v>7173.8</v>
      </c>
      <c r="J21" s="46">
        <v>7155</v>
      </c>
      <c r="K21" s="46">
        <v>7150.5</v>
      </c>
      <c r="L21" s="46">
        <v>7145.4</v>
      </c>
      <c r="M21" s="46">
        <v>7128</v>
      </c>
      <c r="N21" s="47">
        <f t="shared" si="0"/>
        <v>7230.5999999999995</v>
      </c>
    </row>
    <row r="22" spans="1:14">
      <c r="A22" s="45">
        <v>2010</v>
      </c>
      <c r="B22" s="46">
        <v>7129.8</v>
      </c>
      <c r="C22" s="46">
        <v>7129.3</v>
      </c>
      <c r="D22" s="46">
        <v>7136.2</v>
      </c>
      <c r="E22" s="46">
        <v>7155</v>
      </c>
      <c r="F22" s="46">
        <v>7198.3</v>
      </c>
      <c r="G22" s="46">
        <v>7185.6</v>
      </c>
      <c r="H22" s="46">
        <v>7189.4</v>
      </c>
      <c r="I22" s="46">
        <v>7188.6</v>
      </c>
      <c r="J22" s="46">
        <v>7168.2</v>
      </c>
      <c r="K22" s="46">
        <v>7194.8</v>
      </c>
      <c r="L22" s="46">
        <v>7196.2</v>
      </c>
      <c r="M22" s="46">
        <v>7200.3</v>
      </c>
      <c r="N22" s="47">
        <f t="shared" si="0"/>
        <v>7172.6416666666664</v>
      </c>
    </row>
    <row r="23" spans="1:14">
      <c r="A23" s="45">
        <v>2011</v>
      </c>
      <c r="B23" s="46">
        <v>7210.9</v>
      </c>
      <c r="C23" s="46">
        <v>7209.5</v>
      </c>
      <c r="D23" s="46">
        <v>7216.5</v>
      </c>
      <c r="E23" s="46">
        <v>7244.9</v>
      </c>
      <c r="F23" s="46">
        <v>7238.9</v>
      </c>
      <c r="G23" s="46">
        <v>7232.9</v>
      </c>
      <c r="H23" s="46">
        <v>7257.3</v>
      </c>
      <c r="I23" s="46">
        <v>7259</v>
      </c>
      <c r="J23" s="46">
        <v>7277.9</v>
      </c>
      <c r="K23" s="46">
        <v>7277.3</v>
      </c>
      <c r="L23" s="46">
        <v>7290.9</v>
      </c>
      <c r="M23" s="46">
        <v>7303.3</v>
      </c>
      <c r="N23" s="47">
        <f t="shared" si="0"/>
        <v>7251.6083333333336</v>
      </c>
    </row>
    <row r="24" spans="1:14">
      <c r="A24" s="45">
        <v>2012</v>
      </c>
      <c r="B24" s="46">
        <v>7322.1</v>
      </c>
      <c r="C24" s="46">
        <v>7333.3</v>
      </c>
      <c r="D24" s="46">
        <v>7352</v>
      </c>
      <c r="E24" s="46">
        <v>7373.2</v>
      </c>
      <c r="F24" s="46">
        <v>7375.5</v>
      </c>
      <c r="G24" s="46">
        <v>7391</v>
      </c>
      <c r="H24" s="46">
        <v>7396.2</v>
      </c>
      <c r="I24" s="46">
        <v>7405.8</v>
      </c>
      <c r="J24" s="46">
        <v>7423.1</v>
      </c>
      <c r="K24" s="46">
        <v>7448.3</v>
      </c>
      <c r="L24" s="46">
        <v>7460.2</v>
      </c>
      <c r="M24" s="46">
        <v>7472.6</v>
      </c>
      <c r="N24" s="47">
        <f t="shared" si="0"/>
        <v>7396.1083333333345</v>
      </c>
    </row>
    <row r="25" spans="1:14">
      <c r="A25" s="45">
        <v>2013</v>
      </c>
      <c r="B25" s="46">
        <v>7485.1</v>
      </c>
      <c r="C25" s="46">
        <v>7509.4</v>
      </c>
      <c r="D25" s="46">
        <v>7521.4</v>
      </c>
      <c r="E25" s="46">
        <v>7530.8</v>
      </c>
      <c r="F25" s="46">
        <v>7548.3</v>
      </c>
      <c r="G25" s="46">
        <v>7570.6</v>
      </c>
      <c r="H25" s="46">
        <v>7588.8</v>
      </c>
      <c r="I25" s="46">
        <v>7609</v>
      </c>
      <c r="J25" s="46">
        <v>7624.3</v>
      </c>
      <c r="K25" s="46">
        <v>7643.7</v>
      </c>
      <c r="L25" s="46">
        <v>7667.9</v>
      </c>
      <c r="M25" s="46">
        <v>7686.1</v>
      </c>
      <c r="N25" s="47">
        <f t="shared" si="0"/>
        <v>7582.1166666666659</v>
      </c>
    </row>
    <row r="26" spans="1:14">
      <c r="A26" s="45">
        <v>2014</v>
      </c>
      <c r="B26" s="46">
        <v>7705.5</v>
      </c>
      <c r="C26" s="46">
        <v>7723.6</v>
      </c>
      <c r="D26" s="46">
        <v>7738.8</v>
      </c>
      <c r="E26" s="46">
        <v>7767.8</v>
      </c>
      <c r="F26" s="46">
        <v>7790.6</v>
      </c>
      <c r="G26" s="46">
        <v>7804.6</v>
      </c>
      <c r="H26" s="46">
        <v>7833.5</v>
      </c>
      <c r="I26" s="46">
        <v>7857.7</v>
      </c>
      <c r="J26" s="46">
        <v>7878.2</v>
      </c>
      <c r="K26" s="46">
        <v>7910.3</v>
      </c>
      <c r="L26" s="46">
        <v>7945.2</v>
      </c>
      <c r="M26" s="46">
        <v>7965.7</v>
      </c>
      <c r="N26" s="47">
        <f>AVERAGE(B26:M26)</f>
        <v>7826.791666666667</v>
      </c>
    </row>
    <row r="27" spans="1:14">
      <c r="A27" s="45">
        <v>2015</v>
      </c>
      <c r="B27" s="46">
        <v>7970.5</v>
      </c>
      <c r="C27" s="46">
        <v>7992.3</v>
      </c>
      <c r="D27" s="46">
        <v>8021</v>
      </c>
      <c r="E27" s="46">
        <v>8042</v>
      </c>
      <c r="F27" s="46">
        <v>8063.8</v>
      </c>
      <c r="G27" s="46">
        <v>8074.5</v>
      </c>
      <c r="H27" s="46">
        <v>8099.6</v>
      </c>
      <c r="I27" s="46">
        <v>8119.2</v>
      </c>
    </row>
  </sheetData>
  <mergeCells count="11">
    <mergeCell ref="B10:F10"/>
    <mergeCell ref="B11:F11"/>
    <mergeCell ref="B12:F12"/>
    <mergeCell ref="B13:F13"/>
    <mergeCell ref="B14:F14"/>
    <mergeCell ref="B9:F9"/>
    <mergeCell ref="A4:F4"/>
    <mergeCell ref="A5:F5"/>
    <mergeCell ref="A6:F6"/>
    <mergeCell ref="B7:F7"/>
    <mergeCell ref="A8:F8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S52"/>
  <sheetViews>
    <sheetView workbookViewId="0">
      <selection activeCell="A2" sqref="A1:A2"/>
    </sheetView>
  </sheetViews>
  <sheetFormatPr defaultColWidth="9.109375" defaultRowHeight="14.4"/>
  <cols>
    <col min="1" max="1" width="20" style="42" customWidth="1"/>
    <col min="2" max="255" width="8" style="42" customWidth="1"/>
    <col min="256" max="16384" width="9.109375" style="42"/>
  </cols>
  <sheetData>
    <row r="1" spans="1:16" s="417" customFormat="1">
      <c r="A1" s="453" t="s">
        <v>304</v>
      </c>
    </row>
    <row r="2" spans="1:16" s="417" customFormat="1">
      <c r="A2" s="453" t="s">
        <v>290</v>
      </c>
    </row>
    <row r="3" spans="1:16" s="417" customFormat="1"/>
    <row r="4" spans="1:16" ht="15.6">
      <c r="A4" s="433" t="s">
        <v>49</v>
      </c>
      <c r="B4" s="432"/>
      <c r="C4" s="432"/>
      <c r="D4" s="432"/>
      <c r="E4" s="432"/>
      <c r="F4" s="432"/>
    </row>
    <row r="5" spans="1:16" ht="15.6">
      <c r="A5" s="433" t="s">
        <v>50</v>
      </c>
      <c r="B5" s="432"/>
      <c r="C5" s="432"/>
      <c r="D5" s="432"/>
      <c r="E5" s="432"/>
      <c r="F5" s="432"/>
    </row>
    <row r="6" spans="1:16">
      <c r="A6" s="432"/>
      <c r="B6" s="432"/>
      <c r="C6" s="432"/>
      <c r="D6" s="432"/>
      <c r="E6" s="432"/>
      <c r="F6" s="432"/>
    </row>
    <row r="7" spans="1:16">
      <c r="A7" s="43" t="s">
        <v>51</v>
      </c>
      <c r="B7" s="431" t="s">
        <v>80</v>
      </c>
      <c r="C7" s="432"/>
      <c r="D7" s="432"/>
      <c r="E7" s="432"/>
      <c r="F7" s="432"/>
    </row>
    <row r="8" spans="1:16">
      <c r="A8" s="434" t="s">
        <v>81</v>
      </c>
      <c r="B8" s="432"/>
      <c r="C8" s="432"/>
      <c r="D8" s="432"/>
      <c r="E8" s="432"/>
      <c r="F8" s="432"/>
    </row>
    <row r="9" spans="1:16">
      <c r="A9" s="43" t="s">
        <v>54</v>
      </c>
      <c r="B9" s="431" t="s">
        <v>55</v>
      </c>
      <c r="C9" s="432"/>
      <c r="D9" s="432"/>
      <c r="E9" s="432"/>
      <c r="F9" s="432"/>
    </row>
    <row r="10" spans="1:16">
      <c r="A10" s="43" t="s">
        <v>56</v>
      </c>
      <c r="B10" s="431" t="s">
        <v>57</v>
      </c>
      <c r="C10" s="432"/>
      <c r="D10" s="432"/>
      <c r="E10" s="432"/>
      <c r="F10" s="432"/>
    </row>
    <row r="11" spans="1:16">
      <c r="A11" s="43" t="s">
        <v>58</v>
      </c>
      <c r="B11" s="431" t="s">
        <v>59</v>
      </c>
      <c r="C11" s="432"/>
      <c r="D11" s="432"/>
      <c r="E11" s="432"/>
      <c r="F11" s="432"/>
    </row>
    <row r="12" spans="1:16">
      <c r="A12" s="43" t="s">
        <v>60</v>
      </c>
      <c r="B12" s="431" t="s">
        <v>59</v>
      </c>
      <c r="C12" s="432"/>
      <c r="D12" s="432"/>
      <c r="E12" s="432"/>
      <c r="F12" s="432"/>
    </row>
    <row r="13" spans="1:16">
      <c r="A13" s="43" t="s">
        <v>61</v>
      </c>
      <c r="B13" s="431" t="s">
        <v>62</v>
      </c>
      <c r="C13" s="432"/>
      <c r="D13" s="432"/>
      <c r="E13" s="432"/>
      <c r="F13" s="432"/>
    </row>
    <row r="14" spans="1:16">
      <c r="A14" s="43" t="s">
        <v>63</v>
      </c>
      <c r="B14" s="435" t="s">
        <v>64</v>
      </c>
      <c r="C14" s="432"/>
      <c r="D14" s="432"/>
      <c r="E14" s="432"/>
      <c r="F14" s="432"/>
    </row>
    <row r="16" spans="1:16" ht="15" thickBot="1">
      <c r="A16" s="44" t="s">
        <v>65</v>
      </c>
      <c r="B16" s="44" t="s">
        <v>66</v>
      </c>
      <c r="C16" s="44" t="s">
        <v>67</v>
      </c>
      <c r="D16" s="44" t="s">
        <v>68</v>
      </c>
      <c r="E16" s="44" t="s">
        <v>69</v>
      </c>
      <c r="F16" s="44" t="s">
        <v>70</v>
      </c>
      <c r="G16" s="44" t="s">
        <v>71</v>
      </c>
      <c r="H16" s="44" t="s">
        <v>72</v>
      </c>
      <c r="I16" s="44" t="s">
        <v>73</v>
      </c>
      <c r="J16" s="44" t="s">
        <v>74</v>
      </c>
      <c r="K16" s="44" t="s">
        <v>75</v>
      </c>
      <c r="L16" s="44" t="s">
        <v>76</v>
      </c>
      <c r="M16" s="44" t="s">
        <v>77</v>
      </c>
      <c r="O16" s="42" t="s">
        <v>269</v>
      </c>
      <c r="P16" s="42" t="s">
        <v>270</v>
      </c>
    </row>
    <row r="17" spans="1:19" s="316" customFormat="1" ht="15" thickTop="1">
      <c r="A17" s="359">
        <v>2004</v>
      </c>
      <c r="B17" s="359">
        <v>7353.6</v>
      </c>
      <c r="C17" s="359">
        <v>7371.5</v>
      </c>
      <c r="D17" s="359">
        <v>7390.9</v>
      </c>
      <c r="E17" s="359">
        <v>7427.9</v>
      </c>
      <c r="F17" s="359">
        <v>7452</v>
      </c>
      <c r="G17" s="359">
        <v>7476.1</v>
      </c>
      <c r="H17" s="359">
        <v>7508.1</v>
      </c>
      <c r="I17" s="359">
        <v>7525</v>
      </c>
      <c r="J17" s="359">
        <v>7481.3</v>
      </c>
      <c r="K17" s="359">
        <v>7557.9</v>
      </c>
      <c r="L17" s="359">
        <v>7599.2</v>
      </c>
      <c r="M17" s="359">
        <v>7623.3</v>
      </c>
      <c r="N17" s="47">
        <f t="shared" ref="N17" si="0">AVERAGE(B17:M17)</f>
        <v>7480.5666666666657</v>
      </c>
      <c r="O17" s="47">
        <f t="shared" ref="O17" si="1">MAX(B17:M17)</f>
        <v>7623.3</v>
      </c>
      <c r="P17" s="47">
        <f>MIN(B17:M17)</f>
        <v>7353.6</v>
      </c>
    </row>
    <row r="18" spans="1:19">
      <c r="A18" s="45">
        <v>2005</v>
      </c>
      <c r="B18" s="46">
        <v>7645.5</v>
      </c>
      <c r="C18" s="46">
        <v>7668.7</v>
      </c>
      <c r="D18" s="46">
        <v>7668.1</v>
      </c>
      <c r="E18" s="46">
        <v>7713.4</v>
      </c>
      <c r="F18" s="46">
        <v>7752.1</v>
      </c>
      <c r="G18" s="46">
        <v>7752.1</v>
      </c>
      <c r="H18" s="46">
        <v>7810.5</v>
      </c>
      <c r="I18" s="46">
        <v>7840.8</v>
      </c>
      <c r="J18" s="46">
        <v>7870.8</v>
      </c>
      <c r="K18" s="46">
        <v>7870.8</v>
      </c>
      <c r="L18" s="46">
        <v>7880.1</v>
      </c>
      <c r="M18" s="46">
        <v>7898.5</v>
      </c>
      <c r="N18" s="47">
        <f t="shared" ref="N18:N26" si="2">AVERAGE(B18:M18)</f>
        <v>7780.9500000000007</v>
      </c>
      <c r="O18" s="47">
        <f t="shared" ref="O18:O21" si="3">MAX(B18:M18)</f>
        <v>7898.5</v>
      </c>
      <c r="P18" s="47">
        <f>MIN(B18:M18)</f>
        <v>7645.5</v>
      </c>
      <c r="R18" s="358">
        <f>N18/N17-1</f>
        <v>4.0155157586100998E-2</v>
      </c>
    </row>
    <row r="19" spans="1:19">
      <c r="A19" s="45">
        <v>2006</v>
      </c>
      <c r="B19" s="46">
        <v>7906.2</v>
      </c>
      <c r="C19" s="46">
        <v>7920.2</v>
      </c>
      <c r="D19" s="46">
        <v>7949.9</v>
      </c>
      <c r="E19" s="46">
        <v>7960.1</v>
      </c>
      <c r="F19" s="46">
        <v>7976</v>
      </c>
      <c r="G19" s="46">
        <v>7989.6</v>
      </c>
      <c r="H19" s="46">
        <v>7995.9</v>
      </c>
      <c r="I19" s="46">
        <v>8017.3</v>
      </c>
      <c r="J19" s="46">
        <v>8020.7</v>
      </c>
      <c r="K19" s="46">
        <v>8016</v>
      </c>
      <c r="L19" s="46">
        <v>8022.5</v>
      </c>
      <c r="M19" s="357">
        <v>8033.7</v>
      </c>
      <c r="N19" s="47">
        <f t="shared" si="2"/>
        <v>7984.0083333333341</v>
      </c>
      <c r="O19" s="355">
        <f t="shared" si="3"/>
        <v>8033.7</v>
      </c>
      <c r="P19" s="47">
        <f t="shared" ref="P19:P28" si="4">MIN(B19:M19)</f>
        <v>7906.2</v>
      </c>
      <c r="R19" s="358">
        <f>N19/N18-1</f>
        <v>2.6096856210788388E-2</v>
      </c>
    </row>
    <row r="20" spans="1:19">
      <c r="A20" s="45">
        <v>2007</v>
      </c>
      <c r="B20" s="46">
        <v>8037.7</v>
      </c>
      <c r="C20" s="46">
        <v>8040.4</v>
      </c>
      <c r="D20" s="46">
        <v>8053.3</v>
      </c>
      <c r="E20" s="46">
        <v>8038.1</v>
      </c>
      <c r="F20" s="46">
        <v>8029.1</v>
      </c>
      <c r="G20" s="46">
        <v>8026.9</v>
      </c>
      <c r="H20" s="46">
        <v>7995.1</v>
      </c>
      <c r="I20" s="46">
        <v>7983.3</v>
      </c>
      <c r="J20" s="46">
        <v>7965.2</v>
      </c>
      <c r="K20" s="46">
        <v>7947.1</v>
      </c>
      <c r="L20" s="46">
        <v>7942</v>
      </c>
      <c r="M20" s="46">
        <v>7931.8</v>
      </c>
      <c r="N20" s="47">
        <f t="shared" si="2"/>
        <v>7999.1666666666679</v>
      </c>
      <c r="O20" s="47">
        <f t="shared" si="3"/>
        <v>8053.3</v>
      </c>
      <c r="P20" s="47">
        <f t="shared" si="4"/>
        <v>7931.8</v>
      </c>
      <c r="R20" s="358">
        <f t="shared" ref="R20:R28" si="5">N20/N19-1</f>
        <v>1.8985868626975044E-3</v>
      </c>
    </row>
    <row r="21" spans="1:19">
      <c r="A21" s="45">
        <v>2008</v>
      </c>
      <c r="B21" s="46">
        <v>7896.2</v>
      </c>
      <c r="C21" s="46">
        <v>7889.2</v>
      </c>
      <c r="D21" s="46">
        <v>7861.3</v>
      </c>
      <c r="E21" s="46">
        <v>7808.2</v>
      </c>
      <c r="F21" s="46">
        <v>7773.3</v>
      </c>
      <c r="G21" s="46">
        <v>7742.7</v>
      </c>
      <c r="H21" s="46">
        <v>7703.4</v>
      </c>
      <c r="I21" s="46">
        <v>7668.4</v>
      </c>
      <c r="J21" s="46">
        <v>7636.1</v>
      </c>
      <c r="K21" s="46">
        <v>7581.1</v>
      </c>
      <c r="L21" s="46">
        <v>7533.8</v>
      </c>
      <c r="M21" s="46">
        <v>7486.7</v>
      </c>
      <c r="N21" s="47">
        <f t="shared" si="2"/>
        <v>7715.0333333333338</v>
      </c>
      <c r="O21" s="47">
        <f t="shared" si="3"/>
        <v>7896.2</v>
      </c>
      <c r="P21" s="47">
        <f t="shared" si="4"/>
        <v>7486.7</v>
      </c>
      <c r="R21" s="358">
        <f t="shared" si="5"/>
        <v>-3.5520366704865136E-2</v>
      </c>
    </row>
    <row r="22" spans="1:19">
      <c r="A22" s="45">
        <v>2009</v>
      </c>
      <c r="B22" s="46">
        <v>7417.2</v>
      </c>
      <c r="C22" s="46">
        <v>7360.4</v>
      </c>
      <c r="D22" s="46">
        <v>7311.8</v>
      </c>
      <c r="E22" s="46">
        <v>7265.3</v>
      </c>
      <c r="F22" s="46">
        <v>7244.9</v>
      </c>
      <c r="G22" s="46">
        <v>7221.1</v>
      </c>
      <c r="H22" s="46">
        <v>7193.8</v>
      </c>
      <c r="I22" s="46">
        <v>7173.8</v>
      </c>
      <c r="J22" s="46">
        <v>7155</v>
      </c>
      <c r="K22" s="46">
        <v>7150.5</v>
      </c>
      <c r="L22" s="46">
        <v>7145.4</v>
      </c>
      <c r="M22" s="357">
        <v>7128</v>
      </c>
      <c r="N22" s="47">
        <f t="shared" si="2"/>
        <v>7230.5999999999995</v>
      </c>
      <c r="O22" s="47">
        <f>MAX(B22:M22)</f>
        <v>7417.2</v>
      </c>
      <c r="P22" s="47">
        <f t="shared" si="4"/>
        <v>7128</v>
      </c>
      <c r="Q22" s="356"/>
      <c r="R22" s="358">
        <f t="shared" si="5"/>
        <v>-6.279082829627014E-2</v>
      </c>
    </row>
    <row r="23" spans="1:19">
      <c r="A23" s="45">
        <v>2010</v>
      </c>
      <c r="B23" s="46">
        <v>7129.8</v>
      </c>
      <c r="C23" s="46">
        <v>7129.3</v>
      </c>
      <c r="D23" s="46">
        <v>7136.2</v>
      </c>
      <c r="E23" s="46">
        <v>7155</v>
      </c>
      <c r="F23" s="46">
        <v>7198.3</v>
      </c>
      <c r="G23" s="46">
        <v>7185.6</v>
      </c>
      <c r="H23" s="46">
        <v>7189.4</v>
      </c>
      <c r="I23" s="46">
        <v>7188.6</v>
      </c>
      <c r="J23" s="46">
        <v>7168.2</v>
      </c>
      <c r="K23" s="46">
        <v>7194.8</v>
      </c>
      <c r="L23" s="46">
        <v>7196.2</v>
      </c>
      <c r="M23" s="46">
        <v>7200.3</v>
      </c>
      <c r="N23" s="47">
        <f t="shared" si="2"/>
        <v>7172.6416666666664</v>
      </c>
      <c r="O23" s="47">
        <f t="shared" ref="O23:O28" si="6">MAX(B23:M23)</f>
        <v>7200.3</v>
      </c>
      <c r="P23" s="355">
        <f t="shared" si="4"/>
        <v>7129.3</v>
      </c>
      <c r="Q23" s="356">
        <f>P23-$O$19</f>
        <v>-904.39999999999964</v>
      </c>
      <c r="R23" s="358">
        <f t="shared" si="5"/>
        <v>-8.0157017859282531E-3</v>
      </c>
      <c r="S23" s="47">
        <f>N23-N19</f>
        <v>-811.3666666666677</v>
      </c>
    </row>
    <row r="24" spans="1:19">
      <c r="A24" s="45">
        <v>2011</v>
      </c>
      <c r="B24" s="46">
        <v>7210.9</v>
      </c>
      <c r="C24" s="46">
        <v>7209.5</v>
      </c>
      <c r="D24" s="46">
        <v>7216.5</v>
      </c>
      <c r="E24" s="46">
        <v>7244.9</v>
      </c>
      <c r="F24" s="46">
        <v>7238.9</v>
      </c>
      <c r="G24" s="46">
        <v>7232.9</v>
      </c>
      <c r="H24" s="46">
        <v>7257.3</v>
      </c>
      <c r="I24" s="46">
        <v>7259</v>
      </c>
      <c r="J24" s="46">
        <v>7277.9</v>
      </c>
      <c r="K24" s="46">
        <v>7277.3</v>
      </c>
      <c r="L24" s="46">
        <v>7290.9</v>
      </c>
      <c r="M24" s="46">
        <v>7303.3</v>
      </c>
      <c r="N24" s="47">
        <f t="shared" si="2"/>
        <v>7251.6083333333336</v>
      </c>
      <c r="O24" s="47">
        <f t="shared" si="6"/>
        <v>7303.3</v>
      </c>
      <c r="P24" s="47">
        <f t="shared" si="4"/>
        <v>7209.5</v>
      </c>
      <c r="Q24" s="356"/>
      <c r="R24" s="358">
        <f t="shared" si="5"/>
        <v>1.100942586239162E-2</v>
      </c>
    </row>
    <row r="25" spans="1:19">
      <c r="A25" s="45">
        <v>2012</v>
      </c>
      <c r="B25" s="46">
        <v>7322.1</v>
      </c>
      <c r="C25" s="46">
        <v>7333.3</v>
      </c>
      <c r="D25" s="46">
        <v>7352</v>
      </c>
      <c r="E25" s="46">
        <v>7373.2</v>
      </c>
      <c r="F25" s="46">
        <v>7375.5</v>
      </c>
      <c r="G25" s="46">
        <v>7391</v>
      </c>
      <c r="H25" s="46">
        <v>7396.2</v>
      </c>
      <c r="I25" s="46">
        <v>7405.8</v>
      </c>
      <c r="J25" s="46">
        <v>7423.1</v>
      </c>
      <c r="K25" s="46">
        <v>7448.3</v>
      </c>
      <c r="L25" s="46">
        <v>7460.2</v>
      </c>
      <c r="M25" s="46">
        <v>7472.6</v>
      </c>
      <c r="N25" s="47">
        <f t="shared" si="2"/>
        <v>7396.1083333333345</v>
      </c>
      <c r="O25" s="47">
        <f t="shared" si="6"/>
        <v>7472.6</v>
      </c>
      <c r="P25" s="47">
        <f t="shared" si="4"/>
        <v>7322.1</v>
      </c>
      <c r="Q25" s="356"/>
      <c r="R25" s="358">
        <f t="shared" si="5"/>
        <v>1.9926613981036567E-2</v>
      </c>
    </row>
    <row r="26" spans="1:19">
      <c r="A26" s="45">
        <v>2013</v>
      </c>
      <c r="B26" s="46">
        <v>7485.1</v>
      </c>
      <c r="C26" s="46">
        <v>7509.4</v>
      </c>
      <c r="D26" s="46">
        <v>7521.4</v>
      </c>
      <c r="E26" s="46">
        <v>7530.8</v>
      </c>
      <c r="F26" s="46">
        <v>7548.3</v>
      </c>
      <c r="G26" s="46">
        <v>7570.6</v>
      </c>
      <c r="H26" s="46">
        <v>7588.8</v>
      </c>
      <c r="I26" s="46">
        <v>7609</v>
      </c>
      <c r="J26" s="46">
        <v>7624.3</v>
      </c>
      <c r="K26" s="46">
        <v>7643.7</v>
      </c>
      <c r="L26" s="46">
        <v>7667.9</v>
      </c>
      <c r="M26" s="46">
        <v>7686.1</v>
      </c>
      <c r="N26" s="47">
        <f t="shared" si="2"/>
        <v>7582.1166666666659</v>
      </c>
      <c r="O26" s="47">
        <f t="shared" si="6"/>
        <v>7686.1</v>
      </c>
      <c r="P26" s="47">
        <f t="shared" si="4"/>
        <v>7485.1</v>
      </c>
      <c r="Q26" s="356"/>
      <c r="R26" s="358">
        <f t="shared" si="5"/>
        <v>2.5149487399341419E-2</v>
      </c>
    </row>
    <row r="27" spans="1:19">
      <c r="A27" s="45">
        <v>2014</v>
      </c>
      <c r="B27" s="46">
        <v>7705.5</v>
      </c>
      <c r="C27" s="46">
        <v>7723.6</v>
      </c>
      <c r="D27" s="46">
        <v>7738.8</v>
      </c>
      <c r="E27" s="46">
        <v>7767.8</v>
      </c>
      <c r="F27" s="46">
        <v>7790.6</v>
      </c>
      <c r="G27" s="46">
        <v>7804.6</v>
      </c>
      <c r="H27" s="46">
        <v>7833.5</v>
      </c>
      <c r="I27" s="46">
        <v>7857.7</v>
      </c>
      <c r="J27" s="46">
        <v>7878.2</v>
      </c>
      <c r="K27" s="46">
        <v>7910.3</v>
      </c>
      <c r="L27" s="46">
        <v>7945.2</v>
      </c>
      <c r="M27" s="46">
        <v>7965.7</v>
      </c>
      <c r="N27" s="47">
        <f>AVERAGE(B27:M27)</f>
        <v>7826.791666666667</v>
      </c>
      <c r="O27" s="47">
        <f t="shared" si="6"/>
        <v>7965.7</v>
      </c>
      <c r="P27" s="47">
        <f t="shared" si="4"/>
        <v>7705.5</v>
      </c>
      <c r="Q27" s="356"/>
      <c r="R27" s="358">
        <f t="shared" si="5"/>
        <v>3.2270012551464555E-2</v>
      </c>
    </row>
    <row r="28" spans="1:19">
      <c r="A28" s="45">
        <v>2015</v>
      </c>
      <c r="B28" s="46">
        <v>7970.5</v>
      </c>
      <c r="C28" s="46">
        <v>7992.3</v>
      </c>
      <c r="D28" s="46">
        <v>8021</v>
      </c>
      <c r="E28" s="46">
        <v>8042</v>
      </c>
      <c r="F28" s="46">
        <v>8063.8</v>
      </c>
      <c r="G28" s="46">
        <v>8074.5</v>
      </c>
      <c r="H28" s="46">
        <v>8099.6</v>
      </c>
      <c r="I28" s="46">
        <v>8111.8</v>
      </c>
      <c r="J28" s="316">
        <v>8115</v>
      </c>
      <c r="K28" s="316">
        <v>8149.6</v>
      </c>
      <c r="L28" s="316">
        <v>8176.9</v>
      </c>
      <c r="M28" s="316">
        <v>8198.7999999999993</v>
      </c>
      <c r="N28" s="47">
        <f>AVERAGE(B28:M28)</f>
        <v>8084.6500000000005</v>
      </c>
      <c r="O28" s="47">
        <f t="shared" si="6"/>
        <v>8198.7999999999993</v>
      </c>
      <c r="P28" s="47">
        <f t="shared" si="4"/>
        <v>7970.5</v>
      </c>
      <c r="Q28" s="356"/>
      <c r="R28" s="358">
        <f t="shared" si="5"/>
        <v>3.2945598185718961E-2</v>
      </c>
    </row>
    <row r="30" spans="1:19">
      <c r="A30" s="42">
        <f>A19</f>
        <v>2006</v>
      </c>
      <c r="B30" s="47">
        <f>B19-B18</f>
        <v>260.69999999999982</v>
      </c>
      <c r="C30" s="47">
        <f t="shared" ref="C30:M34" si="7">C19-C18</f>
        <v>251.5</v>
      </c>
      <c r="D30" s="47">
        <f t="shared" si="7"/>
        <v>281.79999999999927</v>
      </c>
      <c r="E30" s="47">
        <f t="shared" si="7"/>
        <v>246.70000000000073</v>
      </c>
      <c r="F30" s="47">
        <f t="shared" si="7"/>
        <v>223.89999999999964</v>
      </c>
      <c r="G30" s="47">
        <f t="shared" si="7"/>
        <v>237.5</v>
      </c>
      <c r="H30" s="47">
        <f t="shared" si="7"/>
        <v>185.39999999999964</v>
      </c>
      <c r="I30" s="47">
        <f t="shared" si="7"/>
        <v>176.5</v>
      </c>
      <c r="J30" s="47">
        <f t="shared" si="7"/>
        <v>149.89999999999964</v>
      </c>
      <c r="K30" s="47">
        <f t="shared" si="7"/>
        <v>145.19999999999982</v>
      </c>
      <c r="L30" s="47">
        <f t="shared" si="7"/>
        <v>142.39999999999964</v>
      </c>
      <c r="M30" s="47">
        <f t="shared" si="7"/>
        <v>135.19999999999982</v>
      </c>
    </row>
    <row r="31" spans="1:19">
      <c r="A31" s="316">
        <f>A20</f>
        <v>2007</v>
      </c>
      <c r="B31" s="47">
        <f>B20-B19</f>
        <v>131.5</v>
      </c>
      <c r="C31" s="47">
        <f t="shared" si="7"/>
        <v>120.19999999999982</v>
      </c>
      <c r="D31" s="47">
        <f t="shared" si="7"/>
        <v>103.40000000000055</v>
      </c>
      <c r="E31" s="47">
        <f t="shared" si="7"/>
        <v>78</v>
      </c>
      <c r="F31" s="47">
        <f t="shared" si="7"/>
        <v>53.100000000000364</v>
      </c>
      <c r="G31" s="47">
        <f t="shared" si="7"/>
        <v>37.299999999999272</v>
      </c>
      <c r="H31" s="47">
        <f t="shared" si="7"/>
        <v>-0.7999999999992724</v>
      </c>
      <c r="I31" s="47">
        <f t="shared" si="7"/>
        <v>-34</v>
      </c>
      <c r="J31" s="47">
        <f t="shared" si="7"/>
        <v>-55.5</v>
      </c>
      <c r="K31" s="47">
        <f t="shared" si="7"/>
        <v>-68.899999999999636</v>
      </c>
      <c r="L31" s="47">
        <f t="shared" si="7"/>
        <v>-80.5</v>
      </c>
      <c r="M31" s="47">
        <f t="shared" si="7"/>
        <v>-101.89999999999964</v>
      </c>
    </row>
    <row r="32" spans="1:19">
      <c r="A32" s="316">
        <f>A21</f>
        <v>2008</v>
      </c>
      <c r="B32" s="47">
        <f>B21-B20</f>
        <v>-141.5</v>
      </c>
      <c r="C32" s="47">
        <f t="shared" si="7"/>
        <v>-151.19999999999982</v>
      </c>
      <c r="D32" s="47">
        <f t="shared" si="7"/>
        <v>-192</v>
      </c>
      <c r="E32" s="47">
        <f t="shared" si="7"/>
        <v>-229.90000000000055</v>
      </c>
      <c r="F32" s="47">
        <f t="shared" si="7"/>
        <v>-255.80000000000018</v>
      </c>
      <c r="G32" s="47">
        <f t="shared" si="7"/>
        <v>-284.19999999999982</v>
      </c>
      <c r="H32" s="47">
        <f t="shared" si="7"/>
        <v>-291.70000000000073</v>
      </c>
      <c r="I32" s="47">
        <f t="shared" si="7"/>
        <v>-314.90000000000055</v>
      </c>
      <c r="J32" s="47">
        <f t="shared" si="7"/>
        <v>-329.09999999999945</v>
      </c>
      <c r="K32" s="47">
        <f t="shared" si="7"/>
        <v>-366</v>
      </c>
      <c r="L32" s="47">
        <f t="shared" si="7"/>
        <v>-408.19999999999982</v>
      </c>
      <c r="M32" s="47">
        <f t="shared" si="7"/>
        <v>-445.10000000000036</v>
      </c>
    </row>
    <row r="33" spans="1:13">
      <c r="A33" s="316">
        <f>A22</f>
        <v>2009</v>
      </c>
      <c r="B33" s="47">
        <f>B22-B21</f>
        <v>-479</v>
      </c>
      <c r="C33" s="47">
        <f t="shared" si="7"/>
        <v>-528.80000000000018</v>
      </c>
      <c r="D33" s="47">
        <f t="shared" si="7"/>
        <v>-549.5</v>
      </c>
      <c r="E33" s="47">
        <f t="shared" si="7"/>
        <v>-542.89999999999964</v>
      </c>
      <c r="F33" s="47">
        <f t="shared" si="7"/>
        <v>-528.40000000000055</v>
      </c>
      <c r="G33" s="47">
        <f t="shared" si="7"/>
        <v>-521.59999999999945</v>
      </c>
      <c r="H33" s="47">
        <f t="shared" si="7"/>
        <v>-509.59999999999945</v>
      </c>
      <c r="I33" s="47">
        <f t="shared" si="7"/>
        <v>-494.59999999999945</v>
      </c>
      <c r="J33" s="47">
        <f t="shared" si="7"/>
        <v>-481.10000000000036</v>
      </c>
      <c r="K33" s="47">
        <f t="shared" si="7"/>
        <v>-430.60000000000036</v>
      </c>
      <c r="L33" s="47">
        <f t="shared" si="7"/>
        <v>-388.40000000000055</v>
      </c>
      <c r="M33" s="47">
        <f t="shared" si="7"/>
        <v>-358.69999999999982</v>
      </c>
    </row>
    <row r="34" spans="1:13">
      <c r="A34" s="316">
        <f>A23</f>
        <v>2010</v>
      </c>
      <c r="B34" s="47">
        <f>B23-B22</f>
        <v>-287.39999999999964</v>
      </c>
      <c r="C34" s="47">
        <f t="shared" si="7"/>
        <v>-231.09999999999945</v>
      </c>
      <c r="D34" s="47">
        <f t="shared" si="7"/>
        <v>-175.60000000000036</v>
      </c>
      <c r="E34" s="47">
        <f t="shared" si="7"/>
        <v>-110.30000000000018</v>
      </c>
      <c r="F34" s="47">
        <f t="shared" si="7"/>
        <v>-46.599999999999454</v>
      </c>
      <c r="G34" s="47">
        <f t="shared" si="7"/>
        <v>-35.5</v>
      </c>
      <c r="H34" s="47">
        <f t="shared" si="7"/>
        <v>-4.4000000000005457</v>
      </c>
      <c r="I34" s="47">
        <f t="shared" si="7"/>
        <v>14.800000000000182</v>
      </c>
      <c r="J34" s="47">
        <f t="shared" si="7"/>
        <v>13.199999999999818</v>
      </c>
      <c r="K34" s="47">
        <f t="shared" si="7"/>
        <v>44.300000000000182</v>
      </c>
      <c r="L34" s="47">
        <f t="shared" si="7"/>
        <v>50.800000000000182</v>
      </c>
      <c r="M34" s="47">
        <f t="shared" si="7"/>
        <v>72.300000000000182</v>
      </c>
    </row>
    <row r="35" spans="1:13">
      <c r="A35" s="316">
        <f t="shared" ref="A35:A39" si="8">A24</f>
        <v>2011</v>
      </c>
      <c r="B35" s="47">
        <f t="shared" ref="B35:M35" si="9">B24-B23</f>
        <v>81.099999999999454</v>
      </c>
      <c r="C35" s="47">
        <f t="shared" si="9"/>
        <v>80.199999999999818</v>
      </c>
      <c r="D35" s="47">
        <f t="shared" si="9"/>
        <v>80.300000000000182</v>
      </c>
      <c r="E35" s="47">
        <f t="shared" si="9"/>
        <v>89.899999999999636</v>
      </c>
      <c r="F35" s="47">
        <f t="shared" si="9"/>
        <v>40.599999999999454</v>
      </c>
      <c r="G35" s="47">
        <f t="shared" si="9"/>
        <v>47.299999999999272</v>
      </c>
      <c r="H35" s="47">
        <f t="shared" si="9"/>
        <v>67.900000000000546</v>
      </c>
      <c r="I35" s="47">
        <f t="shared" si="9"/>
        <v>70.399999999999636</v>
      </c>
      <c r="J35" s="47">
        <f t="shared" si="9"/>
        <v>109.69999999999982</v>
      </c>
      <c r="K35" s="47">
        <f t="shared" si="9"/>
        <v>82.5</v>
      </c>
      <c r="L35" s="47">
        <f t="shared" si="9"/>
        <v>94.699999999999818</v>
      </c>
      <c r="M35" s="47">
        <f t="shared" si="9"/>
        <v>103</v>
      </c>
    </row>
    <row r="36" spans="1:13">
      <c r="A36" s="316">
        <f t="shared" si="8"/>
        <v>2012</v>
      </c>
      <c r="B36" s="47">
        <f t="shared" ref="B36:M36" si="10">B25-B24</f>
        <v>111.20000000000073</v>
      </c>
      <c r="C36" s="47">
        <f t="shared" si="10"/>
        <v>123.80000000000018</v>
      </c>
      <c r="D36" s="47">
        <f t="shared" si="10"/>
        <v>135.5</v>
      </c>
      <c r="E36" s="47">
        <f t="shared" si="10"/>
        <v>128.30000000000018</v>
      </c>
      <c r="F36" s="47">
        <f t="shared" si="10"/>
        <v>136.60000000000036</v>
      </c>
      <c r="G36" s="47">
        <f t="shared" si="10"/>
        <v>158.10000000000036</v>
      </c>
      <c r="H36" s="47">
        <f t="shared" si="10"/>
        <v>138.89999999999964</v>
      </c>
      <c r="I36" s="47">
        <f t="shared" si="10"/>
        <v>146.80000000000018</v>
      </c>
      <c r="J36" s="47">
        <f t="shared" si="10"/>
        <v>145.20000000000073</v>
      </c>
      <c r="K36" s="47">
        <f t="shared" si="10"/>
        <v>171</v>
      </c>
      <c r="L36" s="47">
        <f t="shared" si="10"/>
        <v>169.30000000000018</v>
      </c>
      <c r="M36" s="47">
        <f t="shared" si="10"/>
        <v>169.30000000000018</v>
      </c>
    </row>
    <row r="37" spans="1:13">
      <c r="A37" s="316">
        <f t="shared" si="8"/>
        <v>2013</v>
      </c>
      <c r="B37" s="47">
        <f t="shared" ref="B37:M37" si="11">B26-B25</f>
        <v>163</v>
      </c>
      <c r="C37" s="47">
        <f t="shared" si="11"/>
        <v>176.09999999999945</v>
      </c>
      <c r="D37" s="47">
        <f t="shared" si="11"/>
        <v>169.39999999999964</v>
      </c>
      <c r="E37" s="47">
        <f t="shared" si="11"/>
        <v>157.60000000000036</v>
      </c>
      <c r="F37" s="47">
        <f t="shared" si="11"/>
        <v>172.80000000000018</v>
      </c>
      <c r="G37" s="47">
        <f t="shared" si="11"/>
        <v>179.60000000000036</v>
      </c>
      <c r="H37" s="47">
        <f t="shared" si="11"/>
        <v>192.60000000000036</v>
      </c>
      <c r="I37" s="47">
        <f t="shared" si="11"/>
        <v>203.19999999999982</v>
      </c>
      <c r="J37" s="47">
        <f t="shared" si="11"/>
        <v>201.19999999999982</v>
      </c>
      <c r="K37" s="47">
        <f t="shared" si="11"/>
        <v>195.39999999999964</v>
      </c>
      <c r="L37" s="47">
        <f t="shared" si="11"/>
        <v>207.69999999999982</v>
      </c>
      <c r="M37" s="47">
        <f t="shared" si="11"/>
        <v>213.5</v>
      </c>
    </row>
    <row r="38" spans="1:13">
      <c r="A38" s="316">
        <f>A27</f>
        <v>2014</v>
      </c>
      <c r="B38" s="47">
        <f>B27-B26</f>
        <v>220.39999999999964</v>
      </c>
      <c r="C38" s="47">
        <f t="shared" ref="C38:M38" si="12">C27-C26</f>
        <v>214.20000000000073</v>
      </c>
      <c r="D38" s="47">
        <f t="shared" si="12"/>
        <v>217.40000000000055</v>
      </c>
      <c r="E38" s="47">
        <f t="shared" si="12"/>
        <v>237</v>
      </c>
      <c r="F38" s="47">
        <f t="shared" si="12"/>
        <v>242.30000000000018</v>
      </c>
      <c r="G38" s="47">
        <f t="shared" si="12"/>
        <v>234</v>
      </c>
      <c r="H38" s="47">
        <f t="shared" si="12"/>
        <v>244.69999999999982</v>
      </c>
      <c r="I38" s="47">
        <f t="shared" si="12"/>
        <v>248.69999999999982</v>
      </c>
      <c r="J38" s="47">
        <f t="shared" si="12"/>
        <v>253.89999999999964</v>
      </c>
      <c r="K38" s="47">
        <f t="shared" si="12"/>
        <v>266.60000000000036</v>
      </c>
      <c r="L38" s="47">
        <f t="shared" si="12"/>
        <v>277.30000000000018</v>
      </c>
      <c r="M38" s="47">
        <f t="shared" si="12"/>
        <v>279.59999999999945</v>
      </c>
    </row>
    <row r="39" spans="1:13">
      <c r="A39" s="316">
        <f t="shared" si="8"/>
        <v>2015</v>
      </c>
      <c r="B39" s="47">
        <f t="shared" ref="B39:M39" si="13">B28-B27</f>
        <v>265</v>
      </c>
      <c r="C39" s="47">
        <f t="shared" si="13"/>
        <v>268.69999999999982</v>
      </c>
      <c r="D39" s="47">
        <f t="shared" si="13"/>
        <v>282.19999999999982</v>
      </c>
      <c r="E39" s="47">
        <f t="shared" si="13"/>
        <v>274.19999999999982</v>
      </c>
      <c r="F39" s="47">
        <f t="shared" si="13"/>
        <v>273.19999999999982</v>
      </c>
      <c r="G39" s="47">
        <f t="shared" si="13"/>
        <v>269.89999999999964</v>
      </c>
      <c r="H39" s="47">
        <f t="shared" si="13"/>
        <v>266.10000000000036</v>
      </c>
      <c r="I39" s="47">
        <f t="shared" si="13"/>
        <v>254.10000000000036</v>
      </c>
      <c r="J39" s="47">
        <f t="shared" si="13"/>
        <v>236.80000000000018</v>
      </c>
      <c r="K39" s="47">
        <f t="shared" si="13"/>
        <v>239.30000000000018</v>
      </c>
      <c r="L39" s="47">
        <f t="shared" si="13"/>
        <v>231.69999999999982</v>
      </c>
      <c r="M39" s="47">
        <f t="shared" si="13"/>
        <v>233.09999999999945</v>
      </c>
    </row>
    <row r="41" spans="1:13">
      <c r="A41" s="42">
        <f>A30</f>
        <v>2006</v>
      </c>
      <c r="B41" s="358">
        <f>B30/B18</f>
        <v>3.4098489307435725E-2</v>
      </c>
      <c r="C41" s="358">
        <f t="shared" ref="C41:M41" si="14">C30/C18</f>
        <v>3.2795649849387772E-2</v>
      </c>
      <c r="D41" s="358">
        <f t="shared" si="14"/>
        <v>3.6749651152175801E-2</v>
      </c>
      <c r="E41" s="358">
        <f t="shared" si="14"/>
        <v>3.1983301786501508E-2</v>
      </c>
      <c r="F41" s="358">
        <f t="shared" si="14"/>
        <v>2.8882496355826116E-2</v>
      </c>
      <c r="G41" s="358">
        <f t="shared" si="14"/>
        <v>3.0636859689632485E-2</v>
      </c>
      <c r="H41" s="358">
        <f t="shared" si="14"/>
        <v>2.3737276742846123E-2</v>
      </c>
      <c r="I41" s="358">
        <f t="shared" si="14"/>
        <v>2.2510458116518722E-2</v>
      </c>
      <c r="J41" s="358">
        <f t="shared" si="14"/>
        <v>1.9045078009859179E-2</v>
      </c>
      <c r="K41" s="358">
        <f t="shared" si="14"/>
        <v>1.844793413630124E-2</v>
      </c>
      <c r="L41" s="358">
        <f t="shared" si="14"/>
        <v>1.8070836664509288E-2</v>
      </c>
      <c r="M41" s="358">
        <f t="shared" si="14"/>
        <v>1.7117174146989912E-2</v>
      </c>
    </row>
    <row r="42" spans="1:13">
      <c r="A42" s="316">
        <f t="shared" ref="A42:A47" si="15">A31</f>
        <v>2007</v>
      </c>
      <c r="B42" s="358">
        <f t="shared" ref="B42:M42" si="16">B31/B19</f>
        <v>1.6632516253067213E-2</v>
      </c>
      <c r="C42" s="358">
        <f t="shared" si="16"/>
        <v>1.5176384434736474E-2</v>
      </c>
      <c r="D42" s="358">
        <f t="shared" si="16"/>
        <v>1.3006452911357444E-2</v>
      </c>
      <c r="E42" s="358">
        <f t="shared" si="16"/>
        <v>9.7988718734689263E-3</v>
      </c>
      <c r="F42" s="358">
        <f t="shared" si="16"/>
        <v>6.657472417251801E-3</v>
      </c>
      <c r="G42" s="358">
        <f t="shared" si="16"/>
        <v>4.6685691398817555E-3</v>
      </c>
      <c r="H42" s="358">
        <f t="shared" si="16"/>
        <v>-1.0005127627900204E-4</v>
      </c>
      <c r="I42" s="358">
        <f t="shared" si="16"/>
        <v>-4.2408292068402079E-3</v>
      </c>
      <c r="J42" s="358">
        <f t="shared" si="16"/>
        <v>-6.9195955465233706E-3</v>
      </c>
      <c r="K42" s="358">
        <f t="shared" si="16"/>
        <v>-8.5953093812374797E-3</v>
      </c>
      <c r="L42" s="358">
        <f t="shared" si="16"/>
        <v>-1.0034278591461514E-2</v>
      </c>
      <c r="M42" s="358">
        <f t="shared" si="16"/>
        <v>-1.2684068362024925E-2</v>
      </c>
    </row>
    <row r="43" spans="1:13">
      <c r="A43" s="316">
        <f t="shared" si="15"/>
        <v>2008</v>
      </c>
      <c r="B43" s="358">
        <f t="shared" ref="B43:M43" si="17">B32/B20</f>
        <v>-1.7604538611791933E-2</v>
      </c>
      <c r="C43" s="358">
        <f t="shared" si="17"/>
        <v>-1.8805034575394237E-2</v>
      </c>
      <c r="D43" s="358">
        <f t="shared" si="17"/>
        <v>-2.3841158282939912E-2</v>
      </c>
      <c r="E43" s="358">
        <f t="shared" si="17"/>
        <v>-2.860128637364558E-2</v>
      </c>
      <c r="F43" s="358">
        <f t="shared" si="17"/>
        <v>-3.1859112478359985E-2</v>
      </c>
      <c r="G43" s="358">
        <f t="shared" si="17"/>
        <v>-3.5405947501526099E-2</v>
      </c>
      <c r="H43" s="358">
        <f t="shared" si="17"/>
        <v>-3.6484846968768463E-2</v>
      </c>
      <c r="I43" s="358">
        <f t="shared" si="17"/>
        <v>-3.944484110580844E-2</v>
      </c>
      <c r="J43" s="358">
        <f t="shared" si="17"/>
        <v>-4.1317229950283668E-2</v>
      </c>
      <c r="K43" s="358">
        <f t="shared" si="17"/>
        <v>-4.6054535616765861E-2</v>
      </c>
      <c r="L43" s="358">
        <f t="shared" si="17"/>
        <v>-5.1397632838076031E-2</v>
      </c>
      <c r="M43" s="358">
        <f t="shared" si="17"/>
        <v>-5.6115887944728861E-2</v>
      </c>
    </row>
    <row r="44" spans="1:13">
      <c r="A44" s="316">
        <f t="shared" si="15"/>
        <v>2009</v>
      </c>
      <c r="B44" s="358">
        <f t="shared" ref="B44:M44" si="18">B33/B21</f>
        <v>-6.0662090625870677E-2</v>
      </c>
      <c r="C44" s="358">
        <f t="shared" si="18"/>
        <v>-6.7028342544237715E-2</v>
      </c>
      <c r="D44" s="358">
        <f t="shared" si="18"/>
        <v>-6.9899380509584927E-2</v>
      </c>
      <c r="E44" s="358">
        <f t="shared" si="18"/>
        <v>-6.9529469019748422E-2</v>
      </c>
      <c r="F44" s="358">
        <f t="shared" si="18"/>
        <v>-6.7976277771345572E-2</v>
      </c>
      <c r="G44" s="358">
        <f t="shared" si="18"/>
        <v>-6.7366680873596999E-2</v>
      </c>
      <c r="H44" s="358">
        <f t="shared" si="18"/>
        <v>-6.615260793935139E-2</v>
      </c>
      <c r="I44" s="358">
        <f t="shared" si="18"/>
        <v>-6.4498461217463804E-2</v>
      </c>
      <c r="J44" s="358">
        <f t="shared" si="18"/>
        <v>-6.3003365592383592E-2</v>
      </c>
      <c r="K44" s="358">
        <f t="shared" si="18"/>
        <v>-5.6799145242774837E-2</v>
      </c>
      <c r="L44" s="358">
        <f t="shared" si="18"/>
        <v>-5.1554328492925287E-2</v>
      </c>
      <c r="M44" s="358">
        <f t="shared" si="18"/>
        <v>-4.7911629957123947E-2</v>
      </c>
    </row>
    <row r="45" spans="1:13">
      <c r="A45" s="316">
        <f t="shared" si="15"/>
        <v>2010</v>
      </c>
      <c r="B45" s="358">
        <f t="shared" ref="B45:M45" si="19">B34/B22</f>
        <v>-3.8747775440867126E-2</v>
      </c>
      <c r="C45" s="358">
        <f t="shared" si="19"/>
        <v>-3.1397750122275893E-2</v>
      </c>
      <c r="D45" s="358">
        <f t="shared" si="19"/>
        <v>-2.401597417872485E-2</v>
      </c>
      <c r="E45" s="358">
        <f t="shared" si="19"/>
        <v>-1.5181754366646963E-2</v>
      </c>
      <c r="F45" s="358">
        <f t="shared" si="19"/>
        <v>-6.4321108641940475E-3</v>
      </c>
      <c r="G45" s="358">
        <f t="shared" si="19"/>
        <v>-4.9161485092298956E-3</v>
      </c>
      <c r="H45" s="358">
        <f t="shared" si="19"/>
        <v>-6.116377992160674E-4</v>
      </c>
      <c r="I45" s="358">
        <f t="shared" si="19"/>
        <v>2.0630628118988793E-3</v>
      </c>
      <c r="J45" s="358">
        <f t="shared" si="19"/>
        <v>1.844863731656159E-3</v>
      </c>
      <c r="K45" s="358">
        <f t="shared" si="19"/>
        <v>6.1953709530802297E-3</v>
      </c>
      <c r="L45" s="358">
        <f t="shared" si="19"/>
        <v>7.1094690290256926E-3</v>
      </c>
      <c r="M45" s="358">
        <f t="shared" si="19"/>
        <v>1.0143097643097669E-2</v>
      </c>
    </row>
    <row r="46" spans="1:13">
      <c r="A46" s="316">
        <f t="shared" si="15"/>
        <v>2011</v>
      </c>
      <c r="B46" s="358">
        <f t="shared" ref="B46:M46" si="20">B35/B23</f>
        <v>1.1374793121826623E-2</v>
      </c>
      <c r="C46" s="358">
        <f t="shared" si="20"/>
        <v>1.1249351268707982E-2</v>
      </c>
      <c r="D46" s="358">
        <f t="shared" si="20"/>
        <v>1.1252487318180571E-2</v>
      </c>
      <c r="E46" s="358">
        <f t="shared" si="20"/>
        <v>1.2564640111809872E-2</v>
      </c>
      <c r="F46" s="358">
        <f t="shared" si="20"/>
        <v>5.6402206076433953E-3</v>
      </c>
      <c r="G46" s="358">
        <f t="shared" si="20"/>
        <v>6.582609663771887E-3</v>
      </c>
      <c r="H46" s="358">
        <f t="shared" si="20"/>
        <v>9.444459899296263E-3</v>
      </c>
      <c r="I46" s="358">
        <f t="shared" si="20"/>
        <v>9.7932838104776501E-3</v>
      </c>
      <c r="J46" s="358">
        <f t="shared" si="20"/>
        <v>1.5303702463658912E-2</v>
      </c>
      <c r="K46" s="358">
        <f t="shared" si="20"/>
        <v>1.146661477733919E-2</v>
      </c>
      <c r="L46" s="358">
        <f t="shared" si="20"/>
        <v>1.3159723187237684E-2</v>
      </c>
      <c r="M46" s="358">
        <f t="shared" si="20"/>
        <v>1.4304959515575739E-2</v>
      </c>
    </row>
    <row r="47" spans="1:13">
      <c r="A47" s="316">
        <f t="shared" si="15"/>
        <v>2012</v>
      </c>
      <c r="B47" s="358">
        <f t="shared" ref="B47:M48" si="21">B36/B24</f>
        <v>1.5421098614597447E-2</v>
      </c>
      <c r="C47" s="358">
        <f t="shared" si="21"/>
        <v>1.7171787225189011E-2</v>
      </c>
      <c r="D47" s="358">
        <f t="shared" si="21"/>
        <v>1.8776415159703456E-2</v>
      </c>
      <c r="E47" s="358">
        <f t="shared" si="21"/>
        <v>1.7709009096053802E-2</v>
      </c>
      <c r="F47" s="358">
        <f t="shared" si="21"/>
        <v>1.8870270344941962E-2</v>
      </c>
      <c r="G47" s="358">
        <f t="shared" si="21"/>
        <v>2.1858452349679987E-2</v>
      </c>
      <c r="H47" s="358">
        <f t="shared" si="21"/>
        <v>1.91393493447976E-2</v>
      </c>
      <c r="I47" s="358">
        <f t="shared" si="21"/>
        <v>2.0223171235707424E-2</v>
      </c>
      <c r="J47" s="358">
        <f t="shared" si="21"/>
        <v>1.9950809986397276E-2</v>
      </c>
      <c r="K47" s="358">
        <f t="shared" si="21"/>
        <v>2.3497725804900168E-2</v>
      </c>
      <c r="L47" s="358">
        <f t="shared" si="21"/>
        <v>2.3220727207889313E-2</v>
      </c>
      <c r="M47" s="358">
        <f t="shared" si="21"/>
        <v>2.3181301603384795E-2</v>
      </c>
    </row>
    <row r="48" spans="1:13">
      <c r="A48" s="316">
        <f>A37</f>
        <v>2013</v>
      </c>
      <c r="B48" s="358">
        <f>B37/B25</f>
        <v>2.2261373103344667E-2</v>
      </c>
      <c r="C48" s="358">
        <f t="shared" si="21"/>
        <v>2.4013745517025002E-2</v>
      </c>
      <c r="D48" s="358">
        <f t="shared" si="21"/>
        <v>2.3041349292709418E-2</v>
      </c>
      <c r="E48" s="358">
        <f t="shared" si="21"/>
        <v>2.1374708403406984E-2</v>
      </c>
      <c r="F48" s="358">
        <f t="shared" si="21"/>
        <v>2.3428920073215401E-2</v>
      </c>
      <c r="G48" s="358">
        <f t="shared" si="21"/>
        <v>2.4299824110404596E-2</v>
      </c>
      <c r="H48" s="358">
        <f t="shared" si="21"/>
        <v>2.6040399123874472E-2</v>
      </c>
      <c r="I48" s="358">
        <f t="shared" si="21"/>
        <v>2.7437954036025794E-2</v>
      </c>
      <c r="J48" s="358">
        <f t="shared" si="21"/>
        <v>2.7104578949495469E-2</v>
      </c>
      <c r="K48" s="358">
        <f t="shared" si="21"/>
        <v>2.6234174241101946E-2</v>
      </c>
      <c r="L48" s="358">
        <f t="shared" si="21"/>
        <v>2.7841076646738669E-2</v>
      </c>
      <c r="M48" s="358">
        <f t="shared" si="21"/>
        <v>2.8571046222198429E-2</v>
      </c>
    </row>
    <row r="49" spans="1:13">
      <c r="A49" s="316">
        <f>A38</f>
        <v>2014</v>
      </c>
      <c r="B49" s="358">
        <f>B38/B26</f>
        <v>2.9445164393261229E-2</v>
      </c>
      <c r="C49" s="358">
        <f t="shared" ref="C49:M49" si="22">C38/C26</f>
        <v>2.8524249607159127E-2</v>
      </c>
      <c r="D49" s="358">
        <f t="shared" si="22"/>
        <v>2.8904193368255983E-2</v>
      </c>
      <c r="E49" s="358">
        <f t="shared" si="22"/>
        <v>3.1470760078610507E-2</v>
      </c>
      <c r="F49" s="358">
        <f t="shared" si="22"/>
        <v>3.2099943033530753E-2</v>
      </c>
      <c r="G49" s="358">
        <f t="shared" si="22"/>
        <v>3.0909042876390246E-2</v>
      </c>
      <c r="H49" s="358">
        <f t="shared" si="22"/>
        <v>3.2244887202192679E-2</v>
      </c>
      <c r="I49" s="358">
        <f t="shared" si="22"/>
        <v>3.2684978315153088E-2</v>
      </c>
      <c r="J49" s="358">
        <f t="shared" si="22"/>
        <v>3.3301417835079894E-2</v>
      </c>
      <c r="K49" s="358">
        <f t="shared" si="22"/>
        <v>3.4878396588039873E-2</v>
      </c>
      <c r="L49" s="358">
        <f t="shared" si="22"/>
        <v>3.6163747571042945E-2</v>
      </c>
      <c r="M49" s="358">
        <f t="shared" si="22"/>
        <v>3.6377356526716989E-2</v>
      </c>
    </row>
    <row r="50" spans="1:13">
      <c r="A50" s="316">
        <f t="shared" ref="A50" si="23">A39</f>
        <v>2015</v>
      </c>
      <c r="B50" s="358">
        <f t="shared" ref="B50:M50" si="24">B39/B27</f>
        <v>3.4391019401726043E-2</v>
      </c>
      <c r="C50" s="358">
        <f t="shared" si="24"/>
        <v>3.4789476409964243E-2</v>
      </c>
      <c r="D50" s="358">
        <f t="shared" si="24"/>
        <v>3.6465601902103663E-2</v>
      </c>
      <c r="E50" s="358">
        <f t="shared" si="24"/>
        <v>3.5299570019825408E-2</v>
      </c>
      <c r="F50" s="358">
        <f t="shared" si="24"/>
        <v>3.5067902343850259E-2</v>
      </c>
      <c r="G50" s="358">
        <f t="shared" si="24"/>
        <v>3.4582169489788026E-2</v>
      </c>
      <c r="H50" s="358">
        <f t="shared" si="24"/>
        <v>3.3969490010850881E-2</v>
      </c>
      <c r="I50" s="358">
        <f t="shared" si="24"/>
        <v>3.2337706962597246E-2</v>
      </c>
      <c r="J50" s="358">
        <f t="shared" si="24"/>
        <v>3.0057627376811984E-2</v>
      </c>
      <c r="K50" s="358">
        <f t="shared" si="24"/>
        <v>3.0251697154343095E-2</v>
      </c>
      <c r="L50" s="358">
        <f t="shared" si="24"/>
        <v>2.91622614912148E-2</v>
      </c>
      <c r="M50" s="358">
        <f t="shared" si="24"/>
        <v>2.9262964962275689E-2</v>
      </c>
    </row>
    <row r="51" spans="1:13">
      <c r="A51" s="316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</row>
    <row r="52" spans="1:13">
      <c r="A52" s="316"/>
      <c r="B52" s="358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8"/>
    </row>
  </sheetData>
  <mergeCells count="11">
    <mergeCell ref="B10:F10"/>
    <mergeCell ref="B11:F11"/>
    <mergeCell ref="B12:F12"/>
    <mergeCell ref="B13:F13"/>
    <mergeCell ref="B14:F14"/>
    <mergeCell ref="B9:F9"/>
    <mergeCell ref="A4:F4"/>
    <mergeCell ref="A5:F5"/>
    <mergeCell ref="A6:F6"/>
    <mergeCell ref="B7:F7"/>
    <mergeCell ref="A8:F8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C1:F13"/>
  <sheetViews>
    <sheetView workbookViewId="0">
      <selection activeCell="C2" sqref="C1:C2"/>
    </sheetView>
  </sheetViews>
  <sheetFormatPr defaultRowHeight="14.4"/>
  <cols>
    <col min="3" max="3" width="21.88671875" customWidth="1"/>
    <col min="4" max="4" width="18.33203125" customWidth="1"/>
    <col min="5" max="5" width="18.5546875" customWidth="1"/>
    <col min="6" max="6" width="21.33203125" customWidth="1"/>
  </cols>
  <sheetData>
    <row r="1" spans="3:6" s="418" customFormat="1">
      <c r="C1" s="453" t="s">
        <v>305</v>
      </c>
    </row>
    <row r="2" spans="3:6" s="418" customFormat="1">
      <c r="C2" s="453" t="s">
        <v>290</v>
      </c>
    </row>
    <row r="3" spans="3:6">
      <c r="C3" t="s">
        <v>282</v>
      </c>
    </row>
    <row r="5" spans="3:6">
      <c r="D5" t="s">
        <v>87</v>
      </c>
      <c r="E5" t="s">
        <v>88</v>
      </c>
      <c r="F5" t="s">
        <v>89</v>
      </c>
    </row>
    <row r="6" spans="3:6">
      <c r="C6" t="s">
        <v>1</v>
      </c>
      <c r="E6" s="40">
        <v>1958.2730903261227</v>
      </c>
      <c r="F6">
        <v>264.6054766748253</v>
      </c>
    </row>
    <row r="7" spans="3:6">
      <c r="C7" t="s">
        <v>90</v>
      </c>
      <c r="E7" s="40">
        <v>2000.0744940717589</v>
      </c>
      <c r="F7" s="41">
        <v>150.93849556135274</v>
      </c>
    </row>
    <row r="9" spans="3:6">
      <c r="E9" s="41"/>
      <c r="F9" s="41"/>
    </row>
    <row r="10" spans="3:6">
      <c r="E10" s="2">
        <f>E7/E6-1</f>
        <v>2.1346054312922691E-2</v>
      </c>
      <c r="F10" s="2">
        <f>F7/F6-1</f>
        <v>-0.42957153624283584</v>
      </c>
    </row>
    <row r="13" spans="3:6">
      <c r="E13" s="2"/>
      <c r="F13" s="2"/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D1:K45"/>
  <sheetViews>
    <sheetView workbookViewId="0">
      <selection activeCell="D2" sqref="D1:D2"/>
    </sheetView>
  </sheetViews>
  <sheetFormatPr defaultRowHeight="14.4"/>
  <cols>
    <col min="5" max="5" width="14.33203125" bestFit="1" customWidth="1"/>
  </cols>
  <sheetData>
    <row r="1" spans="4:6" s="418" customFormat="1">
      <c r="D1" s="453" t="s">
        <v>306</v>
      </c>
    </row>
    <row r="2" spans="4:6">
      <c r="D2" s="453" t="s">
        <v>290</v>
      </c>
    </row>
    <row r="4" spans="4:6">
      <c r="D4">
        <v>1989</v>
      </c>
      <c r="E4" s="40">
        <v>12674452.053220762</v>
      </c>
    </row>
    <row r="5" spans="4:6">
      <c r="D5">
        <f>D4+1</f>
        <v>1990</v>
      </c>
      <c r="E5" s="40">
        <v>13049785.923558632</v>
      </c>
      <c r="F5" s="2">
        <f>E5/E4-1</f>
        <v>2.961341987502264E-2</v>
      </c>
    </row>
    <row r="6" spans="4:6">
      <c r="D6">
        <f t="shared" ref="D6:D45" si="0">D5+1</f>
        <v>1991</v>
      </c>
      <c r="E6" s="40">
        <v>13382304.092750674</v>
      </c>
      <c r="F6" s="2">
        <f t="shared" ref="F6:F45" si="1">E6/E5-1</f>
        <v>2.5480737472616477E-2</v>
      </c>
    </row>
    <row r="7" spans="4:6">
      <c r="D7">
        <f t="shared" si="0"/>
        <v>1992</v>
      </c>
      <c r="E7" s="40">
        <v>13672615.051105028</v>
      </c>
      <c r="F7" s="2">
        <f t="shared" si="1"/>
        <v>2.1693645305192133E-2</v>
      </c>
    </row>
    <row r="8" spans="4:6">
      <c r="D8">
        <f t="shared" si="0"/>
        <v>1993</v>
      </c>
      <c r="E8" s="40">
        <v>13958617.241941659</v>
      </c>
      <c r="F8" s="2">
        <f t="shared" si="1"/>
        <v>2.0917885113244328E-2</v>
      </c>
    </row>
    <row r="9" spans="4:6">
      <c r="D9">
        <f t="shared" si="0"/>
        <v>1994</v>
      </c>
      <c r="E9" s="40">
        <v>14262054.872502541</v>
      </c>
      <c r="F9" s="2">
        <f t="shared" si="1"/>
        <v>2.1738373171315217E-2</v>
      </c>
    </row>
    <row r="10" spans="4:6">
      <c r="D10">
        <f t="shared" si="0"/>
        <v>1995</v>
      </c>
      <c r="E10" s="40">
        <v>14566837.748975718</v>
      </c>
      <c r="F10" s="2">
        <f t="shared" si="1"/>
        <v>2.1370193790293479E-2</v>
      </c>
    </row>
    <row r="11" spans="4:6">
      <c r="D11">
        <f t="shared" si="0"/>
        <v>1996</v>
      </c>
      <c r="E11" s="40">
        <v>14883120.113101294</v>
      </c>
      <c r="F11" s="2">
        <f t="shared" si="1"/>
        <v>2.171249310083212E-2</v>
      </c>
    </row>
    <row r="12" spans="4:6">
      <c r="D12">
        <f t="shared" si="0"/>
        <v>1997</v>
      </c>
      <c r="E12" s="40">
        <v>15204751.37982443</v>
      </c>
      <c r="F12" s="2">
        <f t="shared" si="1"/>
        <v>2.1610473091593807E-2</v>
      </c>
    </row>
    <row r="13" spans="4:6">
      <c r="D13">
        <f t="shared" si="0"/>
        <v>1998</v>
      </c>
      <c r="E13" s="40">
        <v>15504319.282613039</v>
      </c>
      <c r="F13" s="2">
        <f t="shared" si="1"/>
        <v>1.9702255913642386E-2</v>
      </c>
    </row>
    <row r="14" spans="4:6">
      <c r="D14">
        <f t="shared" si="0"/>
        <v>1999</v>
      </c>
      <c r="E14" s="40">
        <v>15787590.070392355</v>
      </c>
      <c r="F14" s="2">
        <f t="shared" si="1"/>
        <v>1.8270443391667168E-2</v>
      </c>
    </row>
    <row r="15" spans="4:6">
      <c r="D15">
        <f t="shared" si="0"/>
        <v>2000</v>
      </c>
      <c r="E15" s="40">
        <v>16078890.494282061</v>
      </c>
      <c r="F15" s="2">
        <f t="shared" si="1"/>
        <v>1.845122799558907E-2</v>
      </c>
    </row>
    <row r="16" spans="4:6">
      <c r="D16">
        <f t="shared" si="0"/>
        <v>2001</v>
      </c>
      <c r="E16" s="40">
        <v>16388303.35713686</v>
      </c>
      <c r="F16" s="2">
        <f t="shared" si="1"/>
        <v>1.924342124009315E-2</v>
      </c>
    </row>
    <row r="17" spans="4:11">
      <c r="D17">
        <f t="shared" si="0"/>
        <v>2002</v>
      </c>
      <c r="E17" s="40">
        <v>16714101.643436439</v>
      </c>
      <c r="F17" s="2">
        <f t="shared" si="1"/>
        <v>1.9879927726484281E-2</v>
      </c>
    </row>
    <row r="18" spans="4:11">
      <c r="D18">
        <f t="shared" si="0"/>
        <v>2003</v>
      </c>
      <c r="E18" s="40">
        <v>17054677.240649778</v>
      </c>
      <c r="F18" s="2">
        <f t="shared" si="1"/>
        <v>2.0376542184490143E-2</v>
      </c>
    </row>
    <row r="19" spans="4:11">
      <c r="D19">
        <f t="shared" si="0"/>
        <v>2004</v>
      </c>
      <c r="E19" s="40">
        <v>17451718.741511848</v>
      </c>
      <c r="F19" s="2">
        <f t="shared" si="1"/>
        <v>2.3280505122414308E-2</v>
      </c>
    </row>
    <row r="20" spans="4:11">
      <c r="D20">
        <f t="shared" si="0"/>
        <v>2005</v>
      </c>
      <c r="E20" s="40">
        <v>17848513.044241201</v>
      </c>
      <c r="F20" s="2">
        <f t="shared" si="1"/>
        <v>2.2736689068080906E-2</v>
      </c>
    </row>
    <row r="21" spans="4:11">
      <c r="D21">
        <f t="shared" si="0"/>
        <v>2006</v>
      </c>
      <c r="E21" s="40">
        <v>18160049.687811039</v>
      </c>
      <c r="F21" s="2">
        <f t="shared" si="1"/>
        <v>1.7454487261635121E-2</v>
      </c>
    </row>
    <row r="22" spans="4:11">
      <c r="D22">
        <f t="shared" si="0"/>
        <v>2007</v>
      </c>
      <c r="E22" s="40">
        <v>18371970.223515984</v>
      </c>
      <c r="F22" s="2">
        <f t="shared" si="1"/>
        <v>1.166960109405335E-2</v>
      </c>
    </row>
    <row r="23" spans="4:11">
      <c r="D23">
        <f t="shared" si="0"/>
        <v>2008</v>
      </c>
      <c r="E23" s="40">
        <v>18532848.995339315</v>
      </c>
      <c r="F23" s="2">
        <f t="shared" si="1"/>
        <v>8.7567511739925497E-3</v>
      </c>
    </row>
    <row r="24" spans="4:11">
      <c r="D24">
        <f t="shared" si="0"/>
        <v>2009</v>
      </c>
      <c r="E24" s="40">
        <v>18683477.087605253</v>
      </c>
      <c r="F24" s="2">
        <f t="shared" si="1"/>
        <v>8.127627452412689E-3</v>
      </c>
    </row>
    <row r="25" spans="4:11">
      <c r="D25">
        <f t="shared" si="0"/>
        <v>2010</v>
      </c>
      <c r="E25" s="40">
        <v>18884323.153080493</v>
      </c>
      <c r="F25" s="2">
        <f t="shared" si="1"/>
        <v>1.0749929712413175E-2</v>
      </c>
    </row>
    <row r="26" spans="4:11">
      <c r="D26">
        <f t="shared" si="0"/>
        <v>2011</v>
      </c>
      <c r="E26" s="40">
        <v>19127455.257854287</v>
      </c>
      <c r="F26" s="2">
        <f t="shared" si="1"/>
        <v>1.2874811705079869E-2</v>
      </c>
    </row>
    <row r="27" spans="4:11">
      <c r="D27">
        <f t="shared" si="0"/>
        <v>2012</v>
      </c>
      <c r="E27" s="40">
        <v>19375896.62022185</v>
      </c>
      <c r="F27" s="2">
        <f t="shared" si="1"/>
        <v>1.2988730545614224E-2</v>
      </c>
    </row>
    <row r="28" spans="4:11">
      <c r="D28">
        <f t="shared" si="0"/>
        <v>2013</v>
      </c>
      <c r="E28" s="40">
        <v>19632745.763058599</v>
      </c>
      <c r="F28" s="2">
        <f t="shared" si="1"/>
        <v>1.3256116497271542E-2</v>
      </c>
      <c r="I28" t="s">
        <v>93</v>
      </c>
      <c r="K28" s="48">
        <f>(E30/E27)^(1/3)-1</f>
        <v>1.4123824186396128E-2</v>
      </c>
    </row>
    <row r="29" spans="4:11">
      <c r="D29">
        <f t="shared" si="0"/>
        <v>2014</v>
      </c>
      <c r="E29" s="40">
        <v>19917509.610301442</v>
      </c>
      <c r="F29" s="2">
        <f t="shared" si="1"/>
        <v>1.4504534958052595E-2</v>
      </c>
    </row>
    <row r="30" spans="4:11">
      <c r="D30">
        <f t="shared" si="0"/>
        <v>2015</v>
      </c>
      <c r="E30" s="40">
        <v>20208531.934522722</v>
      </c>
      <c r="F30" s="2">
        <f t="shared" si="1"/>
        <v>1.4611381137266344E-2</v>
      </c>
    </row>
    <row r="31" spans="4:11">
      <c r="D31">
        <f t="shared" si="0"/>
        <v>2016</v>
      </c>
      <c r="E31" s="40">
        <v>20497926.462129477</v>
      </c>
      <c r="F31" s="2">
        <f t="shared" si="1"/>
        <v>1.4320413206877936E-2</v>
      </c>
      <c r="I31" t="s">
        <v>92</v>
      </c>
      <c r="K31" s="48">
        <f>(E35/E30)^(1/5)-1</f>
        <v>1.4095837616557416E-2</v>
      </c>
    </row>
    <row r="32" spans="4:11">
      <c r="D32">
        <f t="shared" si="0"/>
        <v>2017</v>
      </c>
      <c r="E32" s="40">
        <v>20789909.034648355</v>
      </c>
      <c r="F32" s="2">
        <f t="shared" si="1"/>
        <v>1.4244493122673951E-2</v>
      </c>
    </row>
    <row r="33" spans="4:6">
      <c r="D33">
        <f t="shared" si="0"/>
        <v>2018</v>
      </c>
      <c r="E33" s="40">
        <v>21084790.28781775</v>
      </c>
      <c r="F33" s="2">
        <f t="shared" si="1"/>
        <v>1.4183864521867262E-2</v>
      </c>
    </row>
    <row r="34" spans="4:6">
      <c r="D34">
        <f t="shared" si="0"/>
        <v>2019</v>
      </c>
      <c r="E34" s="40">
        <v>21379566.406935688</v>
      </c>
      <c r="F34" s="2">
        <f t="shared" si="1"/>
        <v>1.3980509888602111E-2</v>
      </c>
    </row>
    <row r="35" spans="4:6">
      <c r="D35">
        <f t="shared" si="0"/>
        <v>2020</v>
      </c>
      <c r="E35" s="40">
        <v>21673535.711390611</v>
      </c>
      <c r="F35" s="2">
        <f t="shared" si="1"/>
        <v>1.3750012458604299E-2</v>
      </c>
    </row>
    <row r="36" spans="4:6">
      <c r="D36">
        <f t="shared" si="0"/>
        <v>2021</v>
      </c>
      <c r="E36" s="40">
        <v>21967555.140114419</v>
      </c>
      <c r="F36" s="2">
        <f t="shared" si="1"/>
        <v>1.3565826667094605E-2</v>
      </c>
    </row>
    <row r="37" spans="4:6">
      <c r="D37">
        <f t="shared" si="0"/>
        <v>2022</v>
      </c>
      <c r="E37" s="40">
        <v>22262855.274211507</v>
      </c>
      <c r="F37" s="2">
        <f t="shared" si="1"/>
        <v>1.344255800035965E-2</v>
      </c>
    </row>
    <row r="38" spans="4:6">
      <c r="D38">
        <f t="shared" si="0"/>
        <v>2023</v>
      </c>
      <c r="E38" s="40">
        <v>22559651.458081409</v>
      </c>
      <c r="F38" s="2">
        <f t="shared" si="1"/>
        <v>1.3331451883159762E-2</v>
      </c>
    </row>
    <row r="39" spans="4:6">
      <c r="D39">
        <f t="shared" si="0"/>
        <v>2024</v>
      </c>
      <c r="E39" s="40">
        <v>22857847.931535646</v>
      </c>
      <c r="F39" s="2">
        <f t="shared" si="1"/>
        <v>1.3218133002113275E-2</v>
      </c>
    </row>
    <row r="40" spans="4:6">
      <c r="D40">
        <f t="shared" si="0"/>
        <v>2025</v>
      </c>
      <c r="E40" s="40">
        <v>23157353.81092893</v>
      </c>
      <c r="F40" s="2">
        <f t="shared" si="1"/>
        <v>1.3102978035831381E-2</v>
      </c>
    </row>
    <row r="41" spans="4:6">
      <c r="D41">
        <f t="shared" si="0"/>
        <v>2026</v>
      </c>
      <c r="E41" s="40">
        <v>23458163.314039022</v>
      </c>
      <c r="F41" s="2">
        <f t="shared" si="1"/>
        <v>1.2989804688656958E-2</v>
      </c>
    </row>
    <row r="42" spans="4:6">
      <c r="D42">
        <f t="shared" si="0"/>
        <v>2027</v>
      </c>
      <c r="E42" s="40">
        <v>23760176.155054826</v>
      </c>
      <c r="F42" s="2">
        <f t="shared" si="1"/>
        <v>1.287453058334953E-2</v>
      </c>
    </row>
    <row r="43" spans="4:6">
      <c r="D43">
        <f t="shared" si="0"/>
        <v>2028</v>
      </c>
      <c r="E43" s="40">
        <v>24063199.40527292</v>
      </c>
      <c r="F43" s="2">
        <f t="shared" si="1"/>
        <v>1.2753409244132596E-2</v>
      </c>
    </row>
    <row r="44" spans="4:6">
      <c r="D44">
        <f t="shared" si="0"/>
        <v>2029</v>
      </c>
      <c r="E44" s="40">
        <v>24366050.374774378</v>
      </c>
      <c r="F44" s="2">
        <f t="shared" si="1"/>
        <v>1.2585648500053281E-2</v>
      </c>
    </row>
    <row r="45" spans="4:6">
      <c r="D45">
        <f t="shared" si="0"/>
        <v>2030</v>
      </c>
      <c r="E45" s="40">
        <v>24668284.846738841</v>
      </c>
      <c r="F45" s="2">
        <f t="shared" si="1"/>
        <v>1.2403917225639605E-2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324"/>
  <sheetViews>
    <sheetView workbookViewId="0">
      <selection activeCell="A2" sqref="A1:A2"/>
    </sheetView>
  </sheetViews>
  <sheetFormatPr defaultRowHeight="14.4"/>
  <cols>
    <col min="1" max="1" width="12.109375" customWidth="1"/>
    <col min="2" max="2" width="22.5546875" bestFit="1" customWidth="1"/>
    <col min="11" max="11" width="12.6640625" bestFit="1" customWidth="1"/>
  </cols>
  <sheetData>
    <row r="1" spans="1:6" s="418" customFormat="1">
      <c r="A1" s="453" t="s">
        <v>307</v>
      </c>
    </row>
    <row r="2" spans="1:6" s="418" customFormat="1">
      <c r="A2" s="453" t="s">
        <v>290</v>
      </c>
    </row>
    <row r="3" spans="1:6" s="418" customFormat="1"/>
    <row r="4" spans="1:6" ht="15.6">
      <c r="A4" s="439" t="s">
        <v>49</v>
      </c>
      <c r="B4" s="437"/>
      <c r="C4" s="437"/>
      <c r="D4" s="437"/>
      <c r="E4" s="437"/>
      <c r="F4" s="437"/>
    </row>
    <row r="5" spans="1:6" ht="15.6">
      <c r="A5" s="440" t="s">
        <v>50</v>
      </c>
      <c r="B5" s="441"/>
      <c r="C5" s="441"/>
      <c r="D5" s="441"/>
      <c r="E5" s="441"/>
      <c r="F5" s="441"/>
    </row>
    <row r="6" spans="1:6">
      <c r="A6" s="437"/>
      <c r="B6" s="437"/>
      <c r="C6" s="437"/>
      <c r="D6" s="437"/>
      <c r="E6" s="437"/>
      <c r="F6" s="437"/>
    </row>
    <row r="7" spans="1:6">
      <c r="A7" s="49" t="s">
        <v>51</v>
      </c>
      <c r="B7" s="436" t="s">
        <v>52</v>
      </c>
      <c r="C7" s="437"/>
      <c r="D7" s="437"/>
      <c r="E7" s="437"/>
      <c r="F7" s="437"/>
    </row>
    <row r="8" spans="1:6">
      <c r="A8" s="442" t="s">
        <v>53</v>
      </c>
      <c r="B8" s="441"/>
      <c r="C8" s="441"/>
      <c r="D8" s="441"/>
      <c r="E8" s="441"/>
      <c r="F8" s="441"/>
    </row>
    <row r="9" spans="1:6">
      <c r="A9" s="49" t="s">
        <v>54</v>
      </c>
      <c r="B9" s="436" t="s">
        <v>55</v>
      </c>
      <c r="C9" s="437"/>
      <c r="D9" s="437"/>
      <c r="E9" s="437"/>
      <c r="F9" s="437"/>
    </row>
    <row r="10" spans="1:6">
      <c r="A10" s="49" t="s">
        <v>56</v>
      </c>
      <c r="B10" s="436" t="s">
        <v>57</v>
      </c>
      <c r="C10" s="437"/>
      <c r="D10" s="437"/>
      <c r="E10" s="437"/>
      <c r="F10" s="437"/>
    </row>
    <row r="11" spans="1:6" ht="26.4">
      <c r="A11" s="49" t="s">
        <v>58</v>
      </c>
      <c r="B11" s="436" t="s">
        <v>59</v>
      </c>
      <c r="C11" s="437"/>
      <c r="D11" s="437"/>
      <c r="E11" s="437"/>
      <c r="F11" s="437"/>
    </row>
    <row r="12" spans="1:6">
      <c r="A12" s="49" t="s">
        <v>60</v>
      </c>
      <c r="B12" s="436" t="s">
        <v>59</v>
      </c>
      <c r="C12" s="437"/>
      <c r="D12" s="437"/>
      <c r="E12" s="437"/>
      <c r="F12" s="437"/>
    </row>
    <row r="13" spans="1:6">
      <c r="A13" s="49" t="s">
        <v>61</v>
      </c>
      <c r="B13" s="436" t="s">
        <v>62</v>
      </c>
      <c r="C13" s="437"/>
      <c r="D13" s="437"/>
      <c r="E13" s="437"/>
      <c r="F13" s="437"/>
    </row>
    <row r="14" spans="1:6">
      <c r="A14" s="49" t="s">
        <v>63</v>
      </c>
      <c r="B14" s="438" t="s">
        <v>94</v>
      </c>
      <c r="C14" s="437"/>
      <c r="D14" s="437"/>
      <c r="E14" s="437"/>
      <c r="F14" s="437"/>
    </row>
    <row r="16" spans="1:6" ht="27.6" thickBot="1">
      <c r="A16" s="50" t="s">
        <v>95</v>
      </c>
      <c r="B16" s="50" t="s">
        <v>96</v>
      </c>
      <c r="C16" s="50" t="s">
        <v>65</v>
      </c>
      <c r="D16" s="50" t="s">
        <v>97</v>
      </c>
      <c r="E16" s="50" t="s">
        <v>98</v>
      </c>
      <c r="F16" s="51" t="s">
        <v>99</v>
      </c>
    </row>
    <row r="17" spans="1:7" ht="15" thickTop="1">
      <c r="A17" s="52">
        <f t="shared" ref="A17:A80" si="0">IF(D17="M13","Annual Average",IF(LEFT(D17,1)="M",DATE(C17,RIGHT(D17,2),1),IF(D17="S01","First Half","Second Half")))</f>
        <v>32874</v>
      </c>
      <c r="B17" s="53" t="s">
        <v>52</v>
      </c>
      <c r="C17" s="53">
        <v>1990</v>
      </c>
      <c r="D17" s="53" t="s">
        <v>100</v>
      </c>
      <c r="E17" s="54">
        <v>5346.4</v>
      </c>
    </row>
    <row r="18" spans="1:7">
      <c r="A18" s="52">
        <f t="shared" si="0"/>
        <v>32905</v>
      </c>
      <c r="B18" s="53" t="s">
        <v>52</v>
      </c>
      <c r="C18" s="53">
        <v>1990</v>
      </c>
      <c r="D18" s="53" t="s">
        <v>101</v>
      </c>
      <c r="E18" s="54">
        <v>5363.4</v>
      </c>
    </row>
    <row r="19" spans="1:7">
      <c r="A19" s="52">
        <f t="shared" si="0"/>
        <v>32933</v>
      </c>
      <c r="B19" s="53" t="s">
        <v>52</v>
      </c>
      <c r="C19" s="53">
        <v>1990</v>
      </c>
      <c r="D19" s="53" t="s">
        <v>102</v>
      </c>
      <c r="E19" s="54">
        <v>5372.8</v>
      </c>
    </row>
    <row r="20" spans="1:7">
      <c r="A20" s="52">
        <f t="shared" si="0"/>
        <v>32964</v>
      </c>
      <c r="B20" s="53" t="s">
        <v>52</v>
      </c>
      <c r="C20" s="53">
        <v>1990</v>
      </c>
      <c r="D20" s="53" t="s">
        <v>103</v>
      </c>
      <c r="E20" s="54">
        <v>5374.7</v>
      </c>
    </row>
    <row r="21" spans="1:7">
      <c r="A21" s="52">
        <f t="shared" si="0"/>
        <v>32994</v>
      </c>
      <c r="B21" s="53" t="s">
        <v>52</v>
      </c>
      <c r="C21" s="53">
        <v>1990</v>
      </c>
      <c r="D21" s="53" t="s">
        <v>104</v>
      </c>
      <c r="E21" s="54">
        <v>5380</v>
      </c>
    </row>
    <row r="22" spans="1:7">
      <c r="A22" s="52">
        <f t="shared" si="0"/>
        <v>33025</v>
      </c>
      <c r="B22" s="53" t="s">
        <v>52</v>
      </c>
      <c r="C22" s="53">
        <v>1990</v>
      </c>
      <c r="D22" s="53" t="s">
        <v>105</v>
      </c>
      <c r="E22" s="54">
        <v>5383.8</v>
      </c>
    </row>
    <row r="23" spans="1:7">
      <c r="A23" s="52">
        <f t="shared" si="0"/>
        <v>33055</v>
      </c>
      <c r="B23" s="53" t="s">
        <v>52</v>
      </c>
      <c r="C23" s="53">
        <v>1990</v>
      </c>
      <c r="D23" s="53" t="s">
        <v>106</v>
      </c>
      <c r="E23" s="54">
        <v>5372</v>
      </c>
    </row>
    <row r="24" spans="1:7">
      <c r="A24" s="52">
        <f t="shared" si="0"/>
        <v>33086</v>
      </c>
      <c r="B24" s="53" t="s">
        <v>52</v>
      </c>
      <c r="C24" s="53">
        <v>1990</v>
      </c>
      <c r="D24" s="53" t="s">
        <v>107</v>
      </c>
      <c r="E24" s="54">
        <v>5369.9</v>
      </c>
    </row>
    <row r="25" spans="1:7">
      <c r="A25" s="52">
        <f t="shared" si="0"/>
        <v>33117</v>
      </c>
      <c r="B25" s="53" t="s">
        <v>52</v>
      </c>
      <c r="C25" s="53">
        <v>1990</v>
      </c>
      <c r="D25" s="53" t="s">
        <v>108</v>
      </c>
      <c r="E25" s="54">
        <v>5363.5</v>
      </c>
    </row>
    <row r="26" spans="1:7">
      <c r="A26" s="52">
        <f t="shared" si="0"/>
        <v>33147</v>
      </c>
      <c r="B26" s="53" t="s">
        <v>52</v>
      </c>
      <c r="C26" s="53">
        <v>1990</v>
      </c>
      <c r="D26" s="53" t="s">
        <v>109</v>
      </c>
      <c r="E26" s="54">
        <v>5357.7</v>
      </c>
    </row>
    <row r="27" spans="1:7">
      <c r="A27" s="52">
        <f t="shared" si="0"/>
        <v>33178</v>
      </c>
      <c r="B27" s="53" t="s">
        <v>52</v>
      </c>
      <c r="C27" s="53">
        <v>1990</v>
      </c>
      <c r="D27" s="53" t="s">
        <v>110</v>
      </c>
      <c r="E27" s="54">
        <v>5343.6</v>
      </c>
    </row>
    <row r="28" spans="1:7">
      <c r="A28" s="52">
        <f t="shared" si="0"/>
        <v>33208</v>
      </c>
      <c r="B28" s="53" t="s">
        <v>52</v>
      </c>
      <c r="C28" s="53">
        <v>1990</v>
      </c>
      <c r="D28" s="53" t="s">
        <v>111</v>
      </c>
      <c r="E28" s="54">
        <v>5335.6</v>
      </c>
      <c r="G28">
        <f t="shared" ref="G28:G86" si="1">AVERAGE(E17:E28)</f>
        <v>5363.6166666666659</v>
      </c>
    </row>
    <row r="29" spans="1:7">
      <c r="A29" s="52">
        <f t="shared" si="0"/>
        <v>33239</v>
      </c>
      <c r="B29" s="53" t="s">
        <v>52</v>
      </c>
      <c r="C29" s="53">
        <v>1991</v>
      </c>
      <c r="D29" s="53" t="s">
        <v>100</v>
      </c>
      <c r="E29" s="54">
        <v>5313.6</v>
      </c>
      <c r="G29">
        <f t="shared" si="1"/>
        <v>5360.8833333333323</v>
      </c>
    </row>
    <row r="30" spans="1:7">
      <c r="A30" s="52">
        <f t="shared" si="0"/>
        <v>33270</v>
      </c>
      <c r="B30" s="53" t="s">
        <v>52</v>
      </c>
      <c r="C30" s="53">
        <v>1991</v>
      </c>
      <c r="D30" s="53" t="s">
        <v>101</v>
      </c>
      <c r="E30" s="54">
        <v>5293.4</v>
      </c>
      <c r="G30">
        <f t="shared" si="1"/>
        <v>5355.0499999999993</v>
      </c>
    </row>
    <row r="31" spans="1:7">
      <c r="A31" s="52">
        <f t="shared" si="0"/>
        <v>33298</v>
      </c>
      <c r="B31" s="53" t="s">
        <v>52</v>
      </c>
      <c r="C31" s="53">
        <v>1991</v>
      </c>
      <c r="D31" s="53" t="s">
        <v>102</v>
      </c>
      <c r="E31" s="54">
        <v>5282</v>
      </c>
      <c r="G31">
        <f t="shared" si="1"/>
        <v>5347.4833333333327</v>
      </c>
    </row>
    <row r="32" spans="1:7">
      <c r="A32" s="52">
        <f t="shared" si="0"/>
        <v>33329</v>
      </c>
      <c r="B32" s="53" t="s">
        <v>52</v>
      </c>
      <c r="C32" s="53">
        <v>1991</v>
      </c>
      <c r="D32" s="53" t="s">
        <v>103</v>
      </c>
      <c r="E32" s="54">
        <v>5276.9</v>
      </c>
      <c r="G32">
        <f t="shared" si="1"/>
        <v>5339.333333333333</v>
      </c>
    </row>
    <row r="33" spans="1:8">
      <c r="A33" s="52">
        <f t="shared" si="0"/>
        <v>33359</v>
      </c>
      <c r="B33" s="53" t="s">
        <v>52</v>
      </c>
      <c r="C33" s="53">
        <v>1991</v>
      </c>
      <c r="D33" s="53" t="s">
        <v>104</v>
      </c>
      <c r="E33" s="54">
        <v>5271.9</v>
      </c>
      <c r="G33">
        <f t="shared" si="1"/>
        <v>5330.3249999999998</v>
      </c>
    </row>
    <row r="34" spans="1:8">
      <c r="A34" s="52">
        <f t="shared" si="0"/>
        <v>33390</v>
      </c>
      <c r="B34" s="53" t="s">
        <v>52</v>
      </c>
      <c r="C34" s="53">
        <v>1991</v>
      </c>
      <c r="D34" s="53" t="s">
        <v>105</v>
      </c>
      <c r="E34" s="54">
        <v>5262.5</v>
      </c>
      <c r="G34">
        <f t="shared" si="1"/>
        <v>5320.2166666666662</v>
      </c>
    </row>
    <row r="35" spans="1:8">
      <c r="A35" s="52">
        <f t="shared" si="0"/>
        <v>33420</v>
      </c>
      <c r="B35" s="53" t="s">
        <v>52</v>
      </c>
      <c r="C35" s="53">
        <v>1991</v>
      </c>
      <c r="D35" s="53" t="s">
        <v>106</v>
      </c>
      <c r="E35" s="54">
        <v>5266</v>
      </c>
      <c r="G35">
        <f t="shared" si="1"/>
        <v>5311.3833333333332</v>
      </c>
    </row>
    <row r="36" spans="1:8">
      <c r="A36" s="52">
        <f t="shared" si="0"/>
        <v>33451</v>
      </c>
      <c r="B36" s="53" t="s">
        <v>52</v>
      </c>
      <c r="C36" s="53">
        <v>1991</v>
      </c>
      <c r="D36" s="53" t="s">
        <v>107</v>
      </c>
      <c r="E36" s="54">
        <v>5272.8</v>
      </c>
      <c r="G36">
        <f t="shared" si="1"/>
        <v>5303.291666666667</v>
      </c>
    </row>
    <row r="37" spans="1:8">
      <c r="A37" s="52">
        <f t="shared" si="0"/>
        <v>33482</v>
      </c>
      <c r="B37" s="53" t="s">
        <v>52</v>
      </c>
      <c r="C37" s="53">
        <v>1991</v>
      </c>
      <c r="D37" s="53" t="s">
        <v>108</v>
      </c>
      <c r="E37" s="54">
        <v>5265</v>
      </c>
      <c r="G37">
        <f t="shared" si="1"/>
        <v>5295.0833333333339</v>
      </c>
    </row>
    <row r="38" spans="1:8">
      <c r="A38" s="52">
        <f t="shared" si="0"/>
        <v>33512</v>
      </c>
      <c r="B38" s="53" t="s">
        <v>52</v>
      </c>
      <c r="C38" s="53">
        <v>1991</v>
      </c>
      <c r="D38" s="53" t="s">
        <v>109</v>
      </c>
      <c r="E38" s="54">
        <v>5261.5</v>
      </c>
      <c r="G38">
        <f t="shared" si="1"/>
        <v>5287.0666666666666</v>
      </c>
    </row>
    <row r="39" spans="1:8">
      <c r="A39" s="52">
        <f t="shared" si="0"/>
        <v>33543</v>
      </c>
      <c r="B39" s="53" t="s">
        <v>52</v>
      </c>
      <c r="C39" s="53">
        <v>1991</v>
      </c>
      <c r="D39" s="53" t="s">
        <v>110</v>
      </c>
      <c r="E39" s="54">
        <v>5268.1</v>
      </c>
      <c r="G39">
        <f t="shared" si="1"/>
        <v>5280.7750000000005</v>
      </c>
      <c r="H39" s="2">
        <f>G39/G28-1</f>
        <v>-1.5445113216517203E-2</v>
      </c>
    </row>
    <row r="40" spans="1:8">
      <c r="A40" s="52">
        <f t="shared" si="0"/>
        <v>33573</v>
      </c>
      <c r="B40" s="53" t="s">
        <v>52</v>
      </c>
      <c r="C40" s="53">
        <v>1991</v>
      </c>
      <c r="D40" s="53" t="s">
        <v>111</v>
      </c>
      <c r="E40" s="54">
        <v>5263.1</v>
      </c>
      <c r="G40">
        <f t="shared" si="1"/>
        <v>5274.7333333333336</v>
      </c>
      <c r="H40" s="2">
        <f t="shared" ref="H40:H103" si="2">G40/G29-1</f>
        <v>-1.607011282344617E-2</v>
      </c>
    </row>
    <row r="41" spans="1:8">
      <c r="A41" s="52">
        <f t="shared" si="0"/>
        <v>33604</v>
      </c>
      <c r="B41" s="53" t="s">
        <v>52</v>
      </c>
      <c r="C41" s="53">
        <v>1992</v>
      </c>
      <c r="D41" s="53" t="s">
        <v>100</v>
      </c>
      <c r="E41" s="54">
        <v>5285.5</v>
      </c>
      <c r="G41">
        <f t="shared" si="1"/>
        <v>5272.3916666666664</v>
      </c>
      <c r="H41" s="2">
        <f t="shared" si="2"/>
        <v>-1.543558572437842E-2</v>
      </c>
    </row>
    <row r="42" spans="1:8">
      <c r="A42" s="52">
        <f t="shared" si="0"/>
        <v>33635</v>
      </c>
      <c r="B42" s="53" t="s">
        <v>52</v>
      </c>
      <c r="C42" s="53">
        <v>1992</v>
      </c>
      <c r="D42" s="53" t="s">
        <v>101</v>
      </c>
      <c r="E42" s="54">
        <v>5279.4</v>
      </c>
      <c r="G42">
        <f t="shared" si="1"/>
        <v>5271.2249999999995</v>
      </c>
      <c r="H42" s="2">
        <f t="shared" si="2"/>
        <v>-1.4260602339418171E-2</v>
      </c>
    </row>
    <row r="43" spans="1:8">
      <c r="A43" s="52">
        <f t="shared" si="0"/>
        <v>33664</v>
      </c>
      <c r="B43" s="53" t="s">
        <v>52</v>
      </c>
      <c r="C43" s="53">
        <v>1992</v>
      </c>
      <c r="D43" s="53" t="s">
        <v>102</v>
      </c>
      <c r="E43" s="54">
        <v>5315.6</v>
      </c>
      <c r="G43">
        <f t="shared" si="1"/>
        <v>5274.0249999999996</v>
      </c>
      <c r="H43" s="2">
        <f t="shared" si="2"/>
        <v>-1.2231552003995505E-2</v>
      </c>
    </row>
    <row r="44" spans="1:8">
      <c r="A44" s="52">
        <f t="shared" si="0"/>
        <v>33695</v>
      </c>
      <c r="B44" s="53" t="s">
        <v>52</v>
      </c>
      <c r="C44" s="53">
        <v>1992</v>
      </c>
      <c r="D44" s="53" t="s">
        <v>103</v>
      </c>
      <c r="E44" s="54">
        <v>5295</v>
      </c>
      <c r="G44">
        <f t="shared" si="1"/>
        <v>5275.5333333333338</v>
      </c>
      <c r="H44" s="2">
        <f t="shared" si="2"/>
        <v>-1.0279235631348249E-2</v>
      </c>
    </row>
    <row r="45" spans="1:8">
      <c r="A45" s="52">
        <f t="shared" si="0"/>
        <v>33725</v>
      </c>
      <c r="B45" s="53" t="s">
        <v>52</v>
      </c>
      <c r="C45" s="53">
        <v>1992</v>
      </c>
      <c r="D45" s="53" t="s">
        <v>104</v>
      </c>
      <c r="E45" s="54">
        <v>5315.1</v>
      </c>
      <c r="G45">
        <f t="shared" si="1"/>
        <v>5279.1333333333332</v>
      </c>
      <c r="H45" s="2">
        <f t="shared" si="2"/>
        <v>-7.722116580465066E-3</v>
      </c>
    </row>
    <row r="46" spans="1:8">
      <c r="A46" s="52">
        <f t="shared" si="0"/>
        <v>33756</v>
      </c>
      <c r="B46" s="53" t="s">
        <v>52</v>
      </c>
      <c r="C46" s="53">
        <v>1992</v>
      </c>
      <c r="D46" s="53" t="s">
        <v>105</v>
      </c>
      <c r="E46" s="54">
        <v>5319.5</v>
      </c>
      <c r="G46">
        <f t="shared" si="1"/>
        <v>5283.8833333333332</v>
      </c>
      <c r="H46" s="2">
        <f t="shared" si="2"/>
        <v>-5.1775588908099524E-3</v>
      </c>
    </row>
    <row r="47" spans="1:8">
      <c r="A47" s="52">
        <f t="shared" si="0"/>
        <v>33786</v>
      </c>
      <c r="B47" s="53" t="s">
        <v>52</v>
      </c>
      <c r="C47" s="53">
        <v>1992</v>
      </c>
      <c r="D47" s="53" t="s">
        <v>106</v>
      </c>
      <c r="E47" s="54">
        <v>5336.1</v>
      </c>
      <c r="G47">
        <f t="shared" si="1"/>
        <v>5289.7249999999995</v>
      </c>
      <c r="H47" s="2">
        <f t="shared" si="2"/>
        <v>-2.5581596335610968E-3</v>
      </c>
    </row>
    <row r="48" spans="1:8">
      <c r="A48" s="52">
        <f t="shared" si="0"/>
        <v>33817</v>
      </c>
      <c r="B48" s="53" t="s">
        <v>52</v>
      </c>
      <c r="C48" s="53">
        <v>1992</v>
      </c>
      <c r="D48" s="53" t="s">
        <v>107</v>
      </c>
      <c r="E48" s="54">
        <v>5336.3</v>
      </c>
      <c r="G48">
        <f t="shared" si="1"/>
        <v>5295.0166666666664</v>
      </c>
      <c r="H48" s="2">
        <f t="shared" si="2"/>
        <v>-1.2590296029513226E-5</v>
      </c>
    </row>
    <row r="49" spans="1:8">
      <c r="A49" s="52">
        <f t="shared" si="0"/>
        <v>33848</v>
      </c>
      <c r="B49" s="53" t="s">
        <v>52</v>
      </c>
      <c r="C49" s="53">
        <v>1992</v>
      </c>
      <c r="D49" s="53" t="s">
        <v>108</v>
      </c>
      <c r="E49" s="54">
        <v>5349.8</v>
      </c>
      <c r="G49">
        <f t="shared" si="1"/>
        <v>5302.083333333333</v>
      </c>
      <c r="H49" s="2">
        <f t="shared" si="2"/>
        <v>2.840264292739425E-3</v>
      </c>
    </row>
    <row r="50" spans="1:8">
      <c r="A50" s="52">
        <f t="shared" si="0"/>
        <v>33878</v>
      </c>
      <c r="B50" s="53" t="s">
        <v>52</v>
      </c>
      <c r="C50" s="53">
        <v>1992</v>
      </c>
      <c r="D50" s="53" t="s">
        <v>109</v>
      </c>
      <c r="E50" s="54">
        <v>5376.9</v>
      </c>
      <c r="G50">
        <f t="shared" si="1"/>
        <v>5311.7</v>
      </c>
      <c r="H50" s="2">
        <f t="shared" si="2"/>
        <v>5.8561480085781437E-3</v>
      </c>
    </row>
    <row r="51" spans="1:8">
      <c r="A51" s="52">
        <f t="shared" si="0"/>
        <v>33909</v>
      </c>
      <c r="B51" s="53" t="s">
        <v>52</v>
      </c>
      <c r="C51" s="53">
        <v>1992</v>
      </c>
      <c r="D51" s="53" t="s">
        <v>110</v>
      </c>
      <c r="E51" s="54">
        <v>5406.9</v>
      </c>
      <c r="G51">
        <f t="shared" si="1"/>
        <v>5323.2666666666673</v>
      </c>
      <c r="H51" s="2">
        <f t="shared" si="2"/>
        <v>9.2010970538796144E-3</v>
      </c>
    </row>
    <row r="52" spans="1:8">
      <c r="A52" s="52">
        <f t="shared" si="0"/>
        <v>33939</v>
      </c>
      <c r="B52" s="53" t="s">
        <v>52</v>
      </c>
      <c r="C52" s="53">
        <v>1992</v>
      </c>
      <c r="D52" s="53" t="s">
        <v>111</v>
      </c>
      <c r="E52" s="54">
        <v>5420</v>
      </c>
      <c r="G52">
        <f t="shared" si="1"/>
        <v>5336.3416666666672</v>
      </c>
      <c r="H52" s="2">
        <f t="shared" si="2"/>
        <v>1.2129220293763066E-2</v>
      </c>
    </row>
    <row r="53" spans="1:8">
      <c r="A53" s="52">
        <f t="shared" si="0"/>
        <v>33970</v>
      </c>
      <c r="B53" s="53" t="s">
        <v>52</v>
      </c>
      <c r="C53" s="53">
        <v>1993</v>
      </c>
      <c r="D53" s="53" t="s">
        <v>100</v>
      </c>
      <c r="E53" s="54">
        <v>5442.2</v>
      </c>
      <c r="G53">
        <f t="shared" si="1"/>
        <v>5349.4000000000005</v>
      </c>
      <c r="H53" s="2">
        <f t="shared" si="2"/>
        <v>1.4830518522734426E-2</v>
      </c>
    </row>
    <row r="54" spans="1:8">
      <c r="A54" s="52">
        <f t="shared" si="0"/>
        <v>34001</v>
      </c>
      <c r="B54" s="53" t="s">
        <v>52</v>
      </c>
      <c r="C54" s="53">
        <v>1993</v>
      </c>
      <c r="D54" s="53" t="s">
        <v>101</v>
      </c>
      <c r="E54" s="54">
        <v>5470.2</v>
      </c>
      <c r="G54">
        <f t="shared" si="1"/>
        <v>5365.3</v>
      </c>
      <c r="H54" s="2">
        <f t="shared" si="2"/>
        <v>1.7306516370324543E-2</v>
      </c>
    </row>
    <row r="55" spans="1:8">
      <c r="A55" s="52">
        <f t="shared" si="0"/>
        <v>34029</v>
      </c>
      <c r="B55" s="53" t="s">
        <v>52</v>
      </c>
      <c r="C55" s="53">
        <v>1993</v>
      </c>
      <c r="D55" s="53" t="s">
        <v>102</v>
      </c>
      <c r="E55" s="54">
        <v>5479.7</v>
      </c>
      <c r="G55">
        <f t="shared" si="1"/>
        <v>5378.9749999999995</v>
      </c>
      <c r="H55" s="2">
        <f t="shared" si="2"/>
        <v>1.9607812164330829E-2</v>
      </c>
    </row>
    <row r="56" spans="1:8">
      <c r="A56" s="52">
        <f t="shared" si="0"/>
        <v>34060</v>
      </c>
      <c r="B56" s="53" t="s">
        <v>52</v>
      </c>
      <c r="C56" s="53">
        <v>1993</v>
      </c>
      <c r="D56" s="53" t="s">
        <v>103</v>
      </c>
      <c r="E56" s="54">
        <v>5520.4</v>
      </c>
      <c r="G56">
        <f t="shared" si="1"/>
        <v>5397.7583333333323</v>
      </c>
      <c r="H56" s="2">
        <f t="shared" si="2"/>
        <v>2.2470544407541482E-2</v>
      </c>
    </row>
    <row r="57" spans="1:8">
      <c r="A57" s="52">
        <f t="shared" si="0"/>
        <v>34090</v>
      </c>
      <c r="B57" s="53" t="s">
        <v>52</v>
      </c>
      <c r="C57" s="53">
        <v>1993</v>
      </c>
      <c r="D57" s="53" t="s">
        <v>104</v>
      </c>
      <c r="E57" s="54">
        <v>5530</v>
      </c>
      <c r="G57">
        <f t="shared" si="1"/>
        <v>5415.6666666666661</v>
      </c>
      <c r="H57" s="2">
        <f t="shared" si="2"/>
        <v>2.4940621323332079E-2</v>
      </c>
    </row>
    <row r="58" spans="1:8">
      <c r="A58" s="52">
        <f t="shared" si="0"/>
        <v>34121</v>
      </c>
      <c r="B58" s="53" t="s">
        <v>52</v>
      </c>
      <c r="C58" s="53">
        <v>1993</v>
      </c>
      <c r="D58" s="53" t="s">
        <v>105</v>
      </c>
      <c r="E58" s="54">
        <v>5546.3</v>
      </c>
      <c r="G58">
        <f t="shared" si="1"/>
        <v>5434.5666666666666</v>
      </c>
      <c r="H58" s="2">
        <f t="shared" si="2"/>
        <v>2.7381700687023836E-2</v>
      </c>
    </row>
    <row r="59" spans="1:8">
      <c r="A59" s="52">
        <f t="shared" si="0"/>
        <v>34151</v>
      </c>
      <c r="B59" s="53" t="s">
        <v>52</v>
      </c>
      <c r="C59" s="53">
        <v>1993</v>
      </c>
      <c r="D59" s="53" t="s">
        <v>106</v>
      </c>
      <c r="E59" s="54">
        <v>5565.8</v>
      </c>
      <c r="G59">
        <f t="shared" si="1"/>
        <v>5453.7083333333339</v>
      </c>
      <c r="H59" s="2">
        <f t="shared" si="2"/>
        <v>2.9970003242042242E-2</v>
      </c>
    </row>
    <row r="60" spans="1:8">
      <c r="A60" s="52">
        <f t="shared" si="0"/>
        <v>34182</v>
      </c>
      <c r="B60" s="53" t="s">
        <v>52</v>
      </c>
      <c r="C60" s="53">
        <v>1993</v>
      </c>
      <c r="D60" s="53" t="s">
        <v>107</v>
      </c>
      <c r="E60" s="54">
        <v>5573.9</v>
      </c>
      <c r="G60">
        <f t="shared" si="1"/>
        <v>5473.5083333333341</v>
      </c>
      <c r="H60" s="2">
        <f t="shared" si="2"/>
        <v>3.2331630648330334E-2</v>
      </c>
    </row>
    <row r="61" spans="1:8">
      <c r="A61" s="52">
        <f t="shared" si="0"/>
        <v>34213</v>
      </c>
      <c r="B61" s="53" t="s">
        <v>52</v>
      </c>
      <c r="C61" s="53">
        <v>1993</v>
      </c>
      <c r="D61" s="53" t="s">
        <v>108</v>
      </c>
      <c r="E61" s="54">
        <v>5580.5</v>
      </c>
      <c r="G61">
        <f t="shared" si="1"/>
        <v>5492.7333333333345</v>
      </c>
      <c r="H61" s="2">
        <f t="shared" si="2"/>
        <v>3.4081995092594575E-2</v>
      </c>
    </row>
    <row r="62" spans="1:8">
      <c r="A62" s="52">
        <f t="shared" si="0"/>
        <v>34243</v>
      </c>
      <c r="B62" s="53" t="s">
        <v>52</v>
      </c>
      <c r="C62" s="53">
        <v>1993</v>
      </c>
      <c r="D62" s="53" t="s">
        <v>109</v>
      </c>
      <c r="E62" s="54">
        <v>5619</v>
      </c>
      <c r="G62">
        <f t="shared" si="1"/>
        <v>5512.9083333333338</v>
      </c>
      <c r="H62" s="2">
        <f t="shared" si="2"/>
        <v>3.5625054790917821E-2</v>
      </c>
    </row>
    <row r="63" spans="1:8">
      <c r="A63" s="52">
        <f t="shared" si="0"/>
        <v>34274</v>
      </c>
      <c r="B63" s="53" t="s">
        <v>52</v>
      </c>
      <c r="C63" s="53">
        <v>1993</v>
      </c>
      <c r="D63" s="53" t="s">
        <v>110</v>
      </c>
      <c r="E63" s="54">
        <v>5624.1</v>
      </c>
      <c r="G63">
        <f t="shared" si="1"/>
        <v>5531.0083333333341</v>
      </c>
      <c r="H63" s="2">
        <f t="shared" si="2"/>
        <v>3.6479423325280536E-2</v>
      </c>
    </row>
    <row r="64" spans="1:8">
      <c r="A64" s="52">
        <f t="shared" si="0"/>
        <v>34304</v>
      </c>
      <c r="B64" s="53" t="s">
        <v>52</v>
      </c>
      <c r="C64" s="53">
        <v>1993</v>
      </c>
      <c r="D64" s="53" t="s">
        <v>111</v>
      </c>
      <c r="E64" s="54">
        <v>5640.4</v>
      </c>
      <c r="G64">
        <f t="shared" si="1"/>
        <v>5549.375</v>
      </c>
      <c r="H64" s="2">
        <f t="shared" si="2"/>
        <v>3.7382697124911157E-2</v>
      </c>
    </row>
    <row r="65" spans="1:8">
      <c r="A65" s="52">
        <f t="shared" si="0"/>
        <v>34335</v>
      </c>
      <c r="B65" s="53" t="s">
        <v>52</v>
      </c>
      <c r="C65" s="53">
        <v>1994</v>
      </c>
      <c r="D65" s="53" t="s">
        <v>100</v>
      </c>
      <c r="E65" s="54">
        <v>5666.7</v>
      </c>
      <c r="G65">
        <f t="shared" si="1"/>
        <v>5568.083333333333</v>
      </c>
      <c r="H65" s="2">
        <f t="shared" si="2"/>
        <v>3.7795339185755283E-2</v>
      </c>
    </row>
    <row r="66" spans="1:8">
      <c r="A66" s="52">
        <f t="shared" si="0"/>
        <v>34366</v>
      </c>
      <c r="B66" s="53" t="s">
        <v>52</v>
      </c>
      <c r="C66" s="53">
        <v>1994</v>
      </c>
      <c r="D66" s="53" t="s">
        <v>101</v>
      </c>
      <c r="E66" s="54">
        <v>5682.6</v>
      </c>
      <c r="G66">
        <f t="shared" si="1"/>
        <v>5585.7833333333328</v>
      </c>
      <c r="H66" s="2">
        <f t="shared" si="2"/>
        <v>3.8447535698405977E-2</v>
      </c>
    </row>
    <row r="67" spans="1:8">
      <c r="A67" s="52">
        <f t="shared" si="0"/>
        <v>34394</v>
      </c>
      <c r="B67" s="53" t="s">
        <v>52</v>
      </c>
      <c r="C67" s="53">
        <v>1994</v>
      </c>
      <c r="D67" s="53" t="s">
        <v>102</v>
      </c>
      <c r="E67" s="54">
        <v>5705.5</v>
      </c>
      <c r="G67">
        <f t="shared" si="1"/>
        <v>5604.5999999999995</v>
      </c>
      <c r="H67" s="2">
        <f t="shared" si="2"/>
        <v>3.8319919843268435E-2</v>
      </c>
    </row>
    <row r="68" spans="1:8">
      <c r="A68" s="52">
        <f t="shared" si="0"/>
        <v>34425</v>
      </c>
      <c r="B68" s="53" t="s">
        <v>52</v>
      </c>
      <c r="C68" s="53">
        <v>1994</v>
      </c>
      <c r="D68" s="53" t="s">
        <v>103</v>
      </c>
      <c r="E68" s="54">
        <v>5729.7</v>
      </c>
      <c r="G68">
        <f t="shared" si="1"/>
        <v>5622.041666666667</v>
      </c>
      <c r="H68" s="2">
        <f t="shared" si="2"/>
        <v>3.8107035144949952E-2</v>
      </c>
    </row>
    <row r="69" spans="1:8">
      <c r="A69" s="52">
        <f t="shared" si="0"/>
        <v>34455</v>
      </c>
      <c r="B69" s="53" t="s">
        <v>52</v>
      </c>
      <c r="C69" s="53">
        <v>1994</v>
      </c>
      <c r="D69" s="53" t="s">
        <v>104</v>
      </c>
      <c r="E69" s="54">
        <v>5750.4</v>
      </c>
      <c r="G69">
        <f t="shared" si="1"/>
        <v>5640.4083333333328</v>
      </c>
      <c r="H69" s="2">
        <f t="shared" si="2"/>
        <v>3.7876371621165639E-2</v>
      </c>
    </row>
    <row r="70" spans="1:8">
      <c r="A70" s="52">
        <f t="shared" si="0"/>
        <v>34486</v>
      </c>
      <c r="B70" s="53" t="s">
        <v>52</v>
      </c>
      <c r="C70" s="53">
        <v>1994</v>
      </c>
      <c r="D70" s="53" t="s">
        <v>105</v>
      </c>
      <c r="E70" s="54">
        <v>5770.8</v>
      </c>
      <c r="G70">
        <f t="shared" si="1"/>
        <v>5659.1166666666659</v>
      </c>
      <c r="H70" s="2">
        <f t="shared" si="2"/>
        <v>3.7663974818357371E-2</v>
      </c>
    </row>
    <row r="71" spans="1:8">
      <c r="A71" s="52">
        <f t="shared" si="0"/>
        <v>34516</v>
      </c>
      <c r="B71" s="53" t="s">
        <v>52</v>
      </c>
      <c r="C71" s="53">
        <v>1994</v>
      </c>
      <c r="D71" s="53" t="s">
        <v>106</v>
      </c>
      <c r="E71" s="54">
        <v>5792.3</v>
      </c>
      <c r="G71">
        <f t="shared" si="1"/>
        <v>5677.9916666666659</v>
      </c>
      <c r="H71" s="2">
        <f t="shared" si="2"/>
        <v>3.7358732440040399E-2</v>
      </c>
    </row>
    <row r="72" spans="1:8">
      <c r="A72" s="52">
        <f t="shared" si="0"/>
        <v>34547</v>
      </c>
      <c r="B72" s="53" t="s">
        <v>52</v>
      </c>
      <c r="C72" s="53">
        <v>1994</v>
      </c>
      <c r="D72" s="53" t="s">
        <v>107</v>
      </c>
      <c r="E72" s="54">
        <v>5796.3</v>
      </c>
      <c r="G72">
        <f t="shared" si="1"/>
        <v>5696.5250000000005</v>
      </c>
      <c r="H72" s="2">
        <f t="shared" si="2"/>
        <v>3.7102049981187157E-2</v>
      </c>
    </row>
    <row r="73" spans="1:8">
      <c r="A73" s="52">
        <f t="shared" si="0"/>
        <v>34578</v>
      </c>
      <c r="B73" s="53" t="s">
        <v>52</v>
      </c>
      <c r="C73" s="53">
        <v>1994</v>
      </c>
      <c r="D73" s="53" t="s">
        <v>108</v>
      </c>
      <c r="E73" s="54">
        <v>5831.8</v>
      </c>
      <c r="G73">
        <f t="shared" si="1"/>
        <v>5717.4666666666672</v>
      </c>
      <c r="H73" s="2">
        <f t="shared" si="2"/>
        <v>3.7105339135876658E-2</v>
      </c>
    </row>
    <row r="74" spans="1:8">
      <c r="A74" s="52">
        <f t="shared" si="0"/>
        <v>34608</v>
      </c>
      <c r="B74" s="53" t="s">
        <v>52</v>
      </c>
      <c r="C74" s="53">
        <v>1994</v>
      </c>
      <c r="D74" s="53" t="s">
        <v>109</v>
      </c>
      <c r="E74" s="54">
        <v>5830.2</v>
      </c>
      <c r="G74">
        <f t="shared" si="1"/>
        <v>5735.0666666666684</v>
      </c>
      <c r="H74" s="2">
        <f t="shared" si="2"/>
        <v>3.6893513991572036E-2</v>
      </c>
    </row>
    <row r="75" spans="1:8">
      <c r="A75" s="52">
        <f t="shared" si="0"/>
        <v>34639</v>
      </c>
      <c r="B75" s="53" t="s">
        <v>52</v>
      </c>
      <c r="C75" s="53">
        <v>1994</v>
      </c>
      <c r="D75" s="53" t="s">
        <v>110</v>
      </c>
      <c r="E75" s="54">
        <v>5889.7</v>
      </c>
      <c r="G75">
        <f t="shared" si="1"/>
        <v>5757.2000000000007</v>
      </c>
      <c r="H75" s="2">
        <f t="shared" si="2"/>
        <v>3.745016330667883E-2</v>
      </c>
    </row>
    <row r="76" spans="1:8">
      <c r="A76" s="52">
        <f t="shared" si="0"/>
        <v>34669</v>
      </c>
      <c r="B76" s="53" t="s">
        <v>52</v>
      </c>
      <c r="C76" s="53">
        <v>1994</v>
      </c>
      <c r="D76" s="53" t="s">
        <v>111</v>
      </c>
      <c r="E76" s="54">
        <v>5869.8</v>
      </c>
      <c r="G76">
        <f t="shared" si="1"/>
        <v>5776.3166666666666</v>
      </c>
      <c r="H76" s="2">
        <f t="shared" si="2"/>
        <v>3.7397668258078109E-2</v>
      </c>
    </row>
    <row r="77" spans="1:8">
      <c r="A77" s="52">
        <f t="shared" si="0"/>
        <v>34700</v>
      </c>
      <c r="B77" s="53" t="s">
        <v>52</v>
      </c>
      <c r="C77" s="53">
        <v>1995</v>
      </c>
      <c r="D77" s="53" t="s">
        <v>100</v>
      </c>
      <c r="E77" s="54">
        <v>5890.1</v>
      </c>
      <c r="G77">
        <f t="shared" si="1"/>
        <v>5794.9333333333334</v>
      </c>
      <c r="H77" s="2">
        <f t="shared" si="2"/>
        <v>3.7443271161609726E-2</v>
      </c>
    </row>
    <row r="78" spans="1:8">
      <c r="A78" s="52">
        <f t="shared" si="0"/>
        <v>34731</v>
      </c>
      <c r="B78" s="53" t="s">
        <v>52</v>
      </c>
      <c r="C78" s="53">
        <v>1995</v>
      </c>
      <c r="D78" s="53" t="s">
        <v>101</v>
      </c>
      <c r="E78" s="54">
        <v>5911.2</v>
      </c>
      <c r="G78">
        <f t="shared" si="1"/>
        <v>5813.9833333333336</v>
      </c>
      <c r="H78" s="2">
        <f t="shared" si="2"/>
        <v>3.7359193043809302E-2</v>
      </c>
    </row>
    <row r="79" spans="1:8">
      <c r="A79" s="52">
        <f t="shared" si="0"/>
        <v>34759</v>
      </c>
      <c r="B79" s="53" t="s">
        <v>52</v>
      </c>
      <c r="C79" s="53">
        <v>1995</v>
      </c>
      <c r="D79" s="53" t="s">
        <v>102</v>
      </c>
      <c r="E79" s="54">
        <v>5933.5</v>
      </c>
      <c r="G79">
        <f t="shared" si="1"/>
        <v>5832.9833333333327</v>
      </c>
      <c r="H79" s="2">
        <f t="shared" si="2"/>
        <v>3.7520473730628501E-2</v>
      </c>
    </row>
    <row r="80" spans="1:8">
      <c r="A80" s="52">
        <f t="shared" si="0"/>
        <v>34790</v>
      </c>
      <c r="B80" s="53" t="s">
        <v>52</v>
      </c>
      <c r="C80" s="53">
        <v>1995</v>
      </c>
      <c r="D80" s="53" t="s">
        <v>103</v>
      </c>
      <c r="E80" s="54">
        <v>5938.1</v>
      </c>
      <c r="G80">
        <f t="shared" si="1"/>
        <v>5850.3499999999995</v>
      </c>
      <c r="H80" s="2">
        <f t="shared" si="2"/>
        <v>3.7221004980431349E-2</v>
      </c>
    </row>
    <row r="81" spans="1:8">
      <c r="A81" s="52">
        <f t="shared" ref="A81:A144" si="3">IF(D81="M13","Annual Average",IF(LEFT(D81,1)="M",DATE(C81,RIGHT(D81,2),1),IF(D81="S01","First Half","Second Half")))</f>
        <v>34820</v>
      </c>
      <c r="B81" s="53" t="s">
        <v>52</v>
      </c>
      <c r="C81" s="53">
        <v>1995</v>
      </c>
      <c r="D81" s="53" t="s">
        <v>104</v>
      </c>
      <c r="E81" s="54">
        <v>5951</v>
      </c>
      <c r="G81">
        <f t="shared" si="1"/>
        <v>5867.0666666666657</v>
      </c>
      <c r="H81" s="2">
        <f t="shared" si="2"/>
        <v>3.67460174880061E-2</v>
      </c>
    </row>
    <row r="82" spans="1:8">
      <c r="A82" s="52">
        <f t="shared" si="3"/>
        <v>34851</v>
      </c>
      <c r="B82" s="53" t="s">
        <v>52</v>
      </c>
      <c r="C82" s="53">
        <v>1995</v>
      </c>
      <c r="D82" s="53" t="s">
        <v>105</v>
      </c>
      <c r="E82" s="54">
        <v>5972.8</v>
      </c>
      <c r="G82">
        <f t="shared" si="1"/>
        <v>5883.9000000000005</v>
      </c>
      <c r="H82" s="2">
        <f t="shared" si="2"/>
        <v>3.6264289456806376E-2</v>
      </c>
    </row>
    <row r="83" spans="1:8">
      <c r="A83" s="52">
        <f t="shared" si="3"/>
        <v>34881</v>
      </c>
      <c r="B83" s="53" t="s">
        <v>52</v>
      </c>
      <c r="C83" s="53">
        <v>1995</v>
      </c>
      <c r="D83" s="53" t="s">
        <v>106</v>
      </c>
      <c r="E83" s="54">
        <v>5967.9</v>
      </c>
      <c r="G83">
        <f t="shared" si="1"/>
        <v>5898.5333333333328</v>
      </c>
      <c r="H83" s="2">
        <f t="shared" si="2"/>
        <v>3.54616776602108E-2</v>
      </c>
    </row>
    <row r="84" spans="1:8">
      <c r="A84" s="52">
        <f t="shared" si="3"/>
        <v>34912</v>
      </c>
      <c r="B84" s="53" t="s">
        <v>52</v>
      </c>
      <c r="C84" s="53">
        <v>1995</v>
      </c>
      <c r="D84" s="53" t="s">
        <v>107</v>
      </c>
      <c r="E84" s="54">
        <v>5970.8</v>
      </c>
      <c r="G84">
        <f t="shared" si="1"/>
        <v>5913.0749999999998</v>
      </c>
      <c r="H84" s="2">
        <f t="shared" si="2"/>
        <v>3.4212413423194254E-2</v>
      </c>
    </row>
    <row r="85" spans="1:8">
      <c r="A85" s="52">
        <f t="shared" si="3"/>
        <v>34943</v>
      </c>
      <c r="B85" s="53" t="s">
        <v>52</v>
      </c>
      <c r="C85" s="53">
        <v>1995</v>
      </c>
      <c r="D85" s="53" t="s">
        <v>108</v>
      </c>
      <c r="E85" s="54">
        <v>6012.7</v>
      </c>
      <c r="G85">
        <f t="shared" si="1"/>
        <v>5928.1500000000005</v>
      </c>
      <c r="H85" s="2">
        <f t="shared" si="2"/>
        <v>3.3667147141561715E-2</v>
      </c>
    </row>
    <row r="86" spans="1:8">
      <c r="A86" s="52">
        <f t="shared" si="3"/>
        <v>34973</v>
      </c>
      <c r="B86" s="53" t="s">
        <v>52</v>
      </c>
      <c r="C86" s="53">
        <v>1995</v>
      </c>
      <c r="D86" s="53" t="s">
        <v>109</v>
      </c>
      <c r="E86" s="54">
        <v>6020</v>
      </c>
      <c r="G86">
        <f t="shared" si="1"/>
        <v>5943.9666666666672</v>
      </c>
      <c r="H86" s="2">
        <f t="shared" si="2"/>
        <v>3.2440538224599802E-2</v>
      </c>
    </row>
    <row r="87" spans="1:8">
      <c r="A87" s="52">
        <f t="shared" si="3"/>
        <v>35004</v>
      </c>
      <c r="B87" s="53" t="s">
        <v>52</v>
      </c>
      <c r="C87" s="53">
        <v>1995</v>
      </c>
      <c r="D87" s="53" t="s">
        <v>110</v>
      </c>
      <c r="E87" s="54">
        <v>6046.1</v>
      </c>
      <c r="G87">
        <f t="shared" ref="G87:G96" si="4">AVERAGE(E76:E87)</f>
        <v>5957.0000000000009</v>
      </c>
      <c r="H87" s="2">
        <f t="shared" si="2"/>
        <v>3.128002562186416E-2</v>
      </c>
    </row>
    <row r="88" spans="1:8">
      <c r="A88" s="52">
        <f t="shared" si="3"/>
        <v>35034</v>
      </c>
      <c r="B88" s="53" t="s">
        <v>52</v>
      </c>
      <c r="C88" s="53">
        <v>1995</v>
      </c>
      <c r="D88" s="53" t="s">
        <v>111</v>
      </c>
      <c r="E88" s="54">
        <v>6065.7</v>
      </c>
      <c r="G88">
        <f t="shared" si="4"/>
        <v>5973.3250000000007</v>
      </c>
      <c r="H88" s="2">
        <f t="shared" si="2"/>
        <v>3.078407574432851E-2</v>
      </c>
    </row>
    <row r="89" spans="1:8">
      <c r="A89" s="52">
        <f t="shared" si="3"/>
        <v>35065</v>
      </c>
      <c r="B89" s="53" t="s">
        <v>52</v>
      </c>
      <c r="C89" s="53">
        <v>1996</v>
      </c>
      <c r="D89" s="53" t="s">
        <v>100</v>
      </c>
      <c r="E89" s="54">
        <v>6063</v>
      </c>
      <c r="G89">
        <f t="shared" si="4"/>
        <v>5987.7333333333336</v>
      </c>
      <c r="H89" s="2">
        <f t="shared" si="2"/>
        <v>2.9884846591120784E-2</v>
      </c>
    </row>
    <row r="90" spans="1:8">
      <c r="A90" s="52">
        <f t="shared" si="3"/>
        <v>35096</v>
      </c>
      <c r="B90" s="53" t="s">
        <v>52</v>
      </c>
      <c r="C90" s="53">
        <v>1996</v>
      </c>
      <c r="D90" s="53" t="s">
        <v>101</v>
      </c>
      <c r="E90" s="54">
        <v>6085.9</v>
      </c>
      <c r="G90">
        <f t="shared" si="4"/>
        <v>6002.2916666666652</v>
      </c>
      <c r="H90" s="2">
        <f t="shared" si="2"/>
        <v>2.9026027275922184E-2</v>
      </c>
    </row>
    <row r="91" spans="1:8">
      <c r="A91" s="52">
        <f t="shared" si="3"/>
        <v>35125</v>
      </c>
      <c r="B91" s="53" t="s">
        <v>52</v>
      </c>
      <c r="C91" s="53">
        <v>1996</v>
      </c>
      <c r="D91" s="53" t="s">
        <v>102</v>
      </c>
      <c r="E91" s="54">
        <v>6134.6</v>
      </c>
      <c r="G91">
        <f t="shared" si="4"/>
        <v>6019.05</v>
      </c>
      <c r="H91" s="2">
        <f t="shared" si="2"/>
        <v>2.88358816139207E-2</v>
      </c>
    </row>
    <row r="92" spans="1:8">
      <c r="A92" s="52">
        <f t="shared" si="3"/>
        <v>35156</v>
      </c>
      <c r="B92" s="53" t="s">
        <v>52</v>
      </c>
      <c r="C92" s="53">
        <v>1996</v>
      </c>
      <c r="D92" s="53" t="s">
        <v>103</v>
      </c>
      <c r="E92" s="54">
        <v>6115</v>
      </c>
      <c r="G92">
        <f t="shared" si="4"/>
        <v>6033.791666666667</v>
      </c>
      <c r="H92" s="2">
        <f t="shared" si="2"/>
        <v>2.8417096561598187E-2</v>
      </c>
    </row>
    <row r="93" spans="1:8">
      <c r="A93" s="52">
        <f t="shared" si="3"/>
        <v>35186</v>
      </c>
      <c r="B93" s="53" t="s">
        <v>52</v>
      </c>
      <c r="C93" s="53">
        <v>1996</v>
      </c>
      <c r="D93" s="53" t="s">
        <v>104</v>
      </c>
      <c r="E93" s="54">
        <v>6133.3</v>
      </c>
      <c r="G93">
        <f t="shared" si="4"/>
        <v>6048.9833333333336</v>
      </c>
      <c r="H93" s="2">
        <f t="shared" si="2"/>
        <v>2.8056787731493227E-2</v>
      </c>
    </row>
    <row r="94" spans="1:8">
      <c r="A94" s="52">
        <f t="shared" si="3"/>
        <v>35217</v>
      </c>
      <c r="B94" s="53" t="s">
        <v>52</v>
      </c>
      <c r="C94" s="53">
        <v>1996</v>
      </c>
      <c r="D94" s="53" t="s">
        <v>105</v>
      </c>
      <c r="E94" s="54">
        <v>6148.3</v>
      </c>
      <c r="G94">
        <f t="shared" si="4"/>
        <v>6063.6083333333336</v>
      </c>
      <c r="H94" s="2">
        <f t="shared" si="2"/>
        <v>2.7985770474016292E-2</v>
      </c>
    </row>
    <row r="95" spans="1:8">
      <c r="A95" s="52">
        <f t="shared" si="3"/>
        <v>35247</v>
      </c>
      <c r="B95" s="53" t="s">
        <v>52</v>
      </c>
      <c r="C95" s="53">
        <v>1996</v>
      </c>
      <c r="D95" s="53" t="s">
        <v>106</v>
      </c>
      <c r="E95" s="54">
        <v>6157</v>
      </c>
      <c r="G95">
        <f t="shared" si="4"/>
        <v>6079.3666666666677</v>
      </c>
      <c r="H95" s="2">
        <f t="shared" si="2"/>
        <v>2.8122705473322851E-2</v>
      </c>
    </row>
    <row r="96" spans="1:8">
      <c r="A96" s="52">
        <f t="shared" si="3"/>
        <v>35278</v>
      </c>
      <c r="B96" s="53" t="s">
        <v>52</v>
      </c>
      <c r="C96" s="53">
        <v>1996</v>
      </c>
      <c r="D96" s="53" t="s">
        <v>107</v>
      </c>
      <c r="E96" s="54">
        <v>6151.4</v>
      </c>
      <c r="G96">
        <f t="shared" si="4"/>
        <v>6094.416666666667</v>
      </c>
      <c r="H96" s="2">
        <f t="shared" si="2"/>
        <v>2.8046973620213134E-2</v>
      </c>
    </row>
    <row r="97" spans="1:8">
      <c r="A97" s="52">
        <f t="shared" si="3"/>
        <v>35309</v>
      </c>
      <c r="B97" s="53" t="s">
        <v>52</v>
      </c>
      <c r="C97" s="53">
        <v>1996</v>
      </c>
      <c r="D97" s="53" t="s">
        <v>108</v>
      </c>
      <c r="E97" s="54">
        <v>6203.2</v>
      </c>
      <c r="G97">
        <f t="shared" ref="G97:G160" si="5">AVERAGE(E86:E97)</f>
        <v>6110.291666666667</v>
      </c>
      <c r="H97" s="2">
        <f t="shared" si="2"/>
        <v>2.7982155575120959E-2</v>
      </c>
    </row>
    <row r="98" spans="1:8">
      <c r="A98" s="52">
        <f t="shared" si="3"/>
        <v>35339</v>
      </c>
      <c r="B98" s="53" t="s">
        <v>52</v>
      </c>
      <c r="C98" s="53">
        <v>1996</v>
      </c>
      <c r="D98" s="53" t="s">
        <v>109</v>
      </c>
      <c r="E98" s="54">
        <v>6222.2</v>
      </c>
      <c r="G98">
        <f t="shared" si="5"/>
        <v>6127.1416666666664</v>
      </c>
      <c r="H98" s="2">
        <f t="shared" si="2"/>
        <v>2.8561636170331584E-2</v>
      </c>
    </row>
    <row r="99" spans="1:8">
      <c r="A99" s="52">
        <f t="shared" si="3"/>
        <v>35370</v>
      </c>
      <c r="B99" s="53" t="s">
        <v>52</v>
      </c>
      <c r="C99" s="53">
        <v>1996</v>
      </c>
      <c r="D99" s="53" t="s">
        <v>110</v>
      </c>
      <c r="E99" s="54">
        <v>6239.1</v>
      </c>
      <c r="G99">
        <f t="shared" si="5"/>
        <v>6143.2250000000013</v>
      </c>
      <c r="H99" s="2">
        <f t="shared" si="2"/>
        <v>2.8443120037835001E-2</v>
      </c>
    </row>
    <row r="100" spans="1:8">
      <c r="A100" s="52">
        <f t="shared" si="3"/>
        <v>35400</v>
      </c>
      <c r="B100" s="53" t="s">
        <v>52</v>
      </c>
      <c r="C100" s="53">
        <v>1996</v>
      </c>
      <c r="D100" s="53" t="s">
        <v>111</v>
      </c>
      <c r="E100" s="54">
        <v>6256.8</v>
      </c>
      <c r="G100">
        <f t="shared" si="5"/>
        <v>6159.1500000000005</v>
      </c>
      <c r="H100" s="2">
        <f t="shared" si="2"/>
        <v>2.8627972744277308E-2</v>
      </c>
    </row>
    <row r="101" spans="1:8">
      <c r="A101" s="52">
        <f t="shared" si="3"/>
        <v>35431</v>
      </c>
      <c r="B101" s="53" t="s">
        <v>52</v>
      </c>
      <c r="C101" s="53">
        <v>1997</v>
      </c>
      <c r="D101" s="53" t="s">
        <v>100</v>
      </c>
      <c r="E101" s="54">
        <v>6289.7</v>
      </c>
      <c r="G101">
        <f t="shared" si="5"/>
        <v>6178.0416666666652</v>
      </c>
      <c r="H101" s="2">
        <f t="shared" si="2"/>
        <v>2.9280483148797387E-2</v>
      </c>
    </row>
    <row r="102" spans="1:8">
      <c r="A102" s="52">
        <f t="shared" si="3"/>
        <v>35462</v>
      </c>
      <c r="B102" s="53" t="s">
        <v>52</v>
      </c>
      <c r="C102" s="53">
        <v>1997</v>
      </c>
      <c r="D102" s="53" t="s">
        <v>101</v>
      </c>
      <c r="E102" s="54">
        <v>6295.7</v>
      </c>
      <c r="G102">
        <f t="shared" si="5"/>
        <v>6195.5249999999987</v>
      </c>
      <c r="H102" s="2">
        <f t="shared" si="2"/>
        <v>2.9319410870485951E-2</v>
      </c>
    </row>
    <row r="103" spans="1:8">
      <c r="A103" s="52">
        <f t="shared" si="3"/>
        <v>35490</v>
      </c>
      <c r="B103" s="53" t="s">
        <v>52</v>
      </c>
      <c r="C103" s="53">
        <v>1997</v>
      </c>
      <c r="D103" s="53" t="s">
        <v>102</v>
      </c>
      <c r="E103" s="54">
        <v>6316.3</v>
      </c>
      <c r="G103">
        <f t="shared" si="5"/>
        <v>6210.666666666667</v>
      </c>
      <c r="H103" s="2">
        <f t="shared" si="2"/>
        <v>2.9314071444848766E-2</v>
      </c>
    </row>
    <row r="104" spans="1:8">
      <c r="A104" s="52">
        <f t="shared" si="3"/>
        <v>35521</v>
      </c>
      <c r="B104" s="53" t="s">
        <v>52</v>
      </c>
      <c r="C104" s="53">
        <v>1997</v>
      </c>
      <c r="D104" s="53" t="s">
        <v>103</v>
      </c>
      <c r="E104" s="54">
        <v>6359.4</v>
      </c>
      <c r="G104">
        <f t="shared" si="5"/>
        <v>6231.0333333333328</v>
      </c>
      <c r="H104" s="2">
        <f t="shared" ref="H104:H167" si="6">G104/G93-1</f>
        <v>3.0095966539831709E-2</v>
      </c>
    </row>
    <row r="105" spans="1:8">
      <c r="A105" s="52">
        <f t="shared" si="3"/>
        <v>35551</v>
      </c>
      <c r="B105" s="53" t="s">
        <v>52</v>
      </c>
      <c r="C105" s="53">
        <v>1997</v>
      </c>
      <c r="D105" s="53" t="s">
        <v>104</v>
      </c>
      <c r="E105" s="54">
        <v>6373.6</v>
      </c>
      <c r="G105">
        <f t="shared" si="5"/>
        <v>6251.0583333333334</v>
      </c>
      <c r="H105" s="2">
        <f t="shared" si="6"/>
        <v>3.0913936008949428E-2</v>
      </c>
    </row>
    <row r="106" spans="1:8">
      <c r="A106" s="52">
        <f t="shared" si="3"/>
        <v>35582</v>
      </c>
      <c r="B106" s="53" t="s">
        <v>52</v>
      </c>
      <c r="C106" s="53">
        <v>1997</v>
      </c>
      <c r="D106" s="53" t="s">
        <v>105</v>
      </c>
      <c r="E106" s="54">
        <v>6396.5</v>
      </c>
      <c r="G106">
        <f t="shared" si="5"/>
        <v>6271.7416666666677</v>
      </c>
      <c r="H106" s="2">
        <f t="shared" si="6"/>
        <v>3.1643921241796047E-2</v>
      </c>
    </row>
    <row r="107" spans="1:8">
      <c r="A107" s="52">
        <f t="shared" si="3"/>
        <v>35612</v>
      </c>
      <c r="B107" s="53" t="s">
        <v>52</v>
      </c>
      <c r="C107" s="53">
        <v>1997</v>
      </c>
      <c r="D107" s="53" t="s">
        <v>106</v>
      </c>
      <c r="E107" s="54">
        <v>6413.5</v>
      </c>
      <c r="G107">
        <f t="shared" si="5"/>
        <v>6293.1166666666659</v>
      </c>
      <c r="H107" s="2">
        <f t="shared" si="6"/>
        <v>3.2603612596228571E-2</v>
      </c>
    </row>
    <row r="108" spans="1:8">
      <c r="A108" s="52">
        <f t="shared" si="3"/>
        <v>35643</v>
      </c>
      <c r="B108" s="53" t="s">
        <v>52</v>
      </c>
      <c r="C108" s="53">
        <v>1997</v>
      </c>
      <c r="D108" s="53" t="s">
        <v>107</v>
      </c>
      <c r="E108" s="54">
        <v>6393</v>
      </c>
      <c r="G108">
        <f t="shared" si="5"/>
        <v>6313.25</v>
      </c>
      <c r="H108" s="2">
        <f t="shared" si="6"/>
        <v>3.3215817575538598E-2</v>
      </c>
    </row>
    <row r="109" spans="1:8">
      <c r="A109" s="52">
        <f t="shared" si="3"/>
        <v>35674</v>
      </c>
      <c r="B109" s="53" t="s">
        <v>52</v>
      </c>
      <c r="C109" s="53">
        <v>1997</v>
      </c>
      <c r="D109" s="53" t="s">
        <v>108</v>
      </c>
      <c r="E109" s="54">
        <v>6461.5</v>
      </c>
      <c r="G109">
        <f t="shared" si="5"/>
        <v>6334.7750000000005</v>
      </c>
      <c r="H109" s="2">
        <f t="shared" si="6"/>
        <v>3.3887470639518025E-2</v>
      </c>
    </row>
    <row r="110" spans="1:8">
      <c r="A110" s="52">
        <f t="shared" si="3"/>
        <v>35704</v>
      </c>
      <c r="B110" s="53" t="s">
        <v>52</v>
      </c>
      <c r="C110" s="53">
        <v>1997</v>
      </c>
      <c r="D110" s="53" t="s">
        <v>109</v>
      </c>
      <c r="E110" s="54">
        <v>6459</v>
      </c>
      <c r="G110">
        <f t="shared" si="5"/>
        <v>6354.5083333333341</v>
      </c>
      <c r="H110" s="2">
        <f t="shared" si="6"/>
        <v>3.4392901665384779E-2</v>
      </c>
    </row>
    <row r="111" spans="1:8">
      <c r="A111" s="52">
        <f t="shared" si="3"/>
        <v>35735</v>
      </c>
      <c r="B111" s="53" t="s">
        <v>52</v>
      </c>
      <c r="C111" s="53">
        <v>1997</v>
      </c>
      <c r="D111" s="53" t="s">
        <v>110</v>
      </c>
      <c r="E111" s="54">
        <v>6477.9</v>
      </c>
      <c r="G111">
        <f t="shared" si="5"/>
        <v>6374.4083333333328</v>
      </c>
      <c r="H111" s="2">
        <f t="shared" si="6"/>
        <v>3.4949357189438812E-2</v>
      </c>
    </row>
    <row r="112" spans="1:8">
      <c r="A112" s="52">
        <f t="shared" si="3"/>
        <v>35765</v>
      </c>
      <c r="B112" s="53" t="s">
        <v>52</v>
      </c>
      <c r="C112" s="53">
        <v>1997</v>
      </c>
      <c r="D112" s="53" t="s">
        <v>111</v>
      </c>
      <c r="E112" s="54">
        <v>6497.5</v>
      </c>
      <c r="G112">
        <f t="shared" si="5"/>
        <v>6394.4666666666662</v>
      </c>
      <c r="H112" s="2">
        <f t="shared" si="6"/>
        <v>3.5031327348876928E-2</v>
      </c>
    </row>
    <row r="113" spans="1:8">
      <c r="A113" s="52">
        <f t="shared" si="3"/>
        <v>35796</v>
      </c>
      <c r="B113" s="53" t="s">
        <v>52</v>
      </c>
      <c r="C113" s="53">
        <v>1998</v>
      </c>
      <c r="D113" s="53" t="s">
        <v>100</v>
      </c>
      <c r="E113" s="54">
        <v>6533</v>
      </c>
      <c r="G113">
        <f t="shared" si="5"/>
        <v>6414.7416666666659</v>
      </c>
      <c r="H113" s="2">
        <f t="shared" si="6"/>
        <v>3.5383065465262042E-2</v>
      </c>
    </row>
    <row r="114" spans="1:8">
      <c r="A114" s="52">
        <f t="shared" si="3"/>
        <v>35827</v>
      </c>
      <c r="B114" s="53" t="s">
        <v>52</v>
      </c>
      <c r="C114" s="53">
        <v>1998</v>
      </c>
      <c r="D114" s="53" t="s">
        <v>101</v>
      </c>
      <c r="E114" s="54">
        <v>6543.4</v>
      </c>
      <c r="G114">
        <f t="shared" si="5"/>
        <v>6435.3833333333341</v>
      </c>
      <c r="H114" s="2">
        <f t="shared" si="6"/>
        <v>3.6182374409617912E-2</v>
      </c>
    </row>
    <row r="115" spans="1:8">
      <c r="A115" s="52">
        <f t="shared" si="3"/>
        <v>35855</v>
      </c>
      <c r="B115" s="53" t="s">
        <v>52</v>
      </c>
      <c r="C115" s="53">
        <v>1998</v>
      </c>
      <c r="D115" s="53" t="s">
        <v>102</v>
      </c>
      <c r="E115" s="54">
        <v>6553.8</v>
      </c>
      <c r="G115">
        <f t="shared" si="5"/>
        <v>6455.1750000000002</v>
      </c>
      <c r="H115" s="2">
        <f t="shared" si="6"/>
        <v>3.5971829177610992E-2</v>
      </c>
    </row>
    <row r="116" spans="1:8">
      <c r="A116" s="52">
        <f t="shared" si="3"/>
        <v>35886</v>
      </c>
      <c r="B116" s="53" t="s">
        <v>52</v>
      </c>
      <c r="C116" s="53">
        <v>1998</v>
      </c>
      <c r="D116" s="53" t="s">
        <v>103</v>
      </c>
      <c r="E116" s="54">
        <v>6546.6</v>
      </c>
      <c r="G116">
        <f t="shared" si="5"/>
        <v>6470.7750000000005</v>
      </c>
      <c r="H116" s="2">
        <f t="shared" si="6"/>
        <v>3.5148714817624382E-2</v>
      </c>
    </row>
    <row r="117" spans="1:8">
      <c r="A117" s="52">
        <f t="shared" si="3"/>
        <v>35916</v>
      </c>
      <c r="B117" s="53" t="s">
        <v>52</v>
      </c>
      <c r="C117" s="53">
        <v>1998</v>
      </c>
      <c r="D117" s="53" t="s">
        <v>104</v>
      </c>
      <c r="E117" s="54">
        <v>6574.2</v>
      </c>
      <c r="G117">
        <f t="shared" si="5"/>
        <v>6487.4916666666677</v>
      </c>
      <c r="H117" s="2">
        <f t="shared" si="6"/>
        <v>3.4400332709281889E-2</v>
      </c>
    </row>
    <row r="118" spans="1:8">
      <c r="A118" s="52">
        <f t="shared" si="3"/>
        <v>35947</v>
      </c>
      <c r="B118" s="53" t="s">
        <v>52</v>
      </c>
      <c r="C118" s="53">
        <v>1998</v>
      </c>
      <c r="D118" s="53" t="s">
        <v>105</v>
      </c>
      <c r="E118" s="54">
        <v>6614.1</v>
      </c>
      <c r="G118">
        <f t="shared" si="5"/>
        <v>6505.6250000000009</v>
      </c>
      <c r="H118" s="2">
        <f t="shared" si="6"/>
        <v>3.3768376559574653E-2</v>
      </c>
    </row>
    <row r="119" spans="1:8">
      <c r="A119" s="52">
        <f t="shared" si="3"/>
        <v>35977</v>
      </c>
      <c r="B119" s="53" t="s">
        <v>52</v>
      </c>
      <c r="C119" s="53">
        <v>1998</v>
      </c>
      <c r="D119" s="53" t="s">
        <v>106</v>
      </c>
      <c r="E119" s="54">
        <v>6621.4</v>
      </c>
      <c r="G119">
        <f t="shared" si="5"/>
        <v>6522.95</v>
      </c>
      <c r="H119" s="2">
        <f t="shared" si="6"/>
        <v>3.3215855541915751E-2</v>
      </c>
    </row>
    <row r="120" spans="1:8">
      <c r="A120" s="52">
        <f t="shared" si="3"/>
        <v>36008</v>
      </c>
      <c r="B120" s="53" t="s">
        <v>52</v>
      </c>
      <c r="C120" s="53">
        <v>1998</v>
      </c>
      <c r="D120" s="53" t="s">
        <v>107</v>
      </c>
      <c r="E120" s="54">
        <v>6587.7</v>
      </c>
      <c r="G120">
        <f t="shared" si="5"/>
        <v>6539.1749999999993</v>
      </c>
      <c r="H120" s="2">
        <f t="shared" si="6"/>
        <v>3.226633937274781E-2</v>
      </c>
    </row>
    <row r="121" spans="1:8">
      <c r="A121" s="52">
        <f t="shared" si="3"/>
        <v>36039</v>
      </c>
      <c r="B121" s="53" t="s">
        <v>52</v>
      </c>
      <c r="C121" s="53">
        <v>1998</v>
      </c>
      <c r="D121" s="53" t="s">
        <v>108</v>
      </c>
      <c r="E121" s="54">
        <v>6645.5</v>
      </c>
      <c r="G121">
        <f t="shared" si="5"/>
        <v>6554.5083333333341</v>
      </c>
      <c r="H121" s="2">
        <f t="shared" si="6"/>
        <v>3.1473717478797791E-2</v>
      </c>
    </row>
    <row r="122" spans="1:8">
      <c r="A122" s="52">
        <f t="shared" si="3"/>
        <v>36069</v>
      </c>
      <c r="B122" s="53" t="s">
        <v>52</v>
      </c>
      <c r="C122" s="53">
        <v>1998</v>
      </c>
      <c r="D122" s="53" t="s">
        <v>109</v>
      </c>
      <c r="E122" s="54">
        <v>6675.9</v>
      </c>
      <c r="G122">
        <f t="shared" si="5"/>
        <v>6572.583333333333</v>
      </c>
      <c r="H122" s="2">
        <f t="shared" si="6"/>
        <v>3.1089159908958885E-2</v>
      </c>
    </row>
    <row r="123" spans="1:8">
      <c r="A123" s="52">
        <f t="shared" si="3"/>
        <v>36100</v>
      </c>
      <c r="B123" s="53" t="s">
        <v>52</v>
      </c>
      <c r="C123" s="53">
        <v>1998</v>
      </c>
      <c r="D123" s="53" t="s">
        <v>110</v>
      </c>
      <c r="E123" s="54">
        <v>6698.5</v>
      </c>
      <c r="G123">
        <f t="shared" si="5"/>
        <v>6590.9666666666662</v>
      </c>
      <c r="H123" s="2">
        <f t="shared" si="6"/>
        <v>3.0729693380735501E-2</v>
      </c>
    </row>
    <row r="124" spans="1:8">
      <c r="A124" s="52">
        <f t="shared" si="3"/>
        <v>36130</v>
      </c>
      <c r="B124" s="53" t="s">
        <v>52</v>
      </c>
      <c r="C124" s="53">
        <v>1998</v>
      </c>
      <c r="D124" s="53" t="s">
        <v>111</v>
      </c>
      <c r="E124" s="54">
        <v>6715.1</v>
      </c>
      <c r="G124">
        <f t="shared" si="5"/>
        <v>6609.1000000000013</v>
      </c>
      <c r="H124" s="2">
        <f t="shared" si="6"/>
        <v>3.0298699999610657E-2</v>
      </c>
    </row>
    <row r="125" spans="1:8">
      <c r="A125" s="52">
        <f t="shared" si="3"/>
        <v>36161</v>
      </c>
      <c r="B125" s="53" t="s">
        <v>52</v>
      </c>
      <c r="C125" s="53">
        <v>1999</v>
      </c>
      <c r="D125" s="53" t="s">
        <v>100</v>
      </c>
      <c r="E125" s="54">
        <v>6709.3</v>
      </c>
      <c r="G125">
        <f t="shared" si="5"/>
        <v>6623.7916666666679</v>
      </c>
      <c r="H125" s="2">
        <f t="shared" si="6"/>
        <v>2.9276940249609584E-2</v>
      </c>
    </row>
    <row r="126" spans="1:8">
      <c r="A126" s="52">
        <f t="shared" si="3"/>
        <v>36192</v>
      </c>
      <c r="B126" s="53" t="s">
        <v>52</v>
      </c>
      <c r="C126" s="53">
        <v>1999</v>
      </c>
      <c r="D126" s="53" t="s">
        <v>101</v>
      </c>
      <c r="E126" s="54">
        <v>6740.4</v>
      </c>
      <c r="G126">
        <f t="shared" si="5"/>
        <v>6640.208333333333</v>
      </c>
      <c r="H126" s="2">
        <f t="shared" si="6"/>
        <v>2.8664340367741126E-2</v>
      </c>
    </row>
    <row r="127" spans="1:8">
      <c r="A127" s="52">
        <f t="shared" si="3"/>
        <v>36220</v>
      </c>
      <c r="B127" s="53" t="s">
        <v>52</v>
      </c>
      <c r="C127" s="53">
        <v>1999</v>
      </c>
      <c r="D127" s="53" t="s">
        <v>102</v>
      </c>
      <c r="E127" s="54">
        <v>6750.5</v>
      </c>
      <c r="G127">
        <f t="shared" si="5"/>
        <v>6656.5999999999995</v>
      </c>
      <c r="H127" s="2">
        <f t="shared" si="6"/>
        <v>2.8717580197116899E-2</v>
      </c>
    </row>
    <row r="128" spans="1:8">
      <c r="A128" s="52">
        <f t="shared" si="3"/>
        <v>36251</v>
      </c>
      <c r="B128" s="53" t="s">
        <v>52</v>
      </c>
      <c r="C128" s="53">
        <v>1999</v>
      </c>
      <c r="D128" s="53" t="s">
        <v>103</v>
      </c>
      <c r="E128" s="54">
        <v>6755.9</v>
      </c>
      <c r="G128">
        <f t="shared" si="5"/>
        <v>6674.0416666666652</v>
      </c>
      <c r="H128" s="2">
        <f t="shared" si="6"/>
        <v>2.8755335588099173E-2</v>
      </c>
    </row>
    <row r="129" spans="1:8">
      <c r="A129" s="52">
        <f t="shared" si="3"/>
        <v>36281</v>
      </c>
      <c r="B129" s="53" t="s">
        <v>52</v>
      </c>
      <c r="C129" s="53">
        <v>1999</v>
      </c>
      <c r="D129" s="53" t="s">
        <v>104</v>
      </c>
      <c r="E129" s="54">
        <v>6779.7</v>
      </c>
      <c r="G129">
        <f t="shared" si="5"/>
        <v>6691.1666666666652</v>
      </c>
      <c r="H129" s="2">
        <f t="shared" si="6"/>
        <v>2.852019086047286E-2</v>
      </c>
    </row>
    <row r="130" spans="1:8">
      <c r="A130" s="52">
        <f t="shared" si="3"/>
        <v>36312</v>
      </c>
      <c r="B130" s="53" t="s">
        <v>52</v>
      </c>
      <c r="C130" s="53">
        <v>1999</v>
      </c>
      <c r="D130" s="53" t="s">
        <v>105</v>
      </c>
      <c r="E130" s="54">
        <v>6828</v>
      </c>
      <c r="G130">
        <f t="shared" si="5"/>
        <v>6708.9916666666659</v>
      </c>
      <c r="H130" s="2">
        <f t="shared" si="6"/>
        <v>2.8521093472533954E-2</v>
      </c>
    </row>
    <row r="131" spans="1:8">
      <c r="A131" s="52">
        <f t="shared" si="3"/>
        <v>36342</v>
      </c>
      <c r="B131" s="53" t="s">
        <v>52</v>
      </c>
      <c r="C131" s="53">
        <v>1999</v>
      </c>
      <c r="D131" s="53" t="s">
        <v>106</v>
      </c>
      <c r="E131" s="54">
        <v>6798</v>
      </c>
      <c r="G131">
        <f t="shared" si="5"/>
        <v>6723.708333333333</v>
      </c>
      <c r="H131" s="2">
        <f t="shared" si="6"/>
        <v>2.8219665834502639E-2</v>
      </c>
    </row>
    <row r="132" spans="1:8">
      <c r="A132" s="52">
        <f t="shared" si="3"/>
        <v>36373</v>
      </c>
      <c r="B132" s="53" t="s">
        <v>52</v>
      </c>
      <c r="C132" s="53">
        <v>1999</v>
      </c>
      <c r="D132" s="53" t="s">
        <v>107</v>
      </c>
      <c r="E132" s="54">
        <v>6764.1</v>
      </c>
      <c r="G132">
        <f t="shared" si="5"/>
        <v>6738.4083333333338</v>
      </c>
      <c r="H132" s="2">
        <f t="shared" si="6"/>
        <v>2.8057024363637773E-2</v>
      </c>
    </row>
    <row r="133" spans="1:8">
      <c r="A133" s="52">
        <f t="shared" si="3"/>
        <v>36404</v>
      </c>
      <c r="B133" s="53" t="s">
        <v>52</v>
      </c>
      <c r="C133" s="53">
        <v>1999</v>
      </c>
      <c r="D133" s="53" t="s">
        <v>108</v>
      </c>
      <c r="E133" s="54">
        <v>6819.2</v>
      </c>
      <c r="G133">
        <f t="shared" si="5"/>
        <v>6752.8833333333323</v>
      </c>
      <c r="H133" s="2">
        <f t="shared" si="6"/>
        <v>2.743213601957617E-2</v>
      </c>
    </row>
    <row r="134" spans="1:8">
      <c r="A134" s="52">
        <f t="shared" si="3"/>
        <v>36434</v>
      </c>
      <c r="B134" s="53" t="s">
        <v>52</v>
      </c>
      <c r="C134" s="53">
        <v>1999</v>
      </c>
      <c r="D134" s="53" t="s">
        <v>109</v>
      </c>
      <c r="E134" s="54">
        <v>6861.4</v>
      </c>
      <c r="G134">
        <f t="shared" si="5"/>
        <v>6768.3416666666662</v>
      </c>
      <c r="H134" s="2">
        <f t="shared" si="6"/>
        <v>2.691183387363516E-2</v>
      </c>
    </row>
    <row r="135" spans="1:8">
      <c r="A135" s="52">
        <f t="shared" si="3"/>
        <v>36465</v>
      </c>
      <c r="B135" s="53" t="s">
        <v>52</v>
      </c>
      <c r="C135" s="53">
        <v>1999</v>
      </c>
      <c r="D135" s="53" t="s">
        <v>110</v>
      </c>
      <c r="E135" s="54">
        <v>6885.6</v>
      </c>
      <c r="G135">
        <f t="shared" si="5"/>
        <v>6783.9333333333334</v>
      </c>
      <c r="H135" s="2">
        <f t="shared" si="6"/>
        <v>2.645342532770445E-2</v>
      </c>
    </row>
    <row r="136" spans="1:8">
      <c r="A136" s="52">
        <f t="shared" si="3"/>
        <v>36495</v>
      </c>
      <c r="B136" s="53" t="s">
        <v>52</v>
      </c>
      <c r="C136" s="53">
        <v>1999</v>
      </c>
      <c r="D136" s="53" t="s">
        <v>111</v>
      </c>
      <c r="E136" s="54">
        <v>6910.7</v>
      </c>
      <c r="G136">
        <f t="shared" si="5"/>
        <v>6800.2333333333327</v>
      </c>
      <c r="H136" s="2">
        <f t="shared" si="6"/>
        <v>2.6637562825923888E-2</v>
      </c>
    </row>
    <row r="137" spans="1:8">
      <c r="A137" s="52">
        <f t="shared" si="3"/>
        <v>36526</v>
      </c>
      <c r="B137" s="53" t="s">
        <v>52</v>
      </c>
      <c r="C137" s="53">
        <v>2000</v>
      </c>
      <c r="D137" s="53" t="s">
        <v>100</v>
      </c>
      <c r="E137" s="54">
        <v>6942.4</v>
      </c>
      <c r="G137">
        <f t="shared" si="5"/>
        <v>6819.6583333333328</v>
      </c>
      <c r="H137" s="2">
        <f t="shared" si="6"/>
        <v>2.7024754494399561E-2</v>
      </c>
    </row>
    <row r="138" spans="1:8">
      <c r="A138" s="52">
        <f t="shared" si="3"/>
        <v>36557</v>
      </c>
      <c r="B138" s="53" t="s">
        <v>52</v>
      </c>
      <c r="C138" s="53">
        <v>2000</v>
      </c>
      <c r="D138" s="53" t="s">
        <v>101</v>
      </c>
      <c r="E138" s="54">
        <v>6952.7</v>
      </c>
      <c r="G138">
        <f t="shared" si="5"/>
        <v>6837.3499999999985</v>
      </c>
      <c r="H138" s="2">
        <f t="shared" si="6"/>
        <v>2.7153501787699375E-2</v>
      </c>
    </row>
    <row r="139" spans="1:8">
      <c r="A139" s="52">
        <f t="shared" si="3"/>
        <v>36586</v>
      </c>
      <c r="B139" s="53" t="s">
        <v>52</v>
      </c>
      <c r="C139" s="53">
        <v>2000</v>
      </c>
      <c r="D139" s="53" t="s">
        <v>102</v>
      </c>
      <c r="E139" s="54">
        <v>6984.6</v>
      </c>
      <c r="G139">
        <f t="shared" si="5"/>
        <v>6856.8583333333327</v>
      </c>
      <c r="H139" s="2">
        <f t="shared" si="6"/>
        <v>2.7392197381646666E-2</v>
      </c>
    </row>
    <row r="140" spans="1:8">
      <c r="A140" s="52">
        <f t="shared" si="3"/>
        <v>36617</v>
      </c>
      <c r="B140" s="53" t="s">
        <v>52</v>
      </c>
      <c r="C140" s="53">
        <v>2000</v>
      </c>
      <c r="D140" s="53" t="s">
        <v>103</v>
      </c>
      <c r="E140" s="54">
        <v>7009.5</v>
      </c>
      <c r="G140">
        <f t="shared" si="5"/>
        <v>6877.9916666666677</v>
      </c>
      <c r="H140" s="2">
        <f t="shared" si="6"/>
        <v>2.7921139811194262E-2</v>
      </c>
    </row>
    <row r="141" spans="1:8">
      <c r="A141" s="52">
        <f t="shared" si="3"/>
        <v>36647</v>
      </c>
      <c r="B141" s="53" t="s">
        <v>52</v>
      </c>
      <c r="C141" s="53">
        <v>2000</v>
      </c>
      <c r="D141" s="53" t="s">
        <v>104</v>
      </c>
      <c r="E141" s="54">
        <v>7039.9</v>
      </c>
      <c r="G141">
        <f t="shared" si="5"/>
        <v>6899.6749999999993</v>
      </c>
      <c r="H141" s="2">
        <f t="shared" si="6"/>
        <v>2.8422055475301189E-2</v>
      </c>
    </row>
    <row r="142" spans="1:8">
      <c r="A142" s="52">
        <f t="shared" si="3"/>
        <v>36678</v>
      </c>
      <c r="B142" s="53" t="s">
        <v>52</v>
      </c>
      <c r="C142" s="53">
        <v>2000</v>
      </c>
      <c r="D142" s="53" t="s">
        <v>105</v>
      </c>
      <c r="E142" s="54">
        <v>7027.6</v>
      </c>
      <c r="G142">
        <f t="shared" si="5"/>
        <v>6916.3083333333316</v>
      </c>
      <c r="H142" s="2">
        <f t="shared" si="6"/>
        <v>2.8644907014358179E-2</v>
      </c>
    </row>
    <row r="143" spans="1:8">
      <c r="A143" s="52">
        <f t="shared" si="3"/>
        <v>36708</v>
      </c>
      <c r="B143" s="53" t="s">
        <v>52</v>
      </c>
      <c r="C143" s="53">
        <v>2000</v>
      </c>
      <c r="D143" s="53" t="s">
        <v>106</v>
      </c>
      <c r="E143" s="54">
        <v>7073.3</v>
      </c>
      <c r="G143">
        <f t="shared" si="5"/>
        <v>6939.25</v>
      </c>
      <c r="H143" s="2">
        <f t="shared" si="6"/>
        <v>2.9805505503896157E-2</v>
      </c>
    </row>
    <row r="144" spans="1:8">
      <c r="A144" s="52">
        <f t="shared" si="3"/>
        <v>36739</v>
      </c>
      <c r="B144" s="53" t="s">
        <v>52</v>
      </c>
      <c r="C144" s="53">
        <v>2000</v>
      </c>
      <c r="D144" s="53" t="s">
        <v>107</v>
      </c>
      <c r="E144" s="54">
        <v>7125.1</v>
      </c>
      <c r="G144">
        <f t="shared" si="5"/>
        <v>6969.333333333333</v>
      </c>
      <c r="H144" s="2">
        <f t="shared" si="6"/>
        <v>3.2052974902079034E-2</v>
      </c>
    </row>
    <row r="145" spans="1:8">
      <c r="A145" s="52">
        <f t="shared" ref="A145:A208" si="7">IF(D145="M13","Annual Average",IF(LEFT(D145,1)="M",DATE(C145,RIGHT(D145,2),1),IF(D145="S01","First Half","Second Half")))</f>
        <v>36770</v>
      </c>
      <c r="B145" s="53" t="s">
        <v>52</v>
      </c>
      <c r="C145" s="53">
        <v>2000</v>
      </c>
      <c r="D145" s="53" t="s">
        <v>108</v>
      </c>
      <c r="E145" s="54">
        <v>7115</v>
      </c>
      <c r="G145">
        <f t="shared" si="5"/>
        <v>6993.9833333333336</v>
      </c>
      <c r="H145" s="2">
        <f t="shared" si="6"/>
        <v>3.3337806774431655E-2</v>
      </c>
    </row>
    <row r="146" spans="1:8">
      <c r="A146" s="52">
        <f t="shared" si="7"/>
        <v>36800</v>
      </c>
      <c r="B146" s="53" t="s">
        <v>52</v>
      </c>
      <c r="C146" s="53">
        <v>2000</v>
      </c>
      <c r="D146" s="53" t="s">
        <v>109</v>
      </c>
      <c r="E146" s="54">
        <v>7116.4</v>
      </c>
      <c r="G146">
        <f t="shared" si="5"/>
        <v>7015.2333333333336</v>
      </c>
      <c r="H146" s="2">
        <f t="shared" si="6"/>
        <v>3.4095264300946448E-2</v>
      </c>
    </row>
    <row r="147" spans="1:8">
      <c r="A147" s="52">
        <f t="shared" si="7"/>
        <v>36831</v>
      </c>
      <c r="B147" s="53" t="s">
        <v>52</v>
      </c>
      <c r="C147" s="53">
        <v>2000</v>
      </c>
      <c r="D147" s="53" t="s">
        <v>110</v>
      </c>
      <c r="E147" s="54">
        <v>7130.7</v>
      </c>
      <c r="G147">
        <f t="shared" si="5"/>
        <v>7035.6583333333328</v>
      </c>
      <c r="H147" s="2">
        <f t="shared" si="6"/>
        <v>3.4620135583582901E-2</v>
      </c>
    </row>
    <row r="148" spans="1:8">
      <c r="A148" s="52">
        <f t="shared" si="7"/>
        <v>36861</v>
      </c>
      <c r="B148" s="53" t="s">
        <v>52</v>
      </c>
      <c r="C148" s="53">
        <v>2000</v>
      </c>
      <c r="D148" s="53" t="s">
        <v>111</v>
      </c>
      <c r="E148" s="54">
        <v>7145.6</v>
      </c>
      <c r="G148">
        <f t="shared" si="5"/>
        <v>7055.2333333333336</v>
      </c>
      <c r="H148" s="2">
        <f t="shared" si="6"/>
        <v>3.4543519408963608E-2</v>
      </c>
    </row>
    <row r="149" spans="1:8">
      <c r="A149" s="52">
        <f t="shared" si="7"/>
        <v>36892</v>
      </c>
      <c r="B149" s="53" t="s">
        <v>52</v>
      </c>
      <c r="C149" s="53">
        <v>2001</v>
      </c>
      <c r="D149" s="53" t="s">
        <v>100</v>
      </c>
      <c r="E149" s="54">
        <v>7123.2</v>
      </c>
      <c r="G149">
        <f t="shared" si="5"/>
        <v>7070.3</v>
      </c>
      <c r="H149" s="2">
        <f t="shared" si="6"/>
        <v>3.4070217262536229E-2</v>
      </c>
    </row>
    <row r="150" spans="1:8">
      <c r="A150" s="52">
        <f t="shared" si="7"/>
        <v>36923</v>
      </c>
      <c r="B150" s="53" t="s">
        <v>52</v>
      </c>
      <c r="C150" s="53">
        <v>2001</v>
      </c>
      <c r="D150" s="53" t="s">
        <v>101</v>
      </c>
      <c r="E150" s="54">
        <v>7141.3</v>
      </c>
      <c r="G150">
        <f t="shared" si="5"/>
        <v>7086.0166666666664</v>
      </c>
      <c r="H150" s="2">
        <f t="shared" si="6"/>
        <v>3.3420310321903957E-2</v>
      </c>
    </row>
    <row r="151" spans="1:8">
      <c r="A151" s="52">
        <f t="shared" si="7"/>
        <v>36951</v>
      </c>
      <c r="B151" s="53" t="s">
        <v>52</v>
      </c>
      <c r="C151" s="53">
        <v>2001</v>
      </c>
      <c r="D151" s="53" t="s">
        <v>102</v>
      </c>
      <c r="E151" s="54">
        <v>7150.4</v>
      </c>
      <c r="G151">
        <f t="shared" si="5"/>
        <v>7099.833333333333</v>
      </c>
      <c r="H151" s="2">
        <f t="shared" si="6"/>
        <v>3.2253843479019162E-2</v>
      </c>
    </row>
    <row r="152" spans="1:8">
      <c r="A152" s="52">
        <f t="shared" si="7"/>
        <v>36982</v>
      </c>
      <c r="B152" s="53" t="s">
        <v>52</v>
      </c>
      <c r="C152" s="53">
        <v>2001</v>
      </c>
      <c r="D152" s="53" t="s">
        <v>103</v>
      </c>
      <c r="E152" s="54">
        <v>7152.5</v>
      </c>
      <c r="G152">
        <f t="shared" si="5"/>
        <v>7111.7499999999991</v>
      </c>
      <c r="H152" s="2">
        <f t="shared" si="6"/>
        <v>3.0736955001503752E-2</v>
      </c>
    </row>
    <row r="153" spans="1:8">
      <c r="A153" s="52">
        <f t="shared" si="7"/>
        <v>37012</v>
      </c>
      <c r="B153" s="53" t="s">
        <v>52</v>
      </c>
      <c r="C153" s="53">
        <v>2001</v>
      </c>
      <c r="D153" s="53" t="s">
        <v>104</v>
      </c>
      <c r="E153" s="54">
        <v>7153</v>
      </c>
      <c r="G153">
        <f t="shared" si="5"/>
        <v>7121.1749999999993</v>
      </c>
      <c r="H153" s="2">
        <f t="shared" si="6"/>
        <v>2.9620811680605375E-2</v>
      </c>
    </row>
    <row r="154" spans="1:8">
      <c r="A154" s="52">
        <f t="shared" si="7"/>
        <v>37043</v>
      </c>
      <c r="B154" s="53" t="s">
        <v>52</v>
      </c>
      <c r="C154" s="53">
        <v>2001</v>
      </c>
      <c r="D154" s="53" t="s">
        <v>105</v>
      </c>
      <c r="E154" s="54">
        <v>7139.2</v>
      </c>
      <c r="G154">
        <f t="shared" si="5"/>
        <v>7130.4749999999995</v>
      </c>
      <c r="H154" s="2">
        <f t="shared" si="6"/>
        <v>2.7557012645458734E-2</v>
      </c>
    </row>
    <row r="155" spans="1:8">
      <c r="A155" s="52">
        <f t="shared" si="7"/>
        <v>37073</v>
      </c>
      <c r="B155" s="53" t="s">
        <v>52</v>
      </c>
      <c r="C155" s="53">
        <v>2001</v>
      </c>
      <c r="D155" s="53" t="s">
        <v>106</v>
      </c>
      <c r="E155" s="54">
        <v>7155.1</v>
      </c>
      <c r="G155">
        <f t="shared" si="5"/>
        <v>7137.2916666666679</v>
      </c>
      <c r="H155" s="2">
        <f t="shared" si="6"/>
        <v>2.4099626937057694E-2</v>
      </c>
    </row>
    <row r="156" spans="1:8">
      <c r="A156" s="52">
        <f t="shared" si="7"/>
        <v>37104</v>
      </c>
      <c r="B156" s="53" t="s">
        <v>52</v>
      </c>
      <c r="C156" s="53">
        <v>2001</v>
      </c>
      <c r="D156" s="53" t="s">
        <v>107</v>
      </c>
      <c r="E156" s="54">
        <v>7183.1</v>
      </c>
      <c r="G156">
        <f t="shared" si="5"/>
        <v>7142.1250000000009</v>
      </c>
      <c r="H156" s="2">
        <f t="shared" si="6"/>
        <v>2.1181301070682279E-2</v>
      </c>
    </row>
    <row r="157" spans="1:8">
      <c r="A157" s="52">
        <f t="shared" si="7"/>
        <v>37135</v>
      </c>
      <c r="B157" s="53" t="s">
        <v>52</v>
      </c>
      <c r="C157" s="53">
        <v>2001</v>
      </c>
      <c r="D157" s="53" t="s">
        <v>108</v>
      </c>
      <c r="E157" s="54">
        <v>7156.5</v>
      </c>
      <c r="G157">
        <f t="shared" si="5"/>
        <v>7145.583333333333</v>
      </c>
      <c r="H157" s="2">
        <f t="shared" si="6"/>
        <v>1.8580992791876749E-2</v>
      </c>
    </row>
    <row r="158" spans="1:8">
      <c r="A158" s="52">
        <f t="shared" si="7"/>
        <v>37165</v>
      </c>
      <c r="B158" s="53" t="s">
        <v>52</v>
      </c>
      <c r="C158" s="53">
        <v>2001</v>
      </c>
      <c r="D158" s="53" t="s">
        <v>109</v>
      </c>
      <c r="E158" s="54">
        <v>7135.8</v>
      </c>
      <c r="G158">
        <f t="shared" si="5"/>
        <v>7147.2</v>
      </c>
      <c r="H158" s="2">
        <f t="shared" si="6"/>
        <v>1.5853763980864244E-2</v>
      </c>
    </row>
    <row r="159" spans="1:8">
      <c r="A159" s="52">
        <f t="shared" si="7"/>
        <v>37196</v>
      </c>
      <c r="B159" s="53" t="s">
        <v>52</v>
      </c>
      <c r="C159" s="53">
        <v>2001</v>
      </c>
      <c r="D159" s="53" t="s">
        <v>110</v>
      </c>
      <c r="E159" s="54">
        <v>7123</v>
      </c>
      <c r="G159">
        <f t="shared" si="5"/>
        <v>7146.5583333333334</v>
      </c>
      <c r="H159" s="2">
        <f t="shared" si="6"/>
        <v>1.2944291944041453E-2</v>
      </c>
    </row>
    <row r="160" spans="1:8">
      <c r="A160" s="52">
        <f t="shared" si="7"/>
        <v>37226</v>
      </c>
      <c r="B160" s="53" t="s">
        <v>52</v>
      </c>
      <c r="C160" s="53">
        <v>2001</v>
      </c>
      <c r="D160" s="53" t="s">
        <v>111</v>
      </c>
      <c r="E160" s="54">
        <v>7115.9</v>
      </c>
      <c r="G160">
        <f t="shared" si="5"/>
        <v>7144.0833333333321</v>
      </c>
      <c r="H160" s="2">
        <f t="shared" si="6"/>
        <v>1.0435672225129311E-2</v>
      </c>
    </row>
    <row r="161" spans="1:8">
      <c r="A161" s="52">
        <f t="shared" si="7"/>
        <v>37257</v>
      </c>
      <c r="B161" s="53" t="s">
        <v>52</v>
      </c>
      <c r="C161" s="53">
        <v>2002</v>
      </c>
      <c r="D161" s="53" t="s">
        <v>100</v>
      </c>
      <c r="E161" s="54">
        <v>7116.1</v>
      </c>
      <c r="G161">
        <f t="shared" ref="G161:G224" si="8">AVERAGE(E150:E161)</f>
        <v>7143.4916666666659</v>
      </c>
      <c r="H161" s="2">
        <f t="shared" si="6"/>
        <v>8.1110449923675887E-3</v>
      </c>
    </row>
    <row r="162" spans="1:8">
      <c r="A162" s="52">
        <f t="shared" si="7"/>
        <v>37288</v>
      </c>
      <c r="B162" s="53" t="s">
        <v>52</v>
      </c>
      <c r="C162" s="53">
        <v>2002</v>
      </c>
      <c r="D162" s="53" t="s">
        <v>101</v>
      </c>
      <c r="E162" s="54">
        <v>7118.7</v>
      </c>
      <c r="G162">
        <f t="shared" si="8"/>
        <v>7141.6083333333336</v>
      </c>
      <c r="H162" s="2">
        <f t="shared" si="6"/>
        <v>5.8839409375808227E-3</v>
      </c>
    </row>
    <row r="163" spans="1:8">
      <c r="A163" s="52">
        <f t="shared" si="7"/>
        <v>37316</v>
      </c>
      <c r="B163" s="53" t="s">
        <v>52</v>
      </c>
      <c r="C163" s="53">
        <v>2002</v>
      </c>
      <c r="D163" s="53" t="s">
        <v>102</v>
      </c>
      <c r="E163" s="54">
        <v>7128</v>
      </c>
      <c r="G163">
        <f t="shared" si="8"/>
        <v>7139.7416666666677</v>
      </c>
      <c r="H163" s="2">
        <f t="shared" si="6"/>
        <v>3.9359745022911063E-3</v>
      </c>
    </row>
    <row r="164" spans="1:8">
      <c r="A164" s="52">
        <f t="shared" si="7"/>
        <v>37347</v>
      </c>
      <c r="B164" s="53" t="s">
        <v>52</v>
      </c>
      <c r="C164" s="53">
        <v>2002</v>
      </c>
      <c r="D164" s="53" t="s">
        <v>103</v>
      </c>
      <c r="E164" s="54">
        <v>7138</v>
      </c>
      <c r="G164">
        <f t="shared" si="8"/>
        <v>7138.5333333333338</v>
      </c>
      <c r="H164" s="2">
        <f t="shared" si="6"/>
        <v>2.4375658979500781E-3</v>
      </c>
    </row>
    <row r="165" spans="1:8">
      <c r="A165" s="52">
        <f t="shared" si="7"/>
        <v>37377</v>
      </c>
      <c r="B165" s="53" t="s">
        <v>52</v>
      </c>
      <c r="C165" s="53">
        <v>2002</v>
      </c>
      <c r="D165" s="53" t="s">
        <v>104</v>
      </c>
      <c r="E165" s="54">
        <v>7146</v>
      </c>
      <c r="G165">
        <f t="shared" si="8"/>
        <v>7137.95</v>
      </c>
      <c r="H165" s="2">
        <f t="shared" si="6"/>
        <v>1.0483172579667244E-3</v>
      </c>
    </row>
    <row r="166" spans="1:8">
      <c r="A166" s="52">
        <f t="shared" si="7"/>
        <v>37408</v>
      </c>
      <c r="B166" s="53" t="s">
        <v>52</v>
      </c>
      <c r="C166" s="53">
        <v>2002</v>
      </c>
      <c r="D166" s="53" t="s">
        <v>105</v>
      </c>
      <c r="E166" s="54">
        <v>7131.7</v>
      </c>
      <c r="G166">
        <f t="shared" si="8"/>
        <v>7137.3249999999998</v>
      </c>
      <c r="H166" s="2">
        <f t="shared" si="6"/>
        <v>4.6703056129082654E-6</v>
      </c>
    </row>
    <row r="167" spans="1:8">
      <c r="A167" s="52">
        <f t="shared" si="7"/>
        <v>37438</v>
      </c>
      <c r="B167" s="53" t="s">
        <v>52</v>
      </c>
      <c r="C167" s="53">
        <v>2002</v>
      </c>
      <c r="D167" s="53" t="s">
        <v>106</v>
      </c>
      <c r="E167" s="54">
        <v>7143.9</v>
      </c>
      <c r="G167">
        <f t="shared" si="8"/>
        <v>7136.3916666666664</v>
      </c>
      <c r="H167" s="2">
        <f t="shared" si="6"/>
        <v>-8.0274894843401778E-4</v>
      </c>
    </row>
    <row r="168" spans="1:8">
      <c r="A168" s="52">
        <f t="shared" si="7"/>
        <v>37469</v>
      </c>
      <c r="B168" s="53" t="s">
        <v>52</v>
      </c>
      <c r="C168" s="53">
        <v>2002</v>
      </c>
      <c r="D168" s="53" t="s">
        <v>107</v>
      </c>
      <c r="E168" s="54">
        <v>7174.6</v>
      </c>
      <c r="G168">
        <f t="shared" si="8"/>
        <v>7135.6833333333334</v>
      </c>
      <c r="H168" s="2">
        <f t="shared" ref="H168:H231" si="9">G168/G157-1</f>
        <v>-1.3854712118207546E-3</v>
      </c>
    </row>
    <row r="169" spans="1:8">
      <c r="A169" s="52">
        <f t="shared" si="7"/>
        <v>37500</v>
      </c>
      <c r="B169" s="53" t="s">
        <v>52</v>
      </c>
      <c r="C169" s="53">
        <v>2002</v>
      </c>
      <c r="D169" s="53" t="s">
        <v>108</v>
      </c>
      <c r="E169" s="54">
        <v>7162.4</v>
      </c>
      <c r="G169">
        <f t="shared" si="8"/>
        <v>7136.1749999999993</v>
      </c>
      <c r="H169" s="2">
        <f t="shared" si="9"/>
        <v>-1.5425621222298069E-3</v>
      </c>
    </row>
    <row r="170" spans="1:8">
      <c r="A170" s="52">
        <f t="shared" si="7"/>
        <v>37530</v>
      </c>
      <c r="B170" s="53" t="s">
        <v>52</v>
      </c>
      <c r="C170" s="53">
        <v>2002</v>
      </c>
      <c r="D170" s="53" t="s">
        <v>109</v>
      </c>
      <c r="E170" s="54">
        <v>7182.6</v>
      </c>
      <c r="G170">
        <f t="shared" si="8"/>
        <v>7140.0749999999998</v>
      </c>
      <c r="H170" s="2">
        <f t="shared" si="9"/>
        <v>-9.0719658763482869E-4</v>
      </c>
    </row>
    <row r="171" spans="1:8">
      <c r="A171" s="52">
        <f t="shared" si="7"/>
        <v>37561</v>
      </c>
      <c r="B171" s="53" t="s">
        <v>52</v>
      </c>
      <c r="C171" s="53">
        <v>2002</v>
      </c>
      <c r="D171" s="53" t="s">
        <v>110</v>
      </c>
      <c r="E171" s="54">
        <v>7190.6</v>
      </c>
      <c r="G171">
        <f t="shared" si="8"/>
        <v>7145.708333333333</v>
      </c>
      <c r="H171" s="2">
        <f t="shared" si="9"/>
        <v>2.2746095253656229E-4</v>
      </c>
    </row>
    <row r="172" spans="1:8">
      <c r="A172" s="52">
        <f t="shared" si="7"/>
        <v>37591</v>
      </c>
      <c r="B172" s="53" t="s">
        <v>52</v>
      </c>
      <c r="C172" s="53">
        <v>2002</v>
      </c>
      <c r="D172" s="53" t="s">
        <v>111</v>
      </c>
      <c r="E172" s="54">
        <v>7200</v>
      </c>
      <c r="G172">
        <f t="shared" si="8"/>
        <v>7152.7166666666672</v>
      </c>
      <c r="H172" s="2">
        <f t="shared" si="9"/>
        <v>1.2913852819409488E-3</v>
      </c>
    </row>
    <row r="173" spans="1:8">
      <c r="A173" s="52">
        <f t="shared" si="7"/>
        <v>37622</v>
      </c>
      <c r="B173" s="53" t="s">
        <v>52</v>
      </c>
      <c r="C173" s="53">
        <v>2003</v>
      </c>
      <c r="D173" s="53" t="s">
        <v>100</v>
      </c>
      <c r="E173" s="54">
        <v>7199.5</v>
      </c>
      <c r="G173">
        <f t="shared" si="8"/>
        <v>7159.666666666667</v>
      </c>
      <c r="H173" s="2">
        <f t="shared" si="9"/>
        <v>2.5286087517635281E-3</v>
      </c>
    </row>
    <row r="174" spans="1:8">
      <c r="A174" s="52">
        <f t="shared" si="7"/>
        <v>37653</v>
      </c>
      <c r="B174" s="53" t="s">
        <v>52</v>
      </c>
      <c r="C174" s="53">
        <v>2003</v>
      </c>
      <c r="D174" s="53" t="s">
        <v>101</v>
      </c>
      <c r="E174" s="54">
        <v>7202.5</v>
      </c>
      <c r="G174">
        <f t="shared" si="8"/>
        <v>7166.6499999999987</v>
      </c>
      <c r="H174" s="2">
        <f t="shared" si="9"/>
        <v>3.7688104961777213E-3</v>
      </c>
    </row>
    <row r="175" spans="1:8">
      <c r="A175" s="52">
        <f t="shared" si="7"/>
        <v>37681</v>
      </c>
      <c r="B175" s="53" t="s">
        <v>52</v>
      </c>
      <c r="C175" s="53">
        <v>2003</v>
      </c>
      <c r="D175" s="53" t="s">
        <v>102</v>
      </c>
      <c r="E175" s="54">
        <v>7209.1</v>
      </c>
      <c r="G175">
        <f t="shared" si="8"/>
        <v>7173.4083333333328</v>
      </c>
      <c r="H175" s="2">
        <f t="shared" si="9"/>
        <v>4.8854573301704285E-3</v>
      </c>
    </row>
    <row r="176" spans="1:8">
      <c r="A176" s="52">
        <f t="shared" si="7"/>
        <v>37712</v>
      </c>
      <c r="B176" s="53" t="s">
        <v>52</v>
      </c>
      <c r="C176" s="53">
        <v>2003</v>
      </c>
      <c r="D176" s="53" t="s">
        <v>103</v>
      </c>
      <c r="E176" s="54">
        <v>7209.6</v>
      </c>
      <c r="G176">
        <f t="shared" si="8"/>
        <v>7179.375</v>
      </c>
      <c r="H176" s="2">
        <f t="shared" si="9"/>
        <v>5.8034869955658763E-3</v>
      </c>
    </row>
    <row r="177" spans="1:8">
      <c r="A177" s="52">
        <f t="shared" si="7"/>
        <v>37742</v>
      </c>
      <c r="B177" s="53" t="s">
        <v>52</v>
      </c>
      <c r="C177" s="53">
        <v>2003</v>
      </c>
      <c r="D177" s="53" t="s">
        <v>104</v>
      </c>
      <c r="E177" s="54">
        <v>7209.4</v>
      </c>
      <c r="G177">
        <f t="shared" si="8"/>
        <v>7184.6583333333328</v>
      </c>
      <c r="H177" s="2">
        <f t="shared" si="9"/>
        <v>6.6318029980887427E-3</v>
      </c>
    </row>
    <row r="178" spans="1:8">
      <c r="A178" s="52">
        <f t="shared" si="7"/>
        <v>37773</v>
      </c>
      <c r="B178" s="53" t="s">
        <v>52</v>
      </c>
      <c r="C178" s="53">
        <v>2003</v>
      </c>
      <c r="D178" s="53" t="s">
        <v>105</v>
      </c>
      <c r="E178" s="54">
        <v>7208.5</v>
      </c>
      <c r="G178">
        <f t="shared" si="8"/>
        <v>7191.0583333333334</v>
      </c>
      <c r="H178" s="2">
        <f t="shared" si="9"/>
        <v>7.6602671518168908E-3</v>
      </c>
    </row>
    <row r="179" spans="1:8">
      <c r="A179" s="52">
        <f t="shared" si="7"/>
        <v>37803</v>
      </c>
      <c r="B179" s="53" t="s">
        <v>52</v>
      </c>
      <c r="C179" s="53">
        <v>2003</v>
      </c>
      <c r="D179" s="53" t="s">
        <v>106</v>
      </c>
      <c r="E179" s="54">
        <v>7222.5</v>
      </c>
      <c r="G179">
        <f t="shared" si="8"/>
        <v>7197.6083333333327</v>
      </c>
      <c r="H179" s="2">
        <f t="shared" si="9"/>
        <v>8.6782158214231409E-3</v>
      </c>
    </row>
    <row r="180" spans="1:8">
      <c r="A180" s="52">
        <f t="shared" si="7"/>
        <v>37834</v>
      </c>
      <c r="B180" s="53" t="s">
        <v>52</v>
      </c>
      <c r="C180" s="53">
        <v>2003</v>
      </c>
      <c r="D180" s="53" t="s">
        <v>107</v>
      </c>
      <c r="E180" s="54">
        <v>7243.2</v>
      </c>
      <c r="G180">
        <f t="shared" si="8"/>
        <v>7203.3249999999998</v>
      </c>
      <c r="H180" s="2">
        <f t="shared" si="9"/>
        <v>9.4098028705855707E-3</v>
      </c>
    </row>
    <row r="181" spans="1:8">
      <c r="A181" s="52">
        <f t="shared" si="7"/>
        <v>37865</v>
      </c>
      <c r="B181" s="53" t="s">
        <v>52</v>
      </c>
      <c r="C181" s="53">
        <v>2003</v>
      </c>
      <c r="D181" s="53" t="s">
        <v>108</v>
      </c>
      <c r="E181" s="54">
        <v>7247.7</v>
      </c>
      <c r="G181">
        <f t="shared" si="8"/>
        <v>7210.4333333333316</v>
      </c>
      <c r="H181" s="2">
        <f t="shared" si="9"/>
        <v>9.8540048015367532E-3</v>
      </c>
    </row>
    <row r="182" spans="1:8">
      <c r="A182" s="52">
        <f t="shared" si="7"/>
        <v>37895</v>
      </c>
      <c r="B182" s="53" t="s">
        <v>52</v>
      </c>
      <c r="C182" s="53">
        <v>2003</v>
      </c>
      <c r="D182" s="53" t="s">
        <v>109</v>
      </c>
      <c r="E182" s="54">
        <v>7267.5</v>
      </c>
      <c r="G182">
        <f t="shared" si="8"/>
        <v>7217.5083333333323</v>
      </c>
      <c r="H182" s="2">
        <f t="shared" si="9"/>
        <v>1.004798917765326E-2</v>
      </c>
    </row>
    <row r="183" spans="1:8">
      <c r="A183" s="52">
        <f t="shared" si="7"/>
        <v>37926</v>
      </c>
      <c r="B183" s="53" t="s">
        <v>52</v>
      </c>
      <c r="C183" s="53">
        <v>2003</v>
      </c>
      <c r="D183" s="53" t="s">
        <v>110</v>
      </c>
      <c r="E183" s="54">
        <v>7275.7</v>
      </c>
      <c r="G183">
        <f t="shared" si="8"/>
        <v>7224.5999999999995</v>
      </c>
      <c r="H183" s="2">
        <f t="shared" si="9"/>
        <v>1.0049794600186734E-2</v>
      </c>
    </row>
    <row r="184" spans="1:8">
      <c r="A184" s="52">
        <f t="shared" si="7"/>
        <v>37956</v>
      </c>
      <c r="B184" s="53" t="s">
        <v>52</v>
      </c>
      <c r="C184" s="53">
        <v>2003</v>
      </c>
      <c r="D184" s="53" t="s">
        <v>111</v>
      </c>
      <c r="E184" s="54">
        <v>7294</v>
      </c>
      <c r="G184">
        <f t="shared" si="8"/>
        <v>7232.4333333333334</v>
      </c>
      <c r="H184" s="2">
        <f t="shared" si="9"/>
        <v>1.016341542902377E-2</v>
      </c>
    </row>
    <row r="185" spans="1:8">
      <c r="A185" s="52">
        <f t="shared" si="7"/>
        <v>37987</v>
      </c>
      <c r="B185" s="53" t="s">
        <v>52</v>
      </c>
      <c r="C185" s="53">
        <v>2004</v>
      </c>
      <c r="D185" s="53" t="s">
        <v>100</v>
      </c>
      <c r="E185" s="54">
        <v>7353.6</v>
      </c>
      <c r="F185" s="55">
        <f>E185-E173</f>
        <v>154.10000000000036</v>
      </c>
      <c r="G185">
        <f t="shared" si="8"/>
        <v>7245.2750000000005</v>
      </c>
      <c r="H185" s="2">
        <f t="shared" si="9"/>
        <v>1.097095574640905E-2</v>
      </c>
    </row>
    <row r="186" spans="1:8">
      <c r="A186" s="52">
        <f t="shared" si="7"/>
        <v>38018</v>
      </c>
      <c r="B186" s="53" t="s">
        <v>52</v>
      </c>
      <c r="C186" s="53">
        <v>2004</v>
      </c>
      <c r="D186" s="53" t="s">
        <v>101</v>
      </c>
      <c r="E186" s="54">
        <v>7371.5</v>
      </c>
      <c r="F186" s="55">
        <f t="shared" ref="F186:F249" si="10">E186-E174</f>
        <v>169</v>
      </c>
      <c r="G186">
        <f t="shared" si="8"/>
        <v>7259.3583333333327</v>
      </c>
      <c r="H186" s="2">
        <f t="shared" si="9"/>
        <v>1.1981752049525562E-2</v>
      </c>
    </row>
    <row r="187" spans="1:8">
      <c r="A187" s="52">
        <f t="shared" si="7"/>
        <v>38047</v>
      </c>
      <c r="B187" s="53" t="s">
        <v>52</v>
      </c>
      <c r="C187" s="53">
        <v>2004</v>
      </c>
      <c r="D187" s="53" t="s">
        <v>102</v>
      </c>
      <c r="E187" s="54">
        <v>7390.9</v>
      </c>
      <c r="F187" s="55">
        <f t="shared" si="10"/>
        <v>181.79999999999927</v>
      </c>
      <c r="G187">
        <f t="shared" si="8"/>
        <v>7274.5083333333323</v>
      </c>
      <c r="H187" s="2">
        <f t="shared" si="9"/>
        <v>1.3250921331359855E-2</v>
      </c>
    </row>
    <row r="188" spans="1:8">
      <c r="A188" s="52">
        <f t="shared" si="7"/>
        <v>38078</v>
      </c>
      <c r="B188" s="53" t="s">
        <v>52</v>
      </c>
      <c r="C188" s="53">
        <v>2004</v>
      </c>
      <c r="D188" s="53" t="s">
        <v>103</v>
      </c>
      <c r="E188" s="54">
        <v>7427.9</v>
      </c>
      <c r="F188" s="55">
        <f t="shared" si="10"/>
        <v>218.29999999999927</v>
      </c>
      <c r="G188">
        <f t="shared" si="8"/>
        <v>7292.7</v>
      </c>
      <c r="H188" s="2">
        <f t="shared" si="9"/>
        <v>1.5037829449092488E-2</v>
      </c>
    </row>
    <row r="189" spans="1:8">
      <c r="A189" s="52">
        <f t="shared" si="7"/>
        <v>38108</v>
      </c>
      <c r="B189" s="53" t="s">
        <v>52</v>
      </c>
      <c r="C189" s="53">
        <v>2004</v>
      </c>
      <c r="D189" s="53" t="s">
        <v>104</v>
      </c>
      <c r="E189" s="54">
        <v>7452</v>
      </c>
      <c r="F189" s="55">
        <f t="shared" si="10"/>
        <v>242.60000000000036</v>
      </c>
      <c r="G189">
        <f t="shared" si="8"/>
        <v>7312.9166666666652</v>
      </c>
      <c r="H189" s="2">
        <f t="shared" si="9"/>
        <v>1.6945813492913908E-2</v>
      </c>
    </row>
    <row r="190" spans="1:8">
      <c r="A190" s="52">
        <f t="shared" si="7"/>
        <v>38139</v>
      </c>
      <c r="B190" s="53" t="s">
        <v>52</v>
      </c>
      <c r="C190" s="53">
        <v>2004</v>
      </c>
      <c r="D190" s="53" t="s">
        <v>105</v>
      </c>
      <c r="E190" s="54">
        <v>7476.1</v>
      </c>
      <c r="F190" s="55">
        <f t="shared" si="10"/>
        <v>267.60000000000036</v>
      </c>
      <c r="G190">
        <f t="shared" si="8"/>
        <v>7335.2166666666662</v>
      </c>
      <c r="H190" s="2">
        <f t="shared" si="9"/>
        <v>1.9118619263574832E-2</v>
      </c>
    </row>
    <row r="191" spans="1:8">
      <c r="A191" s="52">
        <f t="shared" si="7"/>
        <v>38169</v>
      </c>
      <c r="B191" s="53" t="s">
        <v>52</v>
      </c>
      <c r="C191" s="53">
        <v>2004</v>
      </c>
      <c r="D191" s="53" t="s">
        <v>106</v>
      </c>
      <c r="E191" s="54">
        <v>7508.1</v>
      </c>
      <c r="F191" s="55">
        <f t="shared" si="10"/>
        <v>285.60000000000036</v>
      </c>
      <c r="G191">
        <f t="shared" si="8"/>
        <v>7359.0166666666673</v>
      </c>
      <c r="H191" s="2">
        <f t="shared" si="9"/>
        <v>2.1613861191417616E-2</v>
      </c>
    </row>
    <row r="192" spans="1:8">
      <c r="A192" s="52">
        <f t="shared" si="7"/>
        <v>38200</v>
      </c>
      <c r="B192" s="53" t="s">
        <v>52</v>
      </c>
      <c r="C192" s="53">
        <v>2004</v>
      </c>
      <c r="D192" s="53" t="s">
        <v>107</v>
      </c>
      <c r="E192" s="54">
        <v>7525</v>
      </c>
      <c r="F192" s="55">
        <f t="shared" si="10"/>
        <v>281.80000000000018</v>
      </c>
      <c r="G192">
        <f t="shared" si="8"/>
        <v>7382.5000000000009</v>
      </c>
      <c r="H192" s="2">
        <f t="shared" si="9"/>
        <v>2.3863568070342955E-2</v>
      </c>
    </row>
    <row r="193" spans="1:8">
      <c r="A193" s="52">
        <f t="shared" si="7"/>
        <v>38231</v>
      </c>
      <c r="B193" s="53" t="s">
        <v>52</v>
      </c>
      <c r="C193" s="53">
        <v>2004</v>
      </c>
      <c r="D193" s="53" t="s">
        <v>108</v>
      </c>
      <c r="E193" s="54">
        <v>7481.3</v>
      </c>
      <c r="F193" s="55">
        <f t="shared" si="10"/>
        <v>233.60000000000036</v>
      </c>
      <c r="G193">
        <f t="shared" si="8"/>
        <v>7401.9666666666681</v>
      </c>
      <c r="H193" s="2">
        <f t="shared" si="9"/>
        <v>2.5557065515454003E-2</v>
      </c>
    </row>
    <row r="194" spans="1:8">
      <c r="A194" s="52">
        <f t="shared" si="7"/>
        <v>38261</v>
      </c>
      <c r="B194" s="53" t="s">
        <v>52</v>
      </c>
      <c r="C194" s="53">
        <v>2004</v>
      </c>
      <c r="D194" s="53" t="s">
        <v>109</v>
      </c>
      <c r="E194" s="54">
        <v>7557.9</v>
      </c>
      <c r="F194" s="55">
        <f t="shared" si="10"/>
        <v>290.39999999999964</v>
      </c>
      <c r="G194">
        <f t="shared" si="8"/>
        <v>7426.166666666667</v>
      </c>
      <c r="H194" s="2">
        <f t="shared" si="9"/>
        <v>2.7900045215882852E-2</v>
      </c>
    </row>
    <row r="195" spans="1:8">
      <c r="A195" s="52">
        <f t="shared" si="7"/>
        <v>38292</v>
      </c>
      <c r="B195" s="53" t="s">
        <v>52</v>
      </c>
      <c r="C195" s="53">
        <v>2004</v>
      </c>
      <c r="D195" s="53" t="s">
        <v>110</v>
      </c>
      <c r="E195" s="54">
        <v>7599.2</v>
      </c>
      <c r="F195" s="55">
        <f t="shared" si="10"/>
        <v>323.5</v>
      </c>
      <c r="G195">
        <f t="shared" si="8"/>
        <v>7453.125</v>
      </c>
      <c r="H195" s="2">
        <f t="shared" si="9"/>
        <v>3.0514165356979817E-2</v>
      </c>
    </row>
    <row r="196" spans="1:8">
      <c r="A196" s="52">
        <f t="shared" si="7"/>
        <v>38322</v>
      </c>
      <c r="B196" s="53" t="s">
        <v>52</v>
      </c>
      <c r="C196" s="53">
        <v>2004</v>
      </c>
      <c r="D196" s="53" t="s">
        <v>111</v>
      </c>
      <c r="E196" s="54">
        <v>7623.3</v>
      </c>
      <c r="F196" s="55">
        <f t="shared" si="10"/>
        <v>329.30000000000018</v>
      </c>
      <c r="G196">
        <f t="shared" si="8"/>
        <v>7480.5666666666657</v>
      </c>
      <c r="H196" s="2">
        <f t="shared" si="9"/>
        <v>3.2475187852312626E-2</v>
      </c>
    </row>
    <row r="197" spans="1:8">
      <c r="A197" s="52">
        <f t="shared" si="7"/>
        <v>38353</v>
      </c>
      <c r="B197" s="53" t="s">
        <v>52</v>
      </c>
      <c r="C197" s="53">
        <v>2005</v>
      </c>
      <c r="D197" s="53" t="s">
        <v>100</v>
      </c>
      <c r="E197">
        <v>7645.5</v>
      </c>
      <c r="F197" s="55">
        <f t="shared" si="10"/>
        <v>291.89999999999964</v>
      </c>
      <c r="G197">
        <f t="shared" si="8"/>
        <v>7504.8916666666664</v>
      </c>
      <c r="H197" s="2">
        <f t="shared" si="9"/>
        <v>3.3823007772725511E-2</v>
      </c>
    </row>
    <row r="198" spans="1:8">
      <c r="A198" s="52">
        <f t="shared" si="7"/>
        <v>38384</v>
      </c>
      <c r="B198" s="53" t="s">
        <v>52</v>
      </c>
      <c r="C198" s="53">
        <v>2005</v>
      </c>
      <c r="D198" s="53" t="s">
        <v>101</v>
      </c>
      <c r="E198">
        <v>7668.7</v>
      </c>
      <c r="F198" s="55">
        <f t="shared" si="10"/>
        <v>297.19999999999982</v>
      </c>
      <c r="G198">
        <f t="shared" si="8"/>
        <v>7529.6583333333338</v>
      </c>
      <c r="H198" s="2">
        <f t="shared" si="9"/>
        <v>3.5074535392426442E-2</v>
      </c>
    </row>
    <row r="199" spans="1:8">
      <c r="A199" s="52">
        <f t="shared" si="7"/>
        <v>38412</v>
      </c>
      <c r="B199" s="53" t="s">
        <v>52</v>
      </c>
      <c r="C199" s="53">
        <v>2005</v>
      </c>
      <c r="D199" s="53" t="s">
        <v>102</v>
      </c>
      <c r="E199">
        <v>7668.1</v>
      </c>
      <c r="F199" s="55">
        <f t="shared" si="10"/>
        <v>277.20000000000073</v>
      </c>
      <c r="G199">
        <f t="shared" si="8"/>
        <v>7552.7583333333341</v>
      </c>
      <c r="H199" s="2">
        <f t="shared" si="9"/>
        <v>3.5660089313057419E-2</v>
      </c>
    </row>
    <row r="200" spans="1:8">
      <c r="A200" s="52">
        <f t="shared" si="7"/>
        <v>38443</v>
      </c>
      <c r="B200" s="53" t="s">
        <v>52</v>
      </c>
      <c r="C200" s="53">
        <v>2005</v>
      </c>
      <c r="D200" s="53" t="s">
        <v>103</v>
      </c>
      <c r="E200">
        <v>7713.4</v>
      </c>
      <c r="F200" s="55">
        <f t="shared" si="10"/>
        <v>285.5</v>
      </c>
      <c r="G200">
        <f t="shared" si="8"/>
        <v>7576.5499999999993</v>
      </c>
      <c r="H200" s="2">
        <f t="shared" si="9"/>
        <v>3.6050367500427338E-2</v>
      </c>
    </row>
    <row r="201" spans="1:8">
      <c r="A201" s="52">
        <f t="shared" si="7"/>
        <v>38473</v>
      </c>
      <c r="B201" s="53" t="s">
        <v>52</v>
      </c>
      <c r="C201" s="53">
        <v>2005</v>
      </c>
      <c r="D201" s="53" t="s">
        <v>104</v>
      </c>
      <c r="E201">
        <v>7752.1</v>
      </c>
      <c r="F201" s="55">
        <f t="shared" si="10"/>
        <v>300.10000000000036</v>
      </c>
      <c r="G201">
        <f t="shared" si="8"/>
        <v>7601.5583333333343</v>
      </c>
      <c r="H201" s="2">
        <f t="shared" si="9"/>
        <v>3.6309993115404726E-2</v>
      </c>
    </row>
    <row r="202" spans="1:8">
      <c r="A202" s="52">
        <f t="shared" si="7"/>
        <v>38504</v>
      </c>
      <c r="B202" s="53" t="s">
        <v>52</v>
      </c>
      <c r="C202" s="53">
        <v>2005</v>
      </c>
      <c r="D202" s="53" t="s">
        <v>105</v>
      </c>
      <c r="E202">
        <v>7752.1</v>
      </c>
      <c r="F202" s="55">
        <f t="shared" si="10"/>
        <v>276</v>
      </c>
      <c r="G202">
        <f t="shared" si="8"/>
        <v>7624.5583333333343</v>
      </c>
      <c r="H202" s="2">
        <f t="shared" si="9"/>
        <v>3.6083851782733767E-2</v>
      </c>
    </row>
    <row r="203" spans="1:8">
      <c r="A203" s="52">
        <f t="shared" si="7"/>
        <v>38534</v>
      </c>
      <c r="B203" s="53" t="s">
        <v>52</v>
      </c>
      <c r="C203" s="53">
        <v>2005</v>
      </c>
      <c r="D203" s="53" t="s">
        <v>106</v>
      </c>
      <c r="E203">
        <v>7810.5</v>
      </c>
      <c r="F203" s="55">
        <f t="shared" si="10"/>
        <v>302.39999999999964</v>
      </c>
      <c r="G203">
        <f t="shared" si="8"/>
        <v>7649.7583333333341</v>
      </c>
      <c r="H203" s="2">
        <f t="shared" si="9"/>
        <v>3.6201602889716744E-2</v>
      </c>
    </row>
    <row r="204" spans="1:8">
      <c r="A204" s="52">
        <f t="shared" si="7"/>
        <v>38565</v>
      </c>
      <c r="B204" s="53" t="s">
        <v>52</v>
      </c>
      <c r="C204" s="53">
        <v>2005</v>
      </c>
      <c r="D204" s="53" t="s">
        <v>107</v>
      </c>
      <c r="E204">
        <v>7840.8</v>
      </c>
      <c r="F204" s="55">
        <f t="shared" si="10"/>
        <v>315.80000000000018</v>
      </c>
      <c r="G204">
        <f t="shared" si="8"/>
        <v>7676.0750000000007</v>
      </c>
      <c r="H204" s="2">
        <f t="shared" si="9"/>
        <v>3.7031824875370933E-2</v>
      </c>
    </row>
    <row r="205" spans="1:8">
      <c r="A205" s="52">
        <f t="shared" si="7"/>
        <v>38596</v>
      </c>
      <c r="B205" s="53" t="s">
        <v>52</v>
      </c>
      <c r="C205" s="53">
        <v>2005</v>
      </c>
      <c r="D205" s="53" t="s">
        <v>108</v>
      </c>
      <c r="E205">
        <v>7870.8</v>
      </c>
      <c r="F205" s="55">
        <f t="shared" si="10"/>
        <v>389.5</v>
      </c>
      <c r="G205">
        <f t="shared" si="8"/>
        <v>7708.5333333333338</v>
      </c>
      <c r="H205" s="2">
        <f t="shared" si="9"/>
        <v>3.8023206230221929E-2</v>
      </c>
    </row>
    <row r="206" spans="1:8">
      <c r="A206" s="52">
        <f t="shared" si="7"/>
        <v>38626</v>
      </c>
      <c r="B206" s="53" t="s">
        <v>52</v>
      </c>
      <c r="C206" s="53">
        <v>2005</v>
      </c>
      <c r="D206" s="53" t="s">
        <v>109</v>
      </c>
      <c r="E206">
        <v>7870.8</v>
      </c>
      <c r="F206" s="55">
        <f t="shared" si="10"/>
        <v>312.90000000000055</v>
      </c>
      <c r="G206">
        <f t="shared" si="8"/>
        <v>7734.6083333333336</v>
      </c>
      <c r="H206" s="2">
        <f t="shared" si="9"/>
        <v>3.7767155835080501E-2</v>
      </c>
    </row>
    <row r="207" spans="1:8">
      <c r="A207" s="52">
        <f t="shared" si="7"/>
        <v>38657</v>
      </c>
      <c r="B207" s="53" t="s">
        <v>52</v>
      </c>
      <c r="C207" s="53">
        <v>2005</v>
      </c>
      <c r="D207" s="53" t="s">
        <v>110</v>
      </c>
      <c r="E207">
        <v>7880.1</v>
      </c>
      <c r="F207" s="55">
        <f t="shared" si="10"/>
        <v>280.90000000000055</v>
      </c>
      <c r="G207">
        <f t="shared" si="8"/>
        <v>7758.0166666666673</v>
      </c>
      <c r="H207" s="2">
        <f t="shared" si="9"/>
        <v>3.7089436183533664E-2</v>
      </c>
    </row>
    <row r="208" spans="1:8">
      <c r="A208" s="52">
        <f t="shared" si="7"/>
        <v>38687</v>
      </c>
      <c r="B208" s="53" t="s">
        <v>52</v>
      </c>
      <c r="C208" s="53">
        <v>2005</v>
      </c>
      <c r="D208" s="53" t="s">
        <v>111</v>
      </c>
      <c r="E208">
        <v>7898.5</v>
      </c>
      <c r="F208" s="55">
        <f t="shared" si="10"/>
        <v>275.19999999999982</v>
      </c>
      <c r="G208">
        <f t="shared" si="8"/>
        <v>7780.9500000000007</v>
      </c>
      <c r="H208" s="2">
        <f t="shared" si="9"/>
        <v>3.678378657475645E-2</v>
      </c>
    </row>
    <row r="209" spans="1:8">
      <c r="A209" s="52">
        <f t="shared" ref="A209:A272" si="11">IF(D209="M13","Annual Average",IF(LEFT(D209,1)="M",DATE(C209,RIGHT(D209,2),1),IF(D209="S01","First Half","Second Half")))</f>
        <v>38718</v>
      </c>
      <c r="B209" s="53" t="s">
        <v>52</v>
      </c>
      <c r="C209" s="53">
        <v>2006</v>
      </c>
      <c r="D209" s="53" t="s">
        <v>100</v>
      </c>
      <c r="E209">
        <v>7906.2</v>
      </c>
      <c r="F209" s="55">
        <f t="shared" si="10"/>
        <v>260.69999999999982</v>
      </c>
      <c r="G209">
        <f t="shared" si="8"/>
        <v>7802.6750000000002</v>
      </c>
      <c r="H209" s="2">
        <f t="shared" si="9"/>
        <v>3.6258838659124715E-2</v>
      </c>
    </row>
    <row r="210" spans="1:8">
      <c r="A210" s="52">
        <f t="shared" si="11"/>
        <v>38749</v>
      </c>
      <c r="B210" s="53" t="s">
        <v>52</v>
      </c>
      <c r="C210" s="53">
        <v>2006</v>
      </c>
      <c r="D210" s="53" t="s">
        <v>101</v>
      </c>
      <c r="E210">
        <v>7920.2</v>
      </c>
      <c r="F210" s="55">
        <f t="shared" si="10"/>
        <v>251.5</v>
      </c>
      <c r="G210">
        <f t="shared" si="8"/>
        <v>7823.6333333333341</v>
      </c>
      <c r="H210" s="2">
        <f t="shared" si="9"/>
        <v>3.5864380673286123E-2</v>
      </c>
    </row>
    <row r="211" spans="1:8">
      <c r="A211" s="52">
        <f t="shared" si="11"/>
        <v>38777</v>
      </c>
      <c r="B211" s="53" t="s">
        <v>52</v>
      </c>
      <c r="C211" s="53">
        <v>2006</v>
      </c>
      <c r="D211" s="53" t="s">
        <v>102</v>
      </c>
      <c r="E211">
        <v>7949.9</v>
      </c>
      <c r="F211" s="55">
        <f t="shared" si="10"/>
        <v>281.79999999999927</v>
      </c>
      <c r="G211">
        <f t="shared" si="8"/>
        <v>7847.1166666666659</v>
      </c>
      <c r="H211" s="2">
        <f t="shared" si="9"/>
        <v>3.5711064622640398E-2</v>
      </c>
    </row>
    <row r="212" spans="1:8">
      <c r="A212" s="52">
        <f t="shared" si="11"/>
        <v>38808</v>
      </c>
      <c r="B212" s="53" t="s">
        <v>52</v>
      </c>
      <c r="C212" s="53">
        <v>2006</v>
      </c>
      <c r="D212" s="53" t="s">
        <v>103</v>
      </c>
      <c r="E212">
        <v>7960.1</v>
      </c>
      <c r="F212" s="55">
        <f t="shared" si="10"/>
        <v>246.70000000000073</v>
      </c>
      <c r="G212">
        <f t="shared" si="8"/>
        <v>7867.6750000000002</v>
      </c>
      <c r="H212" s="2">
        <f t="shared" si="9"/>
        <v>3.5008172666350035E-2</v>
      </c>
    </row>
    <row r="213" spans="1:8">
      <c r="A213" s="52">
        <f t="shared" si="11"/>
        <v>38838</v>
      </c>
      <c r="B213" s="53" t="s">
        <v>52</v>
      </c>
      <c r="C213" s="53">
        <v>2006</v>
      </c>
      <c r="D213" s="53" t="s">
        <v>104</v>
      </c>
      <c r="E213">
        <v>7976</v>
      </c>
      <c r="F213" s="55">
        <f t="shared" si="10"/>
        <v>223.89999999999964</v>
      </c>
      <c r="G213">
        <f t="shared" si="8"/>
        <v>7886.333333333333</v>
      </c>
      <c r="H213" s="2">
        <f t="shared" si="9"/>
        <v>3.4333136236306405E-2</v>
      </c>
    </row>
    <row r="214" spans="1:8">
      <c r="A214" s="52">
        <f t="shared" si="11"/>
        <v>38869</v>
      </c>
      <c r="B214" s="53" t="s">
        <v>52</v>
      </c>
      <c r="C214" s="53">
        <v>2006</v>
      </c>
      <c r="D214" s="53" t="s">
        <v>105</v>
      </c>
      <c r="E214">
        <v>7989.6</v>
      </c>
      <c r="F214" s="55">
        <f t="shared" si="10"/>
        <v>237.5</v>
      </c>
      <c r="G214">
        <f t="shared" si="8"/>
        <v>7906.125</v>
      </c>
      <c r="H214" s="2">
        <f t="shared" si="9"/>
        <v>3.3513041261651999E-2</v>
      </c>
    </row>
    <row r="215" spans="1:8">
      <c r="A215" s="52">
        <f t="shared" si="11"/>
        <v>38899</v>
      </c>
      <c r="B215" s="53" t="s">
        <v>52</v>
      </c>
      <c r="C215" s="53">
        <v>2006</v>
      </c>
      <c r="D215" s="53" t="s">
        <v>106</v>
      </c>
      <c r="E215">
        <v>7995.9</v>
      </c>
      <c r="F215" s="55">
        <f t="shared" si="10"/>
        <v>185.39999999999964</v>
      </c>
      <c r="G215">
        <f t="shared" si="8"/>
        <v>7921.5749999999998</v>
      </c>
      <c r="H215" s="2">
        <f t="shared" si="9"/>
        <v>3.198249105174189E-2</v>
      </c>
    </row>
    <row r="216" spans="1:8">
      <c r="A216" s="52">
        <f t="shared" si="11"/>
        <v>38930</v>
      </c>
      <c r="B216" s="53" t="s">
        <v>52</v>
      </c>
      <c r="C216" s="53">
        <v>2006</v>
      </c>
      <c r="D216" s="53" t="s">
        <v>107</v>
      </c>
      <c r="E216">
        <v>8017.3</v>
      </c>
      <c r="F216" s="55">
        <f t="shared" si="10"/>
        <v>176.5</v>
      </c>
      <c r="G216">
        <f t="shared" si="8"/>
        <v>7936.2833333333338</v>
      </c>
      <c r="H216" s="2">
        <f t="shared" si="9"/>
        <v>2.9545179368319019E-2</v>
      </c>
    </row>
    <row r="217" spans="1:8">
      <c r="A217" s="52">
        <f t="shared" si="11"/>
        <v>38961</v>
      </c>
      <c r="B217" s="53" t="s">
        <v>52</v>
      </c>
      <c r="C217" s="53">
        <v>2006</v>
      </c>
      <c r="D217" s="53" t="s">
        <v>108</v>
      </c>
      <c r="E217">
        <v>8020.7</v>
      </c>
      <c r="F217" s="55">
        <f t="shared" si="10"/>
        <v>149.89999999999964</v>
      </c>
      <c r="G217">
        <f t="shared" si="8"/>
        <v>7948.7750000000005</v>
      </c>
      <c r="H217" s="2">
        <f t="shared" si="9"/>
        <v>2.768940034671008E-2</v>
      </c>
    </row>
    <row r="218" spans="1:8">
      <c r="A218" s="52">
        <f t="shared" si="11"/>
        <v>38991</v>
      </c>
      <c r="B218" s="53" t="s">
        <v>52</v>
      </c>
      <c r="C218" s="53">
        <v>2006</v>
      </c>
      <c r="D218" s="53" t="s">
        <v>109</v>
      </c>
      <c r="E218">
        <v>8016</v>
      </c>
      <c r="F218" s="55">
        <f t="shared" si="10"/>
        <v>145.19999999999982</v>
      </c>
      <c r="G218">
        <f t="shared" si="8"/>
        <v>7960.875</v>
      </c>
      <c r="H218" s="2">
        <f t="shared" si="9"/>
        <v>2.6148220872602712E-2</v>
      </c>
    </row>
    <row r="219" spans="1:8">
      <c r="A219" s="52">
        <f t="shared" si="11"/>
        <v>39022</v>
      </c>
      <c r="B219" s="53" t="s">
        <v>52</v>
      </c>
      <c r="C219" s="53">
        <v>2006</v>
      </c>
      <c r="D219" s="53" t="s">
        <v>110</v>
      </c>
      <c r="E219">
        <v>8022.5</v>
      </c>
      <c r="F219" s="55">
        <f t="shared" si="10"/>
        <v>142.39999999999964</v>
      </c>
      <c r="G219">
        <f t="shared" si="8"/>
        <v>7972.7416666666659</v>
      </c>
      <c r="H219" s="2">
        <f t="shared" si="9"/>
        <v>2.4648875351552801E-2</v>
      </c>
    </row>
    <row r="220" spans="1:8">
      <c r="A220" s="52">
        <f t="shared" si="11"/>
        <v>39052</v>
      </c>
      <c r="B220" s="53" t="s">
        <v>52</v>
      </c>
      <c r="C220" s="53">
        <v>2006</v>
      </c>
      <c r="D220" s="53" t="s">
        <v>111</v>
      </c>
      <c r="E220">
        <v>8033.7</v>
      </c>
      <c r="F220" s="55">
        <f t="shared" si="10"/>
        <v>135.19999999999982</v>
      </c>
      <c r="G220">
        <f t="shared" si="8"/>
        <v>7984.0083333333341</v>
      </c>
      <c r="H220" s="2">
        <f t="shared" si="9"/>
        <v>2.323989315630004E-2</v>
      </c>
    </row>
    <row r="221" spans="1:8">
      <c r="A221" s="52">
        <f t="shared" si="11"/>
        <v>39083</v>
      </c>
      <c r="B221" s="53" t="s">
        <v>52</v>
      </c>
      <c r="C221" s="53">
        <v>2007</v>
      </c>
      <c r="D221" s="53" t="s">
        <v>100</v>
      </c>
      <c r="E221">
        <v>8037.7</v>
      </c>
      <c r="F221" s="55">
        <f t="shared" si="10"/>
        <v>131.5</v>
      </c>
      <c r="G221">
        <f t="shared" si="8"/>
        <v>7994.9666666666662</v>
      </c>
      <c r="H221" s="2">
        <f t="shared" si="9"/>
        <v>2.1899458478370937E-2</v>
      </c>
    </row>
    <row r="222" spans="1:8">
      <c r="A222" s="52">
        <f t="shared" si="11"/>
        <v>39114</v>
      </c>
      <c r="B222" s="53" t="s">
        <v>52</v>
      </c>
      <c r="C222" s="53">
        <v>2007</v>
      </c>
      <c r="D222" s="53" t="s">
        <v>101</v>
      </c>
      <c r="E222">
        <v>8040.4</v>
      </c>
      <c r="F222" s="55">
        <f t="shared" si="10"/>
        <v>120.19999999999982</v>
      </c>
      <c r="G222">
        <f t="shared" si="8"/>
        <v>8004.9833333333327</v>
      </c>
      <c r="H222" s="2">
        <f t="shared" si="9"/>
        <v>2.0117792734911211E-2</v>
      </c>
    </row>
    <row r="223" spans="1:8">
      <c r="A223" s="52">
        <f t="shared" si="11"/>
        <v>39142</v>
      </c>
      <c r="B223" s="53" t="s">
        <v>52</v>
      </c>
      <c r="C223" s="53">
        <v>2007</v>
      </c>
      <c r="D223" s="53" t="s">
        <v>102</v>
      </c>
      <c r="E223">
        <v>8053.3</v>
      </c>
      <c r="F223" s="55">
        <f t="shared" si="10"/>
        <v>103.40000000000055</v>
      </c>
      <c r="G223">
        <f t="shared" si="8"/>
        <v>8013.5999999999995</v>
      </c>
      <c r="H223" s="2">
        <f t="shared" si="9"/>
        <v>1.8547410766204697E-2</v>
      </c>
    </row>
    <row r="224" spans="1:8">
      <c r="A224" s="52">
        <f t="shared" si="11"/>
        <v>39173</v>
      </c>
      <c r="B224" s="53" t="s">
        <v>52</v>
      </c>
      <c r="C224" s="53">
        <v>2007</v>
      </c>
      <c r="D224" s="53" t="s">
        <v>103</v>
      </c>
      <c r="E224">
        <v>8038.1</v>
      </c>
      <c r="F224" s="55">
        <f t="shared" si="10"/>
        <v>78</v>
      </c>
      <c r="G224">
        <f t="shared" si="8"/>
        <v>8020.0999999999995</v>
      </c>
      <c r="H224" s="2">
        <f t="shared" si="9"/>
        <v>1.6961832706369639E-2</v>
      </c>
    </row>
    <row r="225" spans="1:11">
      <c r="A225" s="52">
        <f t="shared" si="11"/>
        <v>39203</v>
      </c>
      <c r="B225" s="53" t="s">
        <v>52</v>
      </c>
      <c r="C225" s="53">
        <v>2007</v>
      </c>
      <c r="D225" s="53" t="s">
        <v>104</v>
      </c>
      <c r="E225">
        <v>8029.1</v>
      </c>
      <c r="F225" s="55">
        <f t="shared" si="10"/>
        <v>53.100000000000364</v>
      </c>
      <c r="G225">
        <f t="shared" ref="G225:G288" si="12">AVERAGE(E214:E225)</f>
        <v>8024.5250000000005</v>
      </c>
      <c r="H225" s="2">
        <f t="shared" si="9"/>
        <v>1.4975730841594315E-2</v>
      </c>
      <c r="I225">
        <f>MAX(G225:G324)</f>
        <v>8027.6333333333341</v>
      </c>
    </row>
    <row r="226" spans="1:11">
      <c r="A226" s="52">
        <f t="shared" si="11"/>
        <v>39234</v>
      </c>
      <c r="B226" s="53" t="s">
        <v>52</v>
      </c>
      <c r="C226" s="53">
        <v>2007</v>
      </c>
      <c r="D226" s="53" t="s">
        <v>105</v>
      </c>
      <c r="E226">
        <v>8026.9</v>
      </c>
      <c r="F226" s="55">
        <f t="shared" si="10"/>
        <v>37.299999999999272</v>
      </c>
      <c r="G226">
        <f t="shared" si="12"/>
        <v>8027.6333333333341</v>
      </c>
      <c r="H226" s="2">
        <f t="shared" si="9"/>
        <v>1.3388541209713223E-2</v>
      </c>
      <c r="I226">
        <f>I225</f>
        <v>8027.6333333333341</v>
      </c>
      <c r="J226">
        <f t="shared" ref="J226" si="13">G226-I226</f>
        <v>0</v>
      </c>
    </row>
    <row r="227" spans="1:11">
      <c r="A227" s="52">
        <f t="shared" si="11"/>
        <v>39264</v>
      </c>
      <c r="B227" s="53" t="s">
        <v>52</v>
      </c>
      <c r="C227" s="53">
        <v>2007</v>
      </c>
      <c r="D227" s="53" t="s">
        <v>106</v>
      </c>
      <c r="E227">
        <v>7995.1</v>
      </c>
      <c r="F227" s="55">
        <f t="shared" si="10"/>
        <v>-0.7999999999992724</v>
      </c>
      <c r="G227">
        <f t="shared" si="12"/>
        <v>8027.5666666666666</v>
      </c>
      <c r="H227" s="2">
        <f t="shared" si="9"/>
        <v>1.1502025507321711E-2</v>
      </c>
      <c r="I227">
        <f t="shared" ref="I227:I290" si="14">I226</f>
        <v>8027.6333333333341</v>
      </c>
      <c r="J227">
        <f t="shared" ref="J227:J290" si="15">E227-I227</f>
        <v>-32.533333333333758</v>
      </c>
      <c r="K227" s="2">
        <f>J227/I227</f>
        <v>-4.0526680756886114E-3</v>
      </c>
    </row>
    <row r="228" spans="1:11">
      <c r="A228" s="52">
        <f t="shared" si="11"/>
        <v>39295</v>
      </c>
      <c r="B228" s="53" t="s">
        <v>52</v>
      </c>
      <c r="C228" s="53">
        <v>2007</v>
      </c>
      <c r="D228" s="53" t="s">
        <v>107</v>
      </c>
      <c r="E228">
        <v>7983.3</v>
      </c>
      <c r="F228" s="55">
        <f t="shared" si="10"/>
        <v>-34</v>
      </c>
      <c r="G228">
        <f t="shared" si="12"/>
        <v>8024.7333333333336</v>
      </c>
      <c r="H228" s="2">
        <f t="shared" si="9"/>
        <v>9.5559797998223672E-3</v>
      </c>
      <c r="I228">
        <f t="shared" si="14"/>
        <v>8027.6333333333341</v>
      </c>
      <c r="J228">
        <f t="shared" si="15"/>
        <v>-44.33333333333394</v>
      </c>
      <c r="K228" s="2">
        <f t="shared" ref="K228:K291" si="16">J228/I228</f>
        <v>-5.5225907178953447E-3</v>
      </c>
    </row>
    <row r="229" spans="1:11">
      <c r="A229" s="52">
        <f t="shared" si="11"/>
        <v>39326</v>
      </c>
      <c r="B229" s="53" t="s">
        <v>52</v>
      </c>
      <c r="C229" s="53">
        <v>2007</v>
      </c>
      <c r="D229" s="53" t="s">
        <v>108</v>
      </c>
      <c r="E229">
        <v>7965.2</v>
      </c>
      <c r="F229" s="55">
        <f t="shared" si="10"/>
        <v>-55.5</v>
      </c>
      <c r="G229">
        <f t="shared" si="12"/>
        <v>8020.1083333333336</v>
      </c>
      <c r="H229" s="2">
        <f t="shared" si="9"/>
        <v>7.4405556340646495E-3</v>
      </c>
      <c r="I229">
        <f t="shared" si="14"/>
        <v>8027.6333333333341</v>
      </c>
      <c r="J229">
        <f t="shared" si="15"/>
        <v>-62.433333333334303</v>
      </c>
      <c r="K229" s="2">
        <f t="shared" si="16"/>
        <v>-7.7773025673819555E-3</v>
      </c>
    </row>
    <row r="230" spans="1:11">
      <c r="A230" s="52">
        <f t="shared" si="11"/>
        <v>39356</v>
      </c>
      <c r="B230" s="53" t="s">
        <v>52</v>
      </c>
      <c r="C230" s="53">
        <v>2007</v>
      </c>
      <c r="D230" s="53" t="s">
        <v>109</v>
      </c>
      <c r="E230">
        <v>7947.1</v>
      </c>
      <c r="F230" s="55">
        <f t="shared" si="10"/>
        <v>-68.899999999999636</v>
      </c>
      <c r="G230">
        <f t="shared" si="12"/>
        <v>8014.3666666666677</v>
      </c>
      <c r="H230" s="2">
        <f t="shared" si="9"/>
        <v>5.2209141773691403E-3</v>
      </c>
      <c r="I230">
        <f t="shared" si="14"/>
        <v>8027.6333333333341</v>
      </c>
      <c r="J230">
        <f t="shared" si="15"/>
        <v>-80.533333333333758</v>
      </c>
      <c r="K230" s="2">
        <f t="shared" si="16"/>
        <v>-1.0032014416868452E-2</v>
      </c>
    </row>
    <row r="231" spans="1:11">
      <c r="A231" s="52">
        <f t="shared" si="11"/>
        <v>39387</v>
      </c>
      <c r="B231" s="53" t="s">
        <v>52</v>
      </c>
      <c r="C231" s="53">
        <v>2007</v>
      </c>
      <c r="D231" s="53" t="s">
        <v>110</v>
      </c>
      <c r="E231">
        <v>7942</v>
      </c>
      <c r="F231" s="55">
        <f t="shared" si="10"/>
        <v>-80.5</v>
      </c>
      <c r="G231">
        <f t="shared" si="12"/>
        <v>8007.6583333333328</v>
      </c>
      <c r="H231" s="2">
        <f t="shared" si="9"/>
        <v>2.9621712569185554E-3</v>
      </c>
      <c r="I231">
        <f t="shared" si="14"/>
        <v>8027.6333333333341</v>
      </c>
      <c r="J231">
        <f t="shared" si="15"/>
        <v>-85.633333333334122</v>
      </c>
      <c r="K231" s="2">
        <f t="shared" si="16"/>
        <v>-1.0667319965618855E-2</v>
      </c>
    </row>
    <row r="232" spans="1:11">
      <c r="A232" s="52">
        <f t="shared" si="11"/>
        <v>39417</v>
      </c>
      <c r="B232" s="53" t="s">
        <v>52</v>
      </c>
      <c r="C232" s="53">
        <v>2007</v>
      </c>
      <c r="D232" s="53" t="s">
        <v>111</v>
      </c>
      <c r="E232">
        <v>7931.8</v>
      </c>
      <c r="F232" s="55">
        <f t="shared" si="10"/>
        <v>-101.89999999999964</v>
      </c>
      <c r="G232">
        <f t="shared" si="12"/>
        <v>7999.1666666666679</v>
      </c>
      <c r="H232" s="2">
        <f t="shared" ref="H232:H295" si="17">G232/G221-1</f>
        <v>5.2533052045267148E-4</v>
      </c>
      <c r="I232">
        <f t="shared" si="14"/>
        <v>8027.6333333333341</v>
      </c>
      <c r="J232">
        <f t="shared" si="15"/>
        <v>-95.83333333333394</v>
      </c>
      <c r="K232" s="2">
        <f t="shared" si="16"/>
        <v>-1.1937931063119548E-2</v>
      </c>
    </row>
    <row r="233" spans="1:11">
      <c r="A233" s="52">
        <f t="shared" si="11"/>
        <v>39448</v>
      </c>
      <c r="B233" s="53" t="s">
        <v>52</v>
      </c>
      <c r="C233" s="53">
        <v>2008</v>
      </c>
      <c r="D233" s="53" t="s">
        <v>100</v>
      </c>
      <c r="E233">
        <v>7896.2</v>
      </c>
      <c r="F233" s="55">
        <f t="shared" si="10"/>
        <v>-141.5</v>
      </c>
      <c r="G233">
        <f t="shared" si="12"/>
        <v>7987.375</v>
      </c>
      <c r="H233" s="2">
        <f t="shared" si="17"/>
        <v>-2.1996714546562712E-3</v>
      </c>
      <c r="I233">
        <f t="shared" si="14"/>
        <v>8027.6333333333341</v>
      </c>
      <c r="J233">
        <f t="shared" si="15"/>
        <v>-131.4333333333343</v>
      </c>
      <c r="K233" s="2">
        <f t="shared" si="16"/>
        <v>-1.6372612932827976E-2</v>
      </c>
    </row>
    <row r="234" spans="1:11">
      <c r="A234" s="52">
        <f t="shared" si="11"/>
        <v>39479</v>
      </c>
      <c r="B234" s="53" t="s">
        <v>52</v>
      </c>
      <c r="C234" s="53">
        <v>2008</v>
      </c>
      <c r="D234" s="53" t="s">
        <v>101</v>
      </c>
      <c r="E234">
        <v>7889.2</v>
      </c>
      <c r="F234" s="55">
        <f t="shared" si="10"/>
        <v>-151.19999999999982</v>
      </c>
      <c r="G234">
        <f t="shared" si="12"/>
        <v>7974.7750000000005</v>
      </c>
      <c r="H234" s="2">
        <f t="shared" si="17"/>
        <v>-4.8448886892281662E-3</v>
      </c>
      <c r="I234">
        <f t="shared" si="14"/>
        <v>8027.6333333333341</v>
      </c>
      <c r="J234">
        <f t="shared" si="15"/>
        <v>-138.4333333333343</v>
      </c>
      <c r="K234" s="2">
        <f t="shared" si="16"/>
        <v>-1.7244600940916704E-2</v>
      </c>
    </row>
    <row r="235" spans="1:11">
      <c r="A235" s="52">
        <f t="shared" si="11"/>
        <v>39508</v>
      </c>
      <c r="B235" s="53" t="s">
        <v>52</v>
      </c>
      <c r="C235" s="53">
        <v>2008</v>
      </c>
      <c r="D235" s="53" t="s">
        <v>102</v>
      </c>
      <c r="E235">
        <v>7861.3</v>
      </c>
      <c r="F235" s="55">
        <f t="shared" si="10"/>
        <v>-192</v>
      </c>
      <c r="G235">
        <f t="shared" si="12"/>
        <v>7958.7749999999987</v>
      </c>
      <c r="H235" s="2">
        <f t="shared" si="17"/>
        <v>-7.646413386366846E-3</v>
      </c>
      <c r="I235">
        <f t="shared" si="14"/>
        <v>8027.6333333333341</v>
      </c>
      <c r="J235">
        <f t="shared" si="15"/>
        <v>-166.33333333333394</v>
      </c>
      <c r="K235" s="2">
        <f t="shared" si="16"/>
        <v>-2.0720096001727441E-2</v>
      </c>
    </row>
    <row r="236" spans="1:11">
      <c r="A236" s="52">
        <f t="shared" si="11"/>
        <v>39539</v>
      </c>
      <c r="B236" s="53" t="s">
        <v>52</v>
      </c>
      <c r="C236" s="53">
        <v>2008</v>
      </c>
      <c r="D236" s="53" t="s">
        <v>103</v>
      </c>
      <c r="E236">
        <v>7808.2</v>
      </c>
      <c r="F236" s="55">
        <f t="shared" si="10"/>
        <v>-229.90000000000055</v>
      </c>
      <c r="G236">
        <f t="shared" si="12"/>
        <v>7939.6166666666659</v>
      </c>
      <c r="H236" s="2">
        <f t="shared" si="17"/>
        <v>-1.058110396980938E-2</v>
      </c>
      <c r="I236">
        <f t="shared" si="14"/>
        <v>8027.6333333333341</v>
      </c>
      <c r="J236">
        <f t="shared" si="15"/>
        <v>-219.4333333333343</v>
      </c>
      <c r="K236" s="2">
        <f t="shared" si="16"/>
        <v>-2.7334747891657685E-2</v>
      </c>
    </row>
    <row r="237" spans="1:11">
      <c r="A237" s="52">
        <f t="shared" si="11"/>
        <v>39569</v>
      </c>
      <c r="B237" s="53" t="s">
        <v>52</v>
      </c>
      <c r="C237" s="53">
        <v>2008</v>
      </c>
      <c r="D237" s="53" t="s">
        <v>104</v>
      </c>
      <c r="E237">
        <v>7773.3</v>
      </c>
      <c r="F237" s="55">
        <f t="shared" si="10"/>
        <v>-255.80000000000018</v>
      </c>
      <c r="G237">
        <f t="shared" si="12"/>
        <v>7918.3</v>
      </c>
      <c r="H237" s="2">
        <f t="shared" si="17"/>
        <v>-1.3619622221576422E-2</v>
      </c>
      <c r="I237">
        <f t="shared" si="14"/>
        <v>8027.6333333333341</v>
      </c>
      <c r="J237">
        <f t="shared" si="15"/>
        <v>-254.33333333333394</v>
      </c>
      <c r="K237" s="2">
        <f t="shared" si="16"/>
        <v>-3.1682230960557146E-2</v>
      </c>
    </row>
    <row r="238" spans="1:11">
      <c r="A238" s="52">
        <f t="shared" si="11"/>
        <v>39600</v>
      </c>
      <c r="B238" s="53" t="s">
        <v>52</v>
      </c>
      <c r="C238" s="53">
        <v>2008</v>
      </c>
      <c r="D238" s="53" t="s">
        <v>105</v>
      </c>
      <c r="E238">
        <v>7742.7</v>
      </c>
      <c r="F238" s="55">
        <f t="shared" si="10"/>
        <v>-284.19999999999982</v>
      </c>
      <c r="G238">
        <f t="shared" si="12"/>
        <v>7894.6166666666659</v>
      </c>
      <c r="H238" s="2">
        <f t="shared" si="17"/>
        <v>-1.6561681206841539E-2</v>
      </c>
      <c r="I238">
        <f t="shared" si="14"/>
        <v>8027.6333333333341</v>
      </c>
      <c r="J238">
        <f t="shared" si="15"/>
        <v>-284.9333333333343</v>
      </c>
      <c r="K238" s="2">
        <f t="shared" si="16"/>
        <v>-3.5494064253059343E-2</v>
      </c>
    </row>
    <row r="239" spans="1:11">
      <c r="A239" s="52">
        <f t="shared" si="11"/>
        <v>39630</v>
      </c>
      <c r="B239" s="53" t="s">
        <v>52</v>
      </c>
      <c r="C239" s="53">
        <v>2008</v>
      </c>
      <c r="D239" s="53" t="s">
        <v>106</v>
      </c>
      <c r="E239">
        <v>7703.4</v>
      </c>
      <c r="F239" s="55">
        <f t="shared" si="10"/>
        <v>-291.70000000000073</v>
      </c>
      <c r="G239">
        <f t="shared" si="12"/>
        <v>7870.3083333333334</v>
      </c>
      <c r="H239" s="2">
        <f t="shared" si="17"/>
        <v>-1.9243630110242549E-2</v>
      </c>
      <c r="I239">
        <f t="shared" si="14"/>
        <v>8027.6333333333341</v>
      </c>
      <c r="J239">
        <f t="shared" si="15"/>
        <v>-324.23333333333449</v>
      </c>
      <c r="K239" s="2">
        <f t="shared" si="16"/>
        <v>-4.038965406990036E-2</v>
      </c>
    </row>
    <row r="240" spans="1:11">
      <c r="A240" s="52">
        <f t="shared" si="11"/>
        <v>39661</v>
      </c>
      <c r="B240" s="53" t="s">
        <v>52</v>
      </c>
      <c r="C240" s="53">
        <v>2008</v>
      </c>
      <c r="D240" s="53" t="s">
        <v>107</v>
      </c>
      <c r="E240">
        <v>7668.4</v>
      </c>
      <c r="F240" s="55">
        <f t="shared" si="10"/>
        <v>-314.90000000000055</v>
      </c>
      <c r="G240">
        <f t="shared" si="12"/>
        <v>7844.0666666666648</v>
      </c>
      <c r="H240" s="2">
        <f t="shared" si="17"/>
        <v>-2.1950036003254625E-2</v>
      </c>
      <c r="I240">
        <f t="shared" si="14"/>
        <v>8027.6333333333341</v>
      </c>
      <c r="J240">
        <f t="shared" si="15"/>
        <v>-359.23333333333449</v>
      </c>
      <c r="K240" s="2">
        <f t="shared" si="16"/>
        <v>-4.4749594110343995E-2</v>
      </c>
    </row>
    <row r="241" spans="1:11">
      <c r="A241" s="52">
        <f t="shared" si="11"/>
        <v>39692</v>
      </c>
      <c r="B241" s="53" t="s">
        <v>52</v>
      </c>
      <c r="C241" s="53">
        <v>2008</v>
      </c>
      <c r="D241" s="53" t="s">
        <v>108</v>
      </c>
      <c r="E241">
        <v>7636.1</v>
      </c>
      <c r="F241" s="55">
        <f t="shared" si="10"/>
        <v>-329.09999999999945</v>
      </c>
      <c r="G241">
        <f t="shared" si="12"/>
        <v>7816.6416666666664</v>
      </c>
      <c r="H241" s="2">
        <f t="shared" si="17"/>
        <v>-2.4671319422204463E-2</v>
      </c>
      <c r="I241">
        <f t="shared" si="14"/>
        <v>8027.6333333333341</v>
      </c>
      <c r="J241">
        <f t="shared" si="15"/>
        <v>-391.53333333333376</v>
      </c>
      <c r="K241" s="2">
        <f t="shared" si="16"/>
        <v>-4.8773195919096173E-2</v>
      </c>
    </row>
    <row r="242" spans="1:11">
      <c r="A242" s="52">
        <f t="shared" si="11"/>
        <v>39722</v>
      </c>
      <c r="B242" s="53" t="s">
        <v>52</v>
      </c>
      <c r="C242" s="53">
        <v>2008</v>
      </c>
      <c r="D242" s="53" t="s">
        <v>109</v>
      </c>
      <c r="E242">
        <v>7581.1</v>
      </c>
      <c r="F242" s="55">
        <f t="shared" si="10"/>
        <v>-366</v>
      </c>
      <c r="G242">
        <f t="shared" si="12"/>
        <v>7786.1416666666664</v>
      </c>
      <c r="H242" s="2">
        <f t="shared" si="17"/>
        <v>-2.7663101676624113E-2</v>
      </c>
      <c r="I242">
        <f t="shared" si="14"/>
        <v>8027.6333333333341</v>
      </c>
      <c r="J242">
        <f t="shared" si="15"/>
        <v>-446.53333333333376</v>
      </c>
      <c r="K242" s="2">
        <f t="shared" si="16"/>
        <v>-5.5624530268364739E-2</v>
      </c>
    </row>
    <row r="243" spans="1:11">
      <c r="A243" s="52">
        <f t="shared" si="11"/>
        <v>39753</v>
      </c>
      <c r="B243" s="53" t="s">
        <v>52</v>
      </c>
      <c r="C243" s="53">
        <v>2008</v>
      </c>
      <c r="D243" s="53" t="s">
        <v>110</v>
      </c>
      <c r="E243">
        <v>7533.8</v>
      </c>
      <c r="F243" s="55">
        <f t="shared" si="10"/>
        <v>-408.19999999999982</v>
      </c>
      <c r="G243">
        <f t="shared" si="12"/>
        <v>7752.1250000000009</v>
      </c>
      <c r="H243" s="2">
        <f t="shared" si="17"/>
        <v>-3.0883425356807992E-2</v>
      </c>
      <c r="I243">
        <f t="shared" si="14"/>
        <v>8027.6333333333341</v>
      </c>
      <c r="J243">
        <f t="shared" si="15"/>
        <v>-493.83333333333394</v>
      </c>
      <c r="K243" s="2">
        <f t="shared" si="16"/>
        <v>-6.151667780873573E-2</v>
      </c>
    </row>
    <row r="244" spans="1:11">
      <c r="A244" s="52">
        <f t="shared" si="11"/>
        <v>39783</v>
      </c>
      <c r="B244" s="53" t="s">
        <v>52</v>
      </c>
      <c r="C244" s="53">
        <v>2008</v>
      </c>
      <c r="D244" s="53" t="s">
        <v>111</v>
      </c>
      <c r="E244">
        <v>7486.7</v>
      </c>
      <c r="F244" s="55">
        <f t="shared" si="10"/>
        <v>-445.10000000000036</v>
      </c>
      <c r="G244">
        <f t="shared" si="12"/>
        <v>7715.0333333333338</v>
      </c>
      <c r="H244" s="2">
        <f t="shared" si="17"/>
        <v>-3.4096516899064566E-2</v>
      </c>
      <c r="I244">
        <f t="shared" si="14"/>
        <v>8027.6333333333341</v>
      </c>
      <c r="J244">
        <f t="shared" si="15"/>
        <v>-540.9333333333343</v>
      </c>
      <c r="K244" s="2">
        <f t="shared" si="16"/>
        <v>-6.7383911406018487E-2</v>
      </c>
    </row>
    <row r="245" spans="1:11">
      <c r="A245" s="52">
        <f t="shared" si="11"/>
        <v>39814</v>
      </c>
      <c r="B245" s="53" t="s">
        <v>52</v>
      </c>
      <c r="C245" s="53">
        <v>2009</v>
      </c>
      <c r="D245" s="53" t="s">
        <v>100</v>
      </c>
      <c r="E245">
        <v>7417.2</v>
      </c>
      <c r="F245" s="55">
        <f t="shared" si="10"/>
        <v>-479</v>
      </c>
      <c r="G245">
        <f t="shared" si="12"/>
        <v>7675.1166666666659</v>
      </c>
      <c r="H245" s="2">
        <f t="shared" si="17"/>
        <v>-3.7575772775198635E-2</v>
      </c>
      <c r="I245">
        <f t="shared" si="14"/>
        <v>8027.6333333333341</v>
      </c>
      <c r="J245">
        <f t="shared" si="15"/>
        <v>-610.4333333333343</v>
      </c>
      <c r="K245" s="2">
        <f t="shared" si="16"/>
        <v>-7.6041506629185143E-2</v>
      </c>
    </row>
    <row r="246" spans="1:11">
      <c r="A246" s="52">
        <f t="shared" si="11"/>
        <v>39845</v>
      </c>
      <c r="B246" s="53" t="s">
        <v>52</v>
      </c>
      <c r="C246" s="53">
        <v>2009</v>
      </c>
      <c r="D246" s="53" t="s">
        <v>101</v>
      </c>
      <c r="E246">
        <v>7360.4</v>
      </c>
      <c r="F246" s="55">
        <f t="shared" si="10"/>
        <v>-528.80000000000018</v>
      </c>
      <c r="G246">
        <f t="shared" si="12"/>
        <v>7631.0499999999993</v>
      </c>
      <c r="H246" s="2">
        <f t="shared" si="17"/>
        <v>-4.1177819450857633E-2</v>
      </c>
      <c r="I246">
        <f t="shared" si="14"/>
        <v>8027.6333333333341</v>
      </c>
      <c r="J246">
        <f t="shared" si="15"/>
        <v>-667.23333333333449</v>
      </c>
      <c r="K246" s="2">
        <f t="shared" si="16"/>
        <v>-8.3117066466247974E-2</v>
      </c>
    </row>
    <row r="247" spans="1:11">
      <c r="A247" s="52">
        <f t="shared" si="11"/>
        <v>39873</v>
      </c>
      <c r="B247" s="53" t="s">
        <v>52</v>
      </c>
      <c r="C247" s="53">
        <v>2009</v>
      </c>
      <c r="D247" s="53" t="s">
        <v>102</v>
      </c>
      <c r="E247">
        <v>7311.8</v>
      </c>
      <c r="F247" s="55">
        <f t="shared" si="10"/>
        <v>-549.5</v>
      </c>
      <c r="G247">
        <f t="shared" si="12"/>
        <v>7585.2583333333323</v>
      </c>
      <c r="H247" s="2">
        <f t="shared" si="17"/>
        <v>-4.4631667775732242E-2</v>
      </c>
      <c r="I247">
        <f t="shared" si="14"/>
        <v>8027.6333333333341</v>
      </c>
      <c r="J247">
        <f t="shared" si="15"/>
        <v>-715.83333333333394</v>
      </c>
      <c r="K247" s="2">
        <f t="shared" si="16"/>
        <v>-8.9171154636692493E-2</v>
      </c>
    </row>
    <row r="248" spans="1:11">
      <c r="A248" s="52">
        <f t="shared" si="11"/>
        <v>39904</v>
      </c>
      <c r="B248" s="53" t="s">
        <v>52</v>
      </c>
      <c r="C248" s="53">
        <v>2009</v>
      </c>
      <c r="D248" s="53" t="s">
        <v>103</v>
      </c>
      <c r="E248">
        <v>7265.3</v>
      </c>
      <c r="F248" s="55">
        <f t="shared" si="10"/>
        <v>-542.89999999999964</v>
      </c>
      <c r="G248">
        <f t="shared" si="12"/>
        <v>7540.0166666666664</v>
      </c>
      <c r="H248" s="2">
        <f t="shared" si="17"/>
        <v>-4.7773301508320487E-2</v>
      </c>
      <c r="I248">
        <f t="shared" si="14"/>
        <v>8027.6333333333341</v>
      </c>
      <c r="J248">
        <f t="shared" si="15"/>
        <v>-762.33333333333394</v>
      </c>
      <c r="K248" s="2">
        <f t="shared" si="16"/>
        <v>-9.4963646404710458E-2</v>
      </c>
    </row>
    <row r="249" spans="1:11">
      <c r="A249" s="52">
        <f t="shared" si="11"/>
        <v>39934</v>
      </c>
      <c r="B249" s="53" t="s">
        <v>52</v>
      </c>
      <c r="C249" s="53">
        <v>2009</v>
      </c>
      <c r="D249" s="53" t="s">
        <v>104</v>
      </c>
      <c r="E249">
        <v>7244.9</v>
      </c>
      <c r="F249" s="55">
        <f t="shared" si="10"/>
        <v>-528.40000000000055</v>
      </c>
      <c r="G249">
        <f t="shared" si="12"/>
        <v>7495.9833333333327</v>
      </c>
      <c r="H249" s="2">
        <f t="shared" si="17"/>
        <v>-5.0494324191379336E-2</v>
      </c>
      <c r="I249">
        <f t="shared" si="14"/>
        <v>8027.6333333333341</v>
      </c>
      <c r="J249">
        <f t="shared" si="15"/>
        <v>-782.73333333333449</v>
      </c>
      <c r="K249" s="2">
        <f t="shared" si="16"/>
        <v>-9.7504868599711969E-2</v>
      </c>
    </row>
    <row r="250" spans="1:11">
      <c r="A250" s="52">
        <f t="shared" si="11"/>
        <v>39965</v>
      </c>
      <c r="B250" s="53" t="s">
        <v>52</v>
      </c>
      <c r="C250" s="53">
        <v>2009</v>
      </c>
      <c r="D250" s="53" t="s">
        <v>105</v>
      </c>
      <c r="E250">
        <v>7221.1</v>
      </c>
      <c r="F250" s="55">
        <f t="shared" ref="F250:F313" si="18">E250-E238</f>
        <v>-521.59999999999945</v>
      </c>
      <c r="G250">
        <f t="shared" si="12"/>
        <v>7452.5166666666664</v>
      </c>
      <c r="H250" s="2">
        <f t="shared" si="17"/>
        <v>-5.3084536078107925E-2</v>
      </c>
      <c r="I250">
        <f t="shared" si="14"/>
        <v>8027.6333333333341</v>
      </c>
      <c r="J250">
        <f t="shared" si="15"/>
        <v>-806.53333333333376</v>
      </c>
      <c r="K250" s="2">
        <f t="shared" si="16"/>
        <v>-0.10046962782721354</v>
      </c>
    </row>
    <row r="251" spans="1:11">
      <c r="A251" s="52">
        <f t="shared" si="11"/>
        <v>39995</v>
      </c>
      <c r="B251" s="53" t="s">
        <v>52</v>
      </c>
      <c r="C251" s="53">
        <v>2009</v>
      </c>
      <c r="D251" s="53" t="s">
        <v>106</v>
      </c>
      <c r="E251">
        <v>7193.8</v>
      </c>
      <c r="F251" s="55">
        <f t="shared" si="18"/>
        <v>-509.59999999999945</v>
      </c>
      <c r="G251">
        <f t="shared" si="12"/>
        <v>7410.05</v>
      </c>
      <c r="H251" s="2">
        <f t="shared" si="17"/>
        <v>-5.5330568327652929E-2</v>
      </c>
      <c r="I251">
        <f t="shared" si="14"/>
        <v>8027.6333333333341</v>
      </c>
      <c r="J251">
        <f t="shared" si="15"/>
        <v>-833.83333333333394</v>
      </c>
      <c r="K251" s="2">
        <f t="shared" si="16"/>
        <v>-0.10387038105875961</v>
      </c>
    </row>
    <row r="252" spans="1:11">
      <c r="A252" s="52">
        <f t="shared" si="11"/>
        <v>40026</v>
      </c>
      <c r="B252" s="53" t="s">
        <v>52</v>
      </c>
      <c r="C252" s="53">
        <v>2009</v>
      </c>
      <c r="D252" s="53" t="s">
        <v>107</v>
      </c>
      <c r="E252">
        <v>7173.8</v>
      </c>
      <c r="F252" s="55">
        <f t="shared" si="18"/>
        <v>-494.59999999999945</v>
      </c>
      <c r="G252">
        <f t="shared" si="12"/>
        <v>7368.8333333333348</v>
      </c>
      <c r="H252" s="2">
        <f t="shared" si="17"/>
        <v>-5.7289095807342427E-2</v>
      </c>
      <c r="I252">
        <f t="shared" si="14"/>
        <v>8027.6333333333341</v>
      </c>
      <c r="J252">
        <f t="shared" si="15"/>
        <v>-853.83333333333394</v>
      </c>
      <c r="K252" s="2">
        <f t="shared" si="16"/>
        <v>-0.10636177536758454</v>
      </c>
    </row>
    <row r="253" spans="1:11">
      <c r="A253" s="52">
        <f t="shared" si="11"/>
        <v>40057</v>
      </c>
      <c r="B253" s="53" t="s">
        <v>52</v>
      </c>
      <c r="C253" s="53">
        <v>2009</v>
      </c>
      <c r="D253" s="53" t="s">
        <v>108</v>
      </c>
      <c r="E253">
        <v>7155</v>
      </c>
      <c r="F253" s="55">
        <f t="shared" si="18"/>
        <v>-481.10000000000036</v>
      </c>
      <c r="G253">
        <f t="shared" si="12"/>
        <v>7328.7416666666686</v>
      </c>
      <c r="H253" s="2">
        <f t="shared" si="17"/>
        <v>-5.8745399143991683E-2</v>
      </c>
      <c r="I253">
        <f t="shared" si="14"/>
        <v>8027.6333333333341</v>
      </c>
      <c r="J253">
        <f t="shared" si="15"/>
        <v>-872.63333333333412</v>
      </c>
      <c r="K253" s="2">
        <f t="shared" si="16"/>
        <v>-0.10870368601788</v>
      </c>
    </row>
    <row r="254" spans="1:11">
      <c r="A254" s="52">
        <f t="shared" si="11"/>
        <v>40087</v>
      </c>
      <c r="B254" s="53" t="s">
        <v>52</v>
      </c>
      <c r="C254" s="53">
        <v>2009</v>
      </c>
      <c r="D254" s="53" t="s">
        <v>109</v>
      </c>
      <c r="E254">
        <v>7150.5</v>
      </c>
      <c r="F254" s="55">
        <f t="shared" si="18"/>
        <v>-430.60000000000036</v>
      </c>
      <c r="G254">
        <f t="shared" si="12"/>
        <v>7292.8583333333336</v>
      </c>
      <c r="H254" s="2">
        <f t="shared" si="17"/>
        <v>-5.9243970739205953E-2</v>
      </c>
      <c r="I254">
        <f t="shared" si="14"/>
        <v>8027.6333333333341</v>
      </c>
      <c r="J254">
        <f t="shared" si="15"/>
        <v>-877.13333333333412</v>
      </c>
      <c r="K254" s="2">
        <f t="shared" si="16"/>
        <v>-0.10926424973736561</v>
      </c>
    </row>
    <row r="255" spans="1:11">
      <c r="A255" s="52">
        <f t="shared" si="11"/>
        <v>40118</v>
      </c>
      <c r="B255" s="53" t="s">
        <v>52</v>
      </c>
      <c r="C255" s="53">
        <v>2009</v>
      </c>
      <c r="D255" s="53" t="s">
        <v>110</v>
      </c>
      <c r="E255">
        <v>7145.4</v>
      </c>
      <c r="F255" s="55">
        <f t="shared" si="18"/>
        <v>-388.40000000000055</v>
      </c>
      <c r="G255">
        <f t="shared" si="12"/>
        <v>7260.4916666666659</v>
      </c>
      <c r="H255" s="2">
        <f t="shared" si="17"/>
        <v>-5.8916358106035571E-2</v>
      </c>
      <c r="I255">
        <f t="shared" si="14"/>
        <v>8027.6333333333341</v>
      </c>
      <c r="J255">
        <f t="shared" si="15"/>
        <v>-882.23333333333449</v>
      </c>
      <c r="K255" s="2">
        <f t="shared" si="16"/>
        <v>-0.109899555286116</v>
      </c>
    </row>
    <row r="256" spans="1:11">
      <c r="A256" s="52">
        <f t="shared" si="11"/>
        <v>40148</v>
      </c>
      <c r="B256" s="53" t="s">
        <v>52</v>
      </c>
      <c r="C256" s="53">
        <v>2009</v>
      </c>
      <c r="D256" s="53" t="s">
        <v>111</v>
      </c>
      <c r="E256">
        <v>7128</v>
      </c>
      <c r="F256" s="55">
        <f t="shared" si="18"/>
        <v>-358.69999999999982</v>
      </c>
      <c r="G256">
        <f t="shared" si="12"/>
        <v>7230.5999999999995</v>
      </c>
      <c r="H256" s="2">
        <f t="shared" si="17"/>
        <v>-5.7916600616277236E-2</v>
      </c>
      <c r="I256">
        <f t="shared" si="14"/>
        <v>8027.6333333333341</v>
      </c>
      <c r="J256">
        <f t="shared" si="15"/>
        <v>-899.63333333333412</v>
      </c>
      <c r="K256" s="2">
        <f t="shared" si="16"/>
        <v>-0.11206706833479366</v>
      </c>
    </row>
    <row r="257" spans="1:11">
      <c r="A257" s="52">
        <f t="shared" si="11"/>
        <v>40179</v>
      </c>
      <c r="B257" s="53" t="s">
        <v>52</v>
      </c>
      <c r="C257" s="53">
        <v>2010</v>
      </c>
      <c r="D257" s="53" t="s">
        <v>100</v>
      </c>
      <c r="E257">
        <v>7129.8</v>
      </c>
      <c r="F257" s="55">
        <f t="shared" si="18"/>
        <v>-287.39999999999964</v>
      </c>
      <c r="G257">
        <f t="shared" si="12"/>
        <v>7206.6500000000005</v>
      </c>
      <c r="H257" s="2">
        <f t="shared" si="17"/>
        <v>-5.5614889169904425E-2</v>
      </c>
      <c r="I257">
        <f t="shared" si="14"/>
        <v>8027.6333333333341</v>
      </c>
      <c r="J257">
        <f t="shared" si="15"/>
        <v>-897.83333333333394</v>
      </c>
      <c r="K257" s="2">
        <f t="shared" si="16"/>
        <v>-0.11184284284699939</v>
      </c>
    </row>
    <row r="258" spans="1:11">
      <c r="A258" s="52">
        <f t="shared" si="11"/>
        <v>40210</v>
      </c>
      <c r="B258" s="53" t="s">
        <v>52</v>
      </c>
      <c r="C258" s="53">
        <v>2010</v>
      </c>
      <c r="D258" s="53" t="s">
        <v>101</v>
      </c>
      <c r="E258">
        <v>7129.3</v>
      </c>
      <c r="F258" s="55">
        <f t="shared" si="18"/>
        <v>-231.09999999999945</v>
      </c>
      <c r="G258">
        <f t="shared" si="12"/>
        <v>7187.3916666666673</v>
      </c>
      <c r="H258" s="2">
        <f t="shared" si="17"/>
        <v>-5.2452619170298309E-2</v>
      </c>
      <c r="I258">
        <f t="shared" si="14"/>
        <v>8027.6333333333341</v>
      </c>
      <c r="J258">
        <f t="shared" si="15"/>
        <v>-898.33333333333394</v>
      </c>
      <c r="K258" s="2">
        <f t="shared" si="16"/>
        <v>-0.11190512770472001</v>
      </c>
    </row>
    <row r="259" spans="1:11">
      <c r="A259" s="52">
        <f t="shared" si="11"/>
        <v>40238</v>
      </c>
      <c r="B259" s="53" t="s">
        <v>52</v>
      </c>
      <c r="C259" s="53">
        <v>2010</v>
      </c>
      <c r="D259" s="53" t="s">
        <v>102</v>
      </c>
      <c r="E259">
        <v>7136.2</v>
      </c>
      <c r="F259" s="55">
        <f t="shared" si="18"/>
        <v>-175.60000000000036</v>
      </c>
      <c r="G259">
        <f t="shared" si="12"/>
        <v>7172.7583333333341</v>
      </c>
      <c r="H259" s="2">
        <f t="shared" si="17"/>
        <v>-4.8707894102798077E-2</v>
      </c>
      <c r="I259">
        <f t="shared" si="14"/>
        <v>8027.6333333333341</v>
      </c>
      <c r="J259">
        <f t="shared" si="15"/>
        <v>-891.4333333333343</v>
      </c>
      <c r="K259" s="2">
        <f t="shared" si="16"/>
        <v>-0.11104559666817546</v>
      </c>
    </row>
    <row r="260" spans="1:11">
      <c r="A260" s="52">
        <f t="shared" si="11"/>
        <v>40269</v>
      </c>
      <c r="B260" s="53" t="s">
        <v>52</v>
      </c>
      <c r="C260" s="53">
        <v>2010</v>
      </c>
      <c r="D260" s="53" t="s">
        <v>103</v>
      </c>
      <c r="E260">
        <v>7155</v>
      </c>
      <c r="F260" s="55">
        <f t="shared" si="18"/>
        <v>-110.30000000000018</v>
      </c>
      <c r="G260">
        <f t="shared" si="12"/>
        <v>7163.5666666666666</v>
      </c>
      <c r="H260" s="2">
        <f t="shared" si="17"/>
        <v>-4.4345971953868579E-2</v>
      </c>
      <c r="I260">
        <f t="shared" si="14"/>
        <v>8027.6333333333341</v>
      </c>
      <c r="J260">
        <f t="shared" si="15"/>
        <v>-872.63333333333412</v>
      </c>
      <c r="K260" s="2">
        <f t="shared" si="16"/>
        <v>-0.10870368601788</v>
      </c>
    </row>
    <row r="261" spans="1:11">
      <c r="A261" s="52">
        <f t="shared" si="11"/>
        <v>40299</v>
      </c>
      <c r="B261" s="53" t="s">
        <v>52</v>
      </c>
      <c r="C261" s="53">
        <v>2010</v>
      </c>
      <c r="D261" s="53" t="s">
        <v>104</v>
      </c>
      <c r="E261">
        <v>7198.3</v>
      </c>
      <c r="F261" s="55">
        <f t="shared" si="18"/>
        <v>-46.599999999999454</v>
      </c>
      <c r="G261">
        <f t="shared" si="12"/>
        <v>7159.6833333333343</v>
      </c>
      <c r="H261" s="2">
        <f t="shared" si="17"/>
        <v>-3.9293214149135114E-2</v>
      </c>
      <c r="I261">
        <f t="shared" si="14"/>
        <v>8027.6333333333341</v>
      </c>
      <c r="J261">
        <f t="shared" si="15"/>
        <v>-829.33333333333394</v>
      </c>
      <c r="K261" s="2">
        <f t="shared" si="16"/>
        <v>-0.103309817339274</v>
      </c>
    </row>
    <row r="262" spans="1:11">
      <c r="A262" s="52">
        <f t="shared" si="11"/>
        <v>40330</v>
      </c>
      <c r="B262" s="53" t="s">
        <v>52</v>
      </c>
      <c r="C262" s="53">
        <v>2010</v>
      </c>
      <c r="D262" s="53" t="s">
        <v>105</v>
      </c>
      <c r="E262">
        <v>7185.6</v>
      </c>
      <c r="F262" s="55">
        <f t="shared" si="18"/>
        <v>-35.5</v>
      </c>
      <c r="G262">
        <f t="shared" si="12"/>
        <v>7156.7250000000013</v>
      </c>
      <c r="H262" s="2">
        <f t="shared" si="17"/>
        <v>-3.4186678902301426E-2</v>
      </c>
      <c r="I262">
        <f t="shared" si="14"/>
        <v>8027.6333333333341</v>
      </c>
      <c r="J262">
        <f t="shared" si="15"/>
        <v>-842.03333333333376</v>
      </c>
      <c r="K262" s="2">
        <f t="shared" si="16"/>
        <v>-0.10489185272537781</v>
      </c>
    </row>
    <row r="263" spans="1:11">
      <c r="A263" s="52">
        <f t="shared" si="11"/>
        <v>40360</v>
      </c>
      <c r="B263" s="53" t="s">
        <v>52</v>
      </c>
      <c r="C263" s="53">
        <v>2010</v>
      </c>
      <c r="D263" s="53" t="s">
        <v>106</v>
      </c>
      <c r="E263">
        <v>7189.4</v>
      </c>
      <c r="F263" s="55">
        <f t="shared" si="18"/>
        <v>-4.4000000000005457</v>
      </c>
      <c r="G263">
        <f t="shared" si="12"/>
        <v>7156.3583333333336</v>
      </c>
      <c r="H263" s="2">
        <f t="shared" si="17"/>
        <v>-2.8834279510551397E-2</v>
      </c>
      <c r="I263">
        <f t="shared" si="14"/>
        <v>8027.6333333333341</v>
      </c>
      <c r="J263">
        <f t="shared" si="15"/>
        <v>-838.23333333333449</v>
      </c>
      <c r="K263" s="2">
        <f t="shared" si="16"/>
        <v>-0.10441848780670115</v>
      </c>
    </row>
    <row r="264" spans="1:11">
      <c r="A264" s="52">
        <f t="shared" si="11"/>
        <v>40391</v>
      </c>
      <c r="B264" s="53" t="s">
        <v>52</v>
      </c>
      <c r="C264" s="53">
        <v>2010</v>
      </c>
      <c r="D264" s="53" t="s">
        <v>107</v>
      </c>
      <c r="E264">
        <v>7188.6</v>
      </c>
      <c r="F264" s="55">
        <f t="shared" si="18"/>
        <v>14.800000000000182</v>
      </c>
      <c r="G264">
        <f t="shared" si="12"/>
        <v>7157.5916666666672</v>
      </c>
      <c r="H264" s="2">
        <f t="shared" si="17"/>
        <v>-2.3353258688110556E-2</v>
      </c>
      <c r="I264">
        <f t="shared" si="14"/>
        <v>8027.6333333333341</v>
      </c>
      <c r="J264">
        <f t="shared" si="15"/>
        <v>-839.03333333333376</v>
      </c>
      <c r="K264" s="2">
        <f t="shared" si="16"/>
        <v>-0.10451814357905406</v>
      </c>
    </row>
    <row r="265" spans="1:11">
      <c r="A265" s="52">
        <f t="shared" si="11"/>
        <v>40422</v>
      </c>
      <c r="B265" s="53" t="s">
        <v>52</v>
      </c>
      <c r="C265" s="53">
        <v>2010</v>
      </c>
      <c r="D265" s="53" t="s">
        <v>108</v>
      </c>
      <c r="E265">
        <v>7168.2</v>
      </c>
      <c r="F265" s="55">
        <f t="shared" si="18"/>
        <v>13.199999999999818</v>
      </c>
      <c r="G265">
        <f t="shared" si="12"/>
        <v>7158.6916666666666</v>
      </c>
      <c r="H265" s="2">
        <f t="shared" si="17"/>
        <v>-1.8396993405649154E-2</v>
      </c>
      <c r="I265">
        <f t="shared" si="14"/>
        <v>8027.6333333333341</v>
      </c>
      <c r="J265">
        <f t="shared" si="15"/>
        <v>-859.4333333333343</v>
      </c>
      <c r="K265" s="2">
        <f t="shared" si="16"/>
        <v>-0.10705936577405556</v>
      </c>
    </row>
    <row r="266" spans="1:11">
      <c r="A266" s="52">
        <f t="shared" si="11"/>
        <v>40452</v>
      </c>
      <c r="B266" s="53" t="s">
        <v>52</v>
      </c>
      <c r="C266" s="53">
        <v>2010</v>
      </c>
      <c r="D266" s="53" t="s">
        <v>109</v>
      </c>
      <c r="E266">
        <v>7194.8</v>
      </c>
      <c r="F266" s="55">
        <f t="shared" si="18"/>
        <v>44.300000000000182</v>
      </c>
      <c r="G266">
        <f t="shared" si="12"/>
        <v>7162.3833333333341</v>
      </c>
      <c r="H266" s="2">
        <f t="shared" si="17"/>
        <v>-1.3512629424774714E-2</v>
      </c>
      <c r="I266">
        <f t="shared" si="14"/>
        <v>8027.6333333333341</v>
      </c>
      <c r="J266">
        <f t="shared" si="15"/>
        <v>-832.83333333333394</v>
      </c>
      <c r="K266" s="2">
        <f t="shared" si="16"/>
        <v>-0.10374581134331835</v>
      </c>
    </row>
    <row r="267" spans="1:11">
      <c r="A267" s="52">
        <f t="shared" si="11"/>
        <v>40483</v>
      </c>
      <c r="B267" s="53" t="s">
        <v>52</v>
      </c>
      <c r="C267" s="53">
        <v>2010</v>
      </c>
      <c r="D267" s="53" t="s">
        <v>110</v>
      </c>
      <c r="E267">
        <v>7196.2</v>
      </c>
      <c r="F267" s="55">
        <f t="shared" si="18"/>
        <v>50.800000000000182</v>
      </c>
      <c r="G267">
        <f t="shared" si="12"/>
        <v>7166.6166666666677</v>
      </c>
      <c r="H267" s="2">
        <f t="shared" si="17"/>
        <v>-8.8489659687068789E-3</v>
      </c>
      <c r="I267">
        <f t="shared" si="14"/>
        <v>8027.6333333333341</v>
      </c>
      <c r="J267">
        <f t="shared" si="15"/>
        <v>-831.4333333333343</v>
      </c>
      <c r="K267" s="2">
        <f t="shared" si="16"/>
        <v>-0.10357141374170066</v>
      </c>
    </row>
    <row r="268" spans="1:11">
      <c r="A268" s="52">
        <f t="shared" si="11"/>
        <v>40513</v>
      </c>
      <c r="B268" s="53" t="s">
        <v>52</v>
      </c>
      <c r="C268" s="53">
        <v>2010</v>
      </c>
      <c r="D268" s="53" t="s">
        <v>111</v>
      </c>
      <c r="E268">
        <v>7200.3</v>
      </c>
      <c r="F268" s="55">
        <f t="shared" si="18"/>
        <v>72.300000000000182</v>
      </c>
      <c r="G268">
        <f t="shared" si="12"/>
        <v>7172.6416666666664</v>
      </c>
      <c r="H268" s="2">
        <f t="shared" si="17"/>
        <v>-4.7190210893180984E-3</v>
      </c>
      <c r="I268">
        <f t="shared" si="14"/>
        <v>8027.6333333333341</v>
      </c>
      <c r="J268">
        <f t="shared" si="15"/>
        <v>-827.33333333333394</v>
      </c>
      <c r="K268" s="2">
        <f t="shared" si="16"/>
        <v>-0.10306067790839149</v>
      </c>
    </row>
    <row r="269" spans="1:11">
      <c r="A269" s="52">
        <f t="shared" si="11"/>
        <v>40544</v>
      </c>
      <c r="B269" s="53" t="s">
        <v>52</v>
      </c>
      <c r="C269" s="53">
        <v>2011</v>
      </c>
      <c r="D269" s="53" t="s">
        <v>100</v>
      </c>
      <c r="E269">
        <v>7210.9</v>
      </c>
      <c r="F269" s="55">
        <f t="shared" si="18"/>
        <v>81.099999999999454</v>
      </c>
      <c r="G269">
        <f t="shared" si="12"/>
        <v>7179.4000000000005</v>
      </c>
      <c r="H269" s="2">
        <f t="shared" si="17"/>
        <v>-1.1119008170558109E-3</v>
      </c>
      <c r="I269">
        <f t="shared" si="14"/>
        <v>8027.6333333333341</v>
      </c>
      <c r="J269">
        <f t="shared" si="15"/>
        <v>-816.73333333333449</v>
      </c>
      <c r="K269" s="2">
        <f t="shared" si="16"/>
        <v>-0.10174023892471434</v>
      </c>
    </row>
    <row r="270" spans="1:11">
      <c r="A270" s="52">
        <f t="shared" si="11"/>
        <v>40575</v>
      </c>
      <c r="B270" s="53" t="s">
        <v>52</v>
      </c>
      <c r="C270" s="53">
        <v>2011</v>
      </c>
      <c r="D270" s="53" t="s">
        <v>101</v>
      </c>
      <c r="E270">
        <v>7209.5</v>
      </c>
      <c r="F270" s="55">
        <f t="shared" si="18"/>
        <v>80.199999999999818</v>
      </c>
      <c r="G270">
        <f t="shared" si="12"/>
        <v>7186.0833333333321</v>
      </c>
      <c r="H270" s="2">
        <f t="shared" si="17"/>
        <v>1.8577232608094629E-3</v>
      </c>
      <c r="I270">
        <f t="shared" si="14"/>
        <v>8027.6333333333341</v>
      </c>
      <c r="J270">
        <f t="shared" si="15"/>
        <v>-818.13333333333412</v>
      </c>
      <c r="K270" s="2">
        <f t="shared" si="16"/>
        <v>-0.10191463652633205</v>
      </c>
    </row>
    <row r="271" spans="1:11">
      <c r="A271" s="52">
        <f t="shared" si="11"/>
        <v>40603</v>
      </c>
      <c r="B271" s="53" t="s">
        <v>52</v>
      </c>
      <c r="C271" s="53">
        <v>2011</v>
      </c>
      <c r="D271" s="53" t="s">
        <v>102</v>
      </c>
      <c r="E271">
        <v>7216.5</v>
      </c>
      <c r="F271" s="55">
        <f t="shared" si="18"/>
        <v>80.300000000000182</v>
      </c>
      <c r="G271">
        <f t="shared" si="12"/>
        <v>7192.7750000000005</v>
      </c>
      <c r="H271" s="2">
        <f t="shared" si="17"/>
        <v>4.0773450841526948E-3</v>
      </c>
      <c r="I271">
        <f t="shared" si="14"/>
        <v>8027.6333333333341</v>
      </c>
      <c r="J271">
        <f t="shared" si="15"/>
        <v>-811.13333333333412</v>
      </c>
      <c r="K271" s="2">
        <f t="shared" si="16"/>
        <v>-0.10104264851824332</v>
      </c>
    </row>
    <row r="272" spans="1:11">
      <c r="A272" s="52">
        <f t="shared" si="11"/>
        <v>40634</v>
      </c>
      <c r="B272" s="53" t="s">
        <v>52</v>
      </c>
      <c r="C272" s="53">
        <v>2011</v>
      </c>
      <c r="D272" s="53" t="s">
        <v>103</v>
      </c>
      <c r="E272">
        <v>7244.9</v>
      </c>
      <c r="F272" s="55">
        <f t="shared" si="18"/>
        <v>89.899999999999636</v>
      </c>
      <c r="G272">
        <f t="shared" si="12"/>
        <v>7200.2666666666664</v>
      </c>
      <c r="H272" s="2">
        <f t="shared" si="17"/>
        <v>5.6683140083009231E-3</v>
      </c>
      <c r="I272">
        <f t="shared" si="14"/>
        <v>8027.6333333333341</v>
      </c>
      <c r="J272">
        <f t="shared" si="15"/>
        <v>-782.73333333333449</v>
      </c>
      <c r="K272" s="2">
        <f t="shared" si="16"/>
        <v>-9.7504868599711969E-2</v>
      </c>
    </row>
    <row r="273" spans="1:11">
      <c r="A273" s="52">
        <f t="shared" ref="A273:A324" si="19">IF(D273="M13","Annual Average",IF(LEFT(D273,1)="M",DATE(C273,RIGHT(D273,2),1),IF(D273="S01","First Half","Second Half")))</f>
        <v>40664</v>
      </c>
      <c r="B273" s="53" t="s">
        <v>52</v>
      </c>
      <c r="C273" s="53">
        <v>2011</v>
      </c>
      <c r="D273" s="53" t="s">
        <v>104</v>
      </c>
      <c r="E273">
        <v>7238.9</v>
      </c>
      <c r="F273" s="55">
        <f t="shared" si="18"/>
        <v>40.599999999999454</v>
      </c>
      <c r="G273">
        <f t="shared" si="12"/>
        <v>7203.6499999999987</v>
      </c>
      <c r="H273" s="2">
        <f t="shared" si="17"/>
        <v>6.5567700309845378E-3</v>
      </c>
      <c r="I273">
        <f t="shared" si="14"/>
        <v>8027.6333333333341</v>
      </c>
      <c r="J273">
        <f t="shared" si="15"/>
        <v>-788.73333333333449</v>
      </c>
      <c r="K273" s="2">
        <f t="shared" si="16"/>
        <v>-9.8252286892359444E-2</v>
      </c>
    </row>
    <row r="274" spans="1:11">
      <c r="A274" s="52">
        <f t="shared" si="19"/>
        <v>40695</v>
      </c>
      <c r="B274" s="53" t="s">
        <v>52</v>
      </c>
      <c r="C274" s="53">
        <v>2011</v>
      </c>
      <c r="D274" s="53" t="s">
        <v>105</v>
      </c>
      <c r="E274">
        <v>7232.9</v>
      </c>
      <c r="F274" s="55">
        <f t="shared" si="18"/>
        <v>47.299999999999272</v>
      </c>
      <c r="G274">
        <f t="shared" si="12"/>
        <v>7207.5916666666662</v>
      </c>
      <c r="H274" s="2">
        <f t="shared" si="17"/>
        <v>7.1591347088777457E-3</v>
      </c>
      <c r="I274">
        <f t="shared" si="14"/>
        <v>8027.6333333333341</v>
      </c>
      <c r="J274">
        <f t="shared" si="15"/>
        <v>-794.73333333333449</v>
      </c>
      <c r="K274" s="2">
        <f t="shared" si="16"/>
        <v>-9.899970518500692E-2</v>
      </c>
    </row>
    <row r="275" spans="1:11">
      <c r="A275" s="52">
        <f t="shared" si="19"/>
        <v>40725</v>
      </c>
      <c r="B275" s="53" t="s">
        <v>52</v>
      </c>
      <c r="C275" s="53">
        <v>2011</v>
      </c>
      <c r="D275" s="53" t="s">
        <v>106</v>
      </c>
      <c r="E275">
        <v>7257.3</v>
      </c>
      <c r="F275" s="55">
        <f t="shared" si="18"/>
        <v>67.900000000000546</v>
      </c>
      <c r="G275">
        <f t="shared" si="12"/>
        <v>7213.25</v>
      </c>
      <c r="H275" s="2">
        <f t="shared" si="17"/>
        <v>7.7761258151309853E-3</v>
      </c>
      <c r="I275">
        <f t="shared" si="14"/>
        <v>8027.6333333333341</v>
      </c>
      <c r="J275">
        <f t="shared" si="15"/>
        <v>-770.33333333333394</v>
      </c>
      <c r="K275" s="2">
        <f t="shared" si="16"/>
        <v>-9.5960204128240439E-2</v>
      </c>
    </row>
    <row r="276" spans="1:11">
      <c r="A276" s="52">
        <f t="shared" si="19"/>
        <v>40756</v>
      </c>
      <c r="B276" s="53" t="s">
        <v>52</v>
      </c>
      <c r="C276" s="53">
        <v>2011</v>
      </c>
      <c r="D276" s="53" t="s">
        <v>107</v>
      </c>
      <c r="E276">
        <v>7259</v>
      </c>
      <c r="F276" s="55">
        <f t="shared" si="18"/>
        <v>70.399999999999636</v>
      </c>
      <c r="G276">
        <f t="shared" si="12"/>
        <v>7219.1166666666677</v>
      </c>
      <c r="H276" s="2">
        <f t="shared" si="17"/>
        <v>8.4407881794044126E-3</v>
      </c>
      <c r="I276">
        <f t="shared" si="14"/>
        <v>8027.6333333333341</v>
      </c>
      <c r="J276">
        <f t="shared" si="15"/>
        <v>-768.63333333333412</v>
      </c>
      <c r="K276" s="2">
        <f t="shared" si="16"/>
        <v>-9.574843561199034E-2</v>
      </c>
    </row>
    <row r="277" spans="1:11">
      <c r="A277" s="52">
        <f t="shared" si="19"/>
        <v>40787</v>
      </c>
      <c r="B277" s="53" t="s">
        <v>52</v>
      </c>
      <c r="C277" s="53">
        <v>2011</v>
      </c>
      <c r="D277" s="53" t="s">
        <v>108</v>
      </c>
      <c r="E277">
        <v>7277.9</v>
      </c>
      <c r="F277" s="55">
        <f t="shared" si="18"/>
        <v>109.69999999999982</v>
      </c>
      <c r="G277">
        <f t="shared" si="12"/>
        <v>7228.2583333333323</v>
      </c>
      <c r="H277" s="2">
        <f t="shared" si="17"/>
        <v>9.1973574904067323E-3</v>
      </c>
      <c r="I277">
        <f t="shared" si="14"/>
        <v>8027.6333333333341</v>
      </c>
      <c r="J277">
        <f t="shared" si="15"/>
        <v>-749.73333333333449</v>
      </c>
      <c r="K277" s="2">
        <f t="shared" si="16"/>
        <v>-9.339406799015082E-2</v>
      </c>
    </row>
    <row r="278" spans="1:11">
      <c r="A278" s="52">
        <f t="shared" si="19"/>
        <v>40817</v>
      </c>
      <c r="B278" s="53" t="s">
        <v>52</v>
      </c>
      <c r="C278" s="53">
        <v>2011</v>
      </c>
      <c r="D278" s="53" t="s">
        <v>109</v>
      </c>
      <c r="E278">
        <v>7277.3</v>
      </c>
      <c r="F278" s="55">
        <f t="shared" si="18"/>
        <v>82.5</v>
      </c>
      <c r="G278">
        <f t="shared" si="12"/>
        <v>7235.1333333333341</v>
      </c>
      <c r="H278" s="2">
        <f t="shared" si="17"/>
        <v>9.5605318176639198E-3</v>
      </c>
      <c r="I278">
        <f t="shared" si="14"/>
        <v>8027.6333333333341</v>
      </c>
      <c r="J278">
        <f t="shared" si="15"/>
        <v>-750.33333333333394</v>
      </c>
      <c r="K278" s="2">
        <f t="shared" si="16"/>
        <v>-9.3468809819415508E-2</v>
      </c>
    </row>
    <row r="279" spans="1:11">
      <c r="A279" s="52">
        <f t="shared" si="19"/>
        <v>40848</v>
      </c>
      <c r="B279" s="53" t="s">
        <v>52</v>
      </c>
      <c r="C279" s="53">
        <v>2011</v>
      </c>
      <c r="D279" s="53" t="s">
        <v>110</v>
      </c>
      <c r="E279">
        <v>7290.9</v>
      </c>
      <c r="F279" s="55">
        <f t="shared" si="18"/>
        <v>94.699999999999818</v>
      </c>
      <c r="G279">
        <f t="shared" si="12"/>
        <v>7243.0250000000005</v>
      </c>
      <c r="H279" s="2">
        <f t="shared" si="17"/>
        <v>9.8127491382185017E-3</v>
      </c>
      <c r="I279">
        <f t="shared" si="14"/>
        <v>8027.6333333333341</v>
      </c>
      <c r="J279">
        <f t="shared" si="15"/>
        <v>-736.73333333333449</v>
      </c>
      <c r="K279" s="2">
        <f t="shared" si="16"/>
        <v>-9.1774661689414616E-2</v>
      </c>
    </row>
    <row r="280" spans="1:11">
      <c r="A280" s="52">
        <f t="shared" si="19"/>
        <v>40878</v>
      </c>
      <c r="B280" s="53" t="s">
        <v>52</v>
      </c>
      <c r="C280" s="53">
        <v>2011</v>
      </c>
      <c r="D280" s="53" t="s">
        <v>111</v>
      </c>
      <c r="E280">
        <v>7303.3</v>
      </c>
      <c r="F280" s="55">
        <f t="shared" si="18"/>
        <v>103</v>
      </c>
      <c r="G280">
        <f t="shared" si="12"/>
        <v>7251.6083333333336</v>
      </c>
      <c r="H280" s="2">
        <f t="shared" si="17"/>
        <v>1.0057711415067061E-2</v>
      </c>
      <c r="I280">
        <f t="shared" si="14"/>
        <v>8027.6333333333341</v>
      </c>
      <c r="J280">
        <f t="shared" si="15"/>
        <v>-724.33333333333394</v>
      </c>
      <c r="K280" s="2">
        <f t="shared" si="16"/>
        <v>-9.0229997217943086E-2</v>
      </c>
    </row>
    <row r="281" spans="1:11">
      <c r="A281" s="52">
        <f t="shared" si="19"/>
        <v>40909</v>
      </c>
      <c r="B281" s="53" t="s">
        <v>52</v>
      </c>
      <c r="C281" s="53">
        <v>2012</v>
      </c>
      <c r="D281" s="53" t="s">
        <v>100</v>
      </c>
      <c r="E281">
        <v>7322.1</v>
      </c>
      <c r="F281" s="55">
        <f t="shared" si="18"/>
        <v>111.20000000000073</v>
      </c>
      <c r="G281">
        <f t="shared" si="12"/>
        <v>7260.8750000000009</v>
      </c>
      <c r="H281" s="2">
        <f t="shared" si="17"/>
        <v>1.0407848503473538E-2</v>
      </c>
      <c r="I281">
        <f t="shared" si="14"/>
        <v>8027.6333333333341</v>
      </c>
      <c r="J281">
        <f t="shared" si="15"/>
        <v>-705.53333333333376</v>
      </c>
      <c r="K281" s="2">
        <f t="shared" si="16"/>
        <v>-8.7888086567647628E-2</v>
      </c>
    </row>
    <row r="282" spans="1:11">
      <c r="A282" s="52">
        <f t="shared" si="19"/>
        <v>40940</v>
      </c>
      <c r="B282" s="53" t="s">
        <v>52</v>
      </c>
      <c r="C282" s="53">
        <v>2012</v>
      </c>
      <c r="D282" s="53" t="s">
        <v>101</v>
      </c>
      <c r="E282">
        <v>7333.3</v>
      </c>
      <c r="F282" s="55">
        <f t="shared" si="18"/>
        <v>123.80000000000018</v>
      </c>
      <c r="G282">
        <f t="shared" si="12"/>
        <v>7271.1916666666684</v>
      </c>
      <c r="H282" s="2">
        <f t="shared" si="17"/>
        <v>1.0902143702071543E-2</v>
      </c>
      <c r="I282">
        <f t="shared" si="14"/>
        <v>8027.6333333333341</v>
      </c>
      <c r="J282">
        <f t="shared" si="15"/>
        <v>-694.33333333333394</v>
      </c>
      <c r="K282" s="2">
        <f t="shared" si="16"/>
        <v>-8.6492905754705682E-2</v>
      </c>
    </row>
    <row r="283" spans="1:11">
      <c r="A283" s="52">
        <f t="shared" si="19"/>
        <v>40969</v>
      </c>
      <c r="B283" s="53" t="s">
        <v>52</v>
      </c>
      <c r="C283" s="53">
        <v>2012</v>
      </c>
      <c r="D283" s="53" t="s">
        <v>102</v>
      </c>
      <c r="E283">
        <v>7352</v>
      </c>
      <c r="F283" s="55">
        <f t="shared" si="18"/>
        <v>135.5</v>
      </c>
      <c r="G283">
        <f t="shared" si="12"/>
        <v>7282.4833333333345</v>
      </c>
      <c r="H283" s="2">
        <f t="shared" si="17"/>
        <v>1.141855857190488E-2</v>
      </c>
      <c r="I283">
        <f t="shared" si="14"/>
        <v>8027.6333333333341</v>
      </c>
      <c r="J283">
        <f t="shared" si="15"/>
        <v>-675.63333333333412</v>
      </c>
      <c r="K283" s="2">
        <f t="shared" si="16"/>
        <v>-8.4163452075954395E-2</v>
      </c>
    </row>
    <row r="284" spans="1:11">
      <c r="A284" s="52">
        <f t="shared" si="19"/>
        <v>41000</v>
      </c>
      <c r="B284" s="53" t="s">
        <v>52</v>
      </c>
      <c r="C284" s="53">
        <v>2012</v>
      </c>
      <c r="D284" s="53" t="s">
        <v>103</v>
      </c>
      <c r="E284">
        <v>7373.2</v>
      </c>
      <c r="F284" s="55">
        <f t="shared" si="18"/>
        <v>128.30000000000018</v>
      </c>
      <c r="G284">
        <f t="shared" si="12"/>
        <v>7293.1750000000002</v>
      </c>
      <c r="H284" s="2">
        <f t="shared" si="17"/>
        <v>1.2427727610308859E-2</v>
      </c>
      <c r="I284">
        <f t="shared" si="14"/>
        <v>8027.6333333333341</v>
      </c>
      <c r="J284">
        <f t="shared" si="15"/>
        <v>-654.4333333333343</v>
      </c>
      <c r="K284" s="2">
        <f t="shared" si="16"/>
        <v>-8.1522574108599991E-2</v>
      </c>
    </row>
    <row r="285" spans="1:11">
      <c r="A285" s="52">
        <f t="shared" si="19"/>
        <v>41030</v>
      </c>
      <c r="B285" s="53" t="s">
        <v>52</v>
      </c>
      <c r="C285" s="53">
        <v>2012</v>
      </c>
      <c r="D285" s="53" t="s">
        <v>104</v>
      </c>
      <c r="E285">
        <v>7375.5</v>
      </c>
      <c r="F285" s="55">
        <f t="shared" si="18"/>
        <v>136.60000000000036</v>
      </c>
      <c r="G285">
        <f t="shared" si="12"/>
        <v>7304.5583333333334</v>
      </c>
      <c r="H285" s="2">
        <f t="shared" si="17"/>
        <v>1.3453407344802049E-2</v>
      </c>
      <c r="I285">
        <f t="shared" si="14"/>
        <v>8027.6333333333341</v>
      </c>
      <c r="J285">
        <f t="shared" si="15"/>
        <v>-652.13333333333412</v>
      </c>
      <c r="K285" s="2">
        <f t="shared" si="16"/>
        <v>-8.1236063763085106E-2</v>
      </c>
    </row>
    <row r="286" spans="1:11">
      <c r="A286" s="52">
        <f t="shared" si="19"/>
        <v>41061</v>
      </c>
      <c r="B286" s="53" t="s">
        <v>52</v>
      </c>
      <c r="C286" s="53">
        <v>2012</v>
      </c>
      <c r="D286" s="53" t="s">
        <v>105</v>
      </c>
      <c r="E286">
        <v>7391</v>
      </c>
      <c r="F286" s="55">
        <f t="shared" si="18"/>
        <v>158.10000000000036</v>
      </c>
      <c r="G286">
        <f t="shared" si="12"/>
        <v>7317.7333333333336</v>
      </c>
      <c r="H286" s="2">
        <f t="shared" si="17"/>
        <v>1.4484917801730557E-2</v>
      </c>
      <c r="I286">
        <f t="shared" si="14"/>
        <v>8027.6333333333341</v>
      </c>
      <c r="J286">
        <f t="shared" si="15"/>
        <v>-636.63333333333412</v>
      </c>
      <c r="K286" s="2">
        <f t="shared" si="16"/>
        <v>-7.9305233173745771E-2</v>
      </c>
    </row>
    <row r="287" spans="1:11">
      <c r="A287" s="52">
        <f t="shared" si="19"/>
        <v>41091</v>
      </c>
      <c r="B287" s="53" t="s">
        <v>52</v>
      </c>
      <c r="C287" s="53">
        <v>2012</v>
      </c>
      <c r="D287" s="53" t="s">
        <v>106</v>
      </c>
      <c r="E287">
        <v>7396.2</v>
      </c>
      <c r="F287" s="55">
        <f t="shared" si="18"/>
        <v>138.89999999999964</v>
      </c>
      <c r="G287">
        <f t="shared" si="12"/>
        <v>7329.3083333333334</v>
      </c>
      <c r="H287" s="2">
        <f t="shared" si="17"/>
        <v>1.5263871156905084E-2</v>
      </c>
      <c r="I287">
        <f t="shared" si="14"/>
        <v>8027.6333333333341</v>
      </c>
      <c r="J287">
        <f t="shared" si="15"/>
        <v>-631.4333333333343</v>
      </c>
      <c r="K287" s="2">
        <f t="shared" si="16"/>
        <v>-7.8657470653451314E-2</v>
      </c>
    </row>
    <row r="288" spans="1:11">
      <c r="A288" s="52">
        <f t="shared" si="19"/>
        <v>41122</v>
      </c>
      <c r="B288" s="53" t="s">
        <v>52</v>
      </c>
      <c r="C288" s="53">
        <v>2012</v>
      </c>
      <c r="D288" s="53" t="s">
        <v>107</v>
      </c>
      <c r="E288">
        <v>7405.8</v>
      </c>
      <c r="F288" s="55">
        <f t="shared" si="18"/>
        <v>146.80000000000018</v>
      </c>
      <c r="G288">
        <f t="shared" si="12"/>
        <v>7341.541666666667</v>
      </c>
      <c r="H288" s="2">
        <f t="shared" si="17"/>
        <v>1.5672286200802299E-2</v>
      </c>
      <c r="I288">
        <f t="shared" si="14"/>
        <v>8027.6333333333341</v>
      </c>
      <c r="J288">
        <f t="shared" si="15"/>
        <v>-621.83333333333394</v>
      </c>
      <c r="K288" s="2">
        <f t="shared" si="16"/>
        <v>-7.7461601385215309E-2</v>
      </c>
    </row>
    <row r="289" spans="1:11">
      <c r="A289" s="52">
        <f t="shared" si="19"/>
        <v>41153</v>
      </c>
      <c r="B289" s="53" t="s">
        <v>52</v>
      </c>
      <c r="C289" s="53">
        <v>2012</v>
      </c>
      <c r="D289" s="53" t="s">
        <v>108</v>
      </c>
      <c r="E289">
        <v>7423.1</v>
      </c>
      <c r="F289" s="55">
        <f t="shared" si="18"/>
        <v>145.20000000000073</v>
      </c>
      <c r="G289">
        <f t="shared" ref="G289:G323" si="20">AVERAGE(E278:E289)</f>
        <v>7353.6416666666673</v>
      </c>
      <c r="H289" s="2">
        <f t="shared" si="17"/>
        <v>1.6379564532328361E-2</v>
      </c>
      <c r="I289">
        <f t="shared" si="14"/>
        <v>8027.6333333333341</v>
      </c>
      <c r="J289">
        <f t="shared" si="15"/>
        <v>-604.53333333333376</v>
      </c>
      <c r="K289" s="2">
        <f t="shared" si="16"/>
        <v>-7.5306545308081715E-2</v>
      </c>
    </row>
    <row r="290" spans="1:11">
      <c r="A290" s="52">
        <f t="shared" si="19"/>
        <v>41183</v>
      </c>
      <c r="B290" s="53" t="s">
        <v>52</v>
      </c>
      <c r="C290" s="53">
        <v>2012</v>
      </c>
      <c r="D290" s="53" t="s">
        <v>109</v>
      </c>
      <c r="E290">
        <v>7448.3</v>
      </c>
      <c r="F290" s="55">
        <f t="shared" si="18"/>
        <v>171</v>
      </c>
      <c r="G290">
        <f t="shared" si="20"/>
        <v>7367.8916666666673</v>
      </c>
      <c r="H290" s="2">
        <f t="shared" si="17"/>
        <v>1.7239574165029969E-2</v>
      </c>
      <c r="I290">
        <f t="shared" si="14"/>
        <v>8027.6333333333341</v>
      </c>
      <c r="J290">
        <f t="shared" si="15"/>
        <v>-579.33333333333394</v>
      </c>
      <c r="K290" s="2">
        <f t="shared" si="16"/>
        <v>-7.2167388478962313E-2</v>
      </c>
    </row>
    <row r="291" spans="1:11">
      <c r="A291" s="52">
        <f t="shared" si="19"/>
        <v>41214</v>
      </c>
      <c r="B291" s="53" t="s">
        <v>52</v>
      </c>
      <c r="C291" s="53">
        <v>2012</v>
      </c>
      <c r="D291" s="53" t="s">
        <v>110</v>
      </c>
      <c r="E291">
        <v>7460.2</v>
      </c>
      <c r="F291" s="55">
        <f t="shared" si="18"/>
        <v>169.30000000000018</v>
      </c>
      <c r="G291">
        <f t="shared" si="20"/>
        <v>7382</v>
      </c>
      <c r="H291" s="2">
        <f t="shared" si="17"/>
        <v>1.7981068567547664E-2</v>
      </c>
      <c r="I291">
        <f t="shared" ref="I291:I324" si="21">I290</f>
        <v>8027.6333333333341</v>
      </c>
      <c r="J291">
        <f t="shared" ref="J291:J323" si="22">E291-I291</f>
        <v>-567.4333333333343</v>
      </c>
      <c r="K291" s="2">
        <f t="shared" si="16"/>
        <v>-7.0685008865211535E-2</v>
      </c>
    </row>
    <row r="292" spans="1:11">
      <c r="A292" s="52">
        <f t="shared" si="19"/>
        <v>41244</v>
      </c>
      <c r="B292" s="53" t="s">
        <v>52</v>
      </c>
      <c r="C292" s="53">
        <v>2012</v>
      </c>
      <c r="D292" s="53" t="s">
        <v>111</v>
      </c>
      <c r="E292">
        <v>7472.6</v>
      </c>
      <c r="F292" s="55">
        <f t="shared" si="18"/>
        <v>169.30000000000018</v>
      </c>
      <c r="G292">
        <f t="shared" si="20"/>
        <v>7396.1083333333345</v>
      </c>
      <c r="H292" s="2">
        <f t="shared" si="17"/>
        <v>1.8624936158979866E-2</v>
      </c>
      <c r="I292">
        <f t="shared" si="21"/>
        <v>8027.6333333333341</v>
      </c>
      <c r="J292">
        <f t="shared" si="22"/>
        <v>-555.03333333333376</v>
      </c>
      <c r="K292" s="2">
        <f t="shared" ref="K292:K324" si="23">J292/I292</f>
        <v>-6.9140344393740005E-2</v>
      </c>
    </row>
    <row r="293" spans="1:11">
      <c r="A293" s="52">
        <f t="shared" si="19"/>
        <v>41275</v>
      </c>
      <c r="B293" s="53" t="s">
        <v>52</v>
      </c>
      <c r="C293" s="53">
        <v>2013</v>
      </c>
      <c r="D293" s="53" t="s">
        <v>100</v>
      </c>
      <c r="E293">
        <v>7485.1</v>
      </c>
      <c r="F293" s="55">
        <f t="shared" si="18"/>
        <v>163</v>
      </c>
      <c r="G293">
        <f t="shared" si="20"/>
        <v>7409.6916666666666</v>
      </c>
      <c r="H293" s="2">
        <f t="shared" si="17"/>
        <v>1.9047771857661822E-2</v>
      </c>
      <c r="I293">
        <f t="shared" si="21"/>
        <v>8027.6333333333341</v>
      </c>
      <c r="J293">
        <f t="shared" si="22"/>
        <v>-542.53333333333376</v>
      </c>
      <c r="K293" s="2">
        <f t="shared" si="23"/>
        <v>-6.7583222950724414E-2</v>
      </c>
    </row>
    <row r="294" spans="1:11">
      <c r="A294" s="52">
        <f t="shared" si="19"/>
        <v>41306</v>
      </c>
      <c r="B294" s="53" t="s">
        <v>52</v>
      </c>
      <c r="C294" s="53">
        <v>2013</v>
      </c>
      <c r="D294" s="53" t="s">
        <v>101</v>
      </c>
      <c r="E294">
        <v>7509.4</v>
      </c>
      <c r="F294" s="55">
        <f t="shared" si="18"/>
        <v>176.09999999999945</v>
      </c>
      <c r="G294">
        <f t="shared" si="20"/>
        <v>7424.3666666666677</v>
      </c>
      <c r="H294" s="2">
        <f t="shared" si="17"/>
        <v>1.9482822938146072E-2</v>
      </c>
      <c r="I294">
        <f t="shared" si="21"/>
        <v>8027.6333333333341</v>
      </c>
      <c r="J294">
        <f t="shared" si="22"/>
        <v>-518.23333333333449</v>
      </c>
      <c r="K294" s="2">
        <f t="shared" si="23"/>
        <v>-6.4556178865502217E-2</v>
      </c>
    </row>
    <row r="295" spans="1:11">
      <c r="A295" s="52">
        <f t="shared" si="19"/>
        <v>41334</v>
      </c>
      <c r="B295" s="53" t="s">
        <v>52</v>
      </c>
      <c r="C295" s="53">
        <v>2013</v>
      </c>
      <c r="D295" s="53" t="s">
        <v>102</v>
      </c>
      <c r="E295">
        <v>7521.4</v>
      </c>
      <c r="F295" s="55">
        <f t="shared" si="18"/>
        <v>169.39999999999964</v>
      </c>
      <c r="G295">
        <f t="shared" si="20"/>
        <v>7438.4833333333336</v>
      </c>
      <c r="H295" s="2">
        <f t="shared" si="17"/>
        <v>1.9923878603397505E-2</v>
      </c>
      <c r="I295">
        <f t="shared" si="21"/>
        <v>8027.6333333333341</v>
      </c>
      <c r="J295">
        <f t="shared" si="22"/>
        <v>-506.23333333333449</v>
      </c>
      <c r="K295" s="2">
        <f t="shared" si="23"/>
        <v>-6.3061342280207253E-2</v>
      </c>
    </row>
    <row r="296" spans="1:11">
      <c r="A296" s="52">
        <f t="shared" si="19"/>
        <v>41365</v>
      </c>
      <c r="B296" s="53" t="s">
        <v>52</v>
      </c>
      <c r="C296" s="53">
        <v>2013</v>
      </c>
      <c r="D296" s="53" t="s">
        <v>103</v>
      </c>
      <c r="E296">
        <v>7530.8</v>
      </c>
      <c r="F296" s="55">
        <f t="shared" si="18"/>
        <v>157.60000000000036</v>
      </c>
      <c r="G296">
        <f t="shared" si="20"/>
        <v>7451.6166666666659</v>
      </c>
      <c r="H296" s="2">
        <f t="shared" ref="H296:H324" si="24">G296/G285-1</f>
        <v>2.0132405906357453E-2</v>
      </c>
      <c r="I296">
        <f t="shared" si="21"/>
        <v>8027.6333333333341</v>
      </c>
      <c r="J296">
        <f t="shared" si="22"/>
        <v>-496.83333333333394</v>
      </c>
      <c r="K296" s="2">
        <f t="shared" si="23"/>
        <v>-6.1890386955059468E-2</v>
      </c>
    </row>
    <row r="297" spans="1:11">
      <c r="A297" s="52">
        <f t="shared" si="19"/>
        <v>41395</v>
      </c>
      <c r="B297" s="53" t="s">
        <v>52</v>
      </c>
      <c r="C297" s="53">
        <v>2013</v>
      </c>
      <c r="D297" s="53" t="s">
        <v>104</v>
      </c>
      <c r="E297">
        <v>7548.3</v>
      </c>
      <c r="F297" s="55">
        <f t="shared" si="18"/>
        <v>172.80000000000018</v>
      </c>
      <c r="G297">
        <f t="shared" si="20"/>
        <v>7466.0166666666664</v>
      </c>
      <c r="H297" s="2">
        <f t="shared" si="24"/>
        <v>2.0263560665415348E-2</v>
      </c>
      <c r="I297">
        <f t="shared" si="21"/>
        <v>8027.6333333333341</v>
      </c>
      <c r="J297">
        <f t="shared" si="22"/>
        <v>-479.33333333333394</v>
      </c>
      <c r="K297" s="2">
        <f t="shared" si="23"/>
        <v>-5.9710416934837654E-2</v>
      </c>
    </row>
    <row r="298" spans="1:11">
      <c r="A298" s="52">
        <f t="shared" si="19"/>
        <v>41426</v>
      </c>
      <c r="B298" s="53" t="s">
        <v>52</v>
      </c>
      <c r="C298" s="53">
        <v>2013</v>
      </c>
      <c r="D298" s="53" t="s">
        <v>105</v>
      </c>
      <c r="E298">
        <v>7570.6</v>
      </c>
      <c r="F298" s="55">
        <f t="shared" si="18"/>
        <v>179.60000000000036</v>
      </c>
      <c r="G298">
        <f t="shared" si="20"/>
        <v>7480.9833333333336</v>
      </c>
      <c r="H298" s="2">
        <f t="shared" si="24"/>
        <v>2.0694312901285539E-2</v>
      </c>
      <c r="I298">
        <f t="shared" si="21"/>
        <v>8027.6333333333341</v>
      </c>
      <c r="J298">
        <f t="shared" si="22"/>
        <v>-457.03333333333376</v>
      </c>
      <c r="K298" s="2">
        <f t="shared" si="23"/>
        <v>-5.6932512280497831E-2</v>
      </c>
    </row>
    <row r="299" spans="1:11">
      <c r="A299" s="52">
        <f t="shared" si="19"/>
        <v>41456</v>
      </c>
      <c r="B299" s="53" t="s">
        <v>52</v>
      </c>
      <c r="C299" s="53">
        <v>2013</v>
      </c>
      <c r="D299" s="53" t="s">
        <v>106</v>
      </c>
      <c r="E299">
        <v>7588.8</v>
      </c>
      <c r="F299" s="55">
        <f t="shared" si="18"/>
        <v>192.60000000000036</v>
      </c>
      <c r="G299">
        <f t="shared" si="20"/>
        <v>7497.0333333333338</v>
      </c>
      <c r="H299" s="2">
        <f t="shared" si="24"/>
        <v>2.1179702265078371E-2</v>
      </c>
      <c r="I299">
        <f t="shared" si="21"/>
        <v>8027.6333333333341</v>
      </c>
      <c r="J299">
        <f t="shared" si="22"/>
        <v>-438.83333333333394</v>
      </c>
      <c r="K299" s="2">
        <f t="shared" si="23"/>
        <v>-5.4665343459467164E-2</v>
      </c>
    </row>
    <row r="300" spans="1:11">
      <c r="A300" s="52">
        <f t="shared" si="19"/>
        <v>41487</v>
      </c>
      <c r="B300" s="53" t="s">
        <v>52</v>
      </c>
      <c r="C300" s="53">
        <v>2013</v>
      </c>
      <c r="D300" s="53" t="s">
        <v>107</v>
      </c>
      <c r="E300">
        <v>7609</v>
      </c>
      <c r="F300" s="55">
        <f t="shared" si="18"/>
        <v>203.19999999999982</v>
      </c>
      <c r="G300">
        <f t="shared" si="20"/>
        <v>7513.9666666666681</v>
      </c>
      <c r="H300" s="2">
        <f t="shared" si="24"/>
        <v>2.1802122984417194E-2</v>
      </c>
      <c r="I300">
        <f t="shared" si="21"/>
        <v>8027.6333333333341</v>
      </c>
      <c r="J300">
        <f t="shared" si="22"/>
        <v>-418.63333333333412</v>
      </c>
      <c r="K300" s="2">
        <f t="shared" si="23"/>
        <v>-5.2149035207553998E-2</v>
      </c>
    </row>
    <row r="301" spans="1:11">
      <c r="A301" s="52">
        <f t="shared" si="19"/>
        <v>41518</v>
      </c>
      <c r="B301" s="53" t="s">
        <v>52</v>
      </c>
      <c r="C301" s="53">
        <v>2013</v>
      </c>
      <c r="D301" s="53" t="s">
        <v>108</v>
      </c>
      <c r="E301">
        <v>7624.3</v>
      </c>
      <c r="F301" s="55">
        <f t="shared" si="18"/>
        <v>201.19999999999982</v>
      </c>
      <c r="G301">
        <f t="shared" si="20"/>
        <v>7530.7333333333345</v>
      </c>
      <c r="H301" s="2">
        <f t="shared" si="24"/>
        <v>2.2101528365758183E-2</v>
      </c>
      <c r="I301">
        <f t="shared" si="21"/>
        <v>8027.6333333333341</v>
      </c>
      <c r="J301">
        <f t="shared" si="22"/>
        <v>-403.33333333333394</v>
      </c>
      <c r="K301" s="2">
        <f t="shared" si="23"/>
        <v>-5.0243118561302903E-2</v>
      </c>
    </row>
    <row r="302" spans="1:11">
      <c r="A302" s="52">
        <f t="shared" si="19"/>
        <v>41548</v>
      </c>
      <c r="B302" s="53" t="s">
        <v>52</v>
      </c>
      <c r="C302" s="53">
        <v>2013</v>
      </c>
      <c r="D302" s="53" t="s">
        <v>109</v>
      </c>
      <c r="E302">
        <v>7643.7</v>
      </c>
      <c r="F302" s="55">
        <f t="shared" si="18"/>
        <v>195.39999999999964</v>
      </c>
      <c r="G302">
        <f t="shared" si="20"/>
        <v>7547.0166666666673</v>
      </c>
      <c r="H302" s="2">
        <f t="shared" si="24"/>
        <v>2.2353923959180122E-2</v>
      </c>
      <c r="I302">
        <f t="shared" si="21"/>
        <v>8027.6333333333341</v>
      </c>
      <c r="J302">
        <f t="shared" si="22"/>
        <v>-383.9333333333343</v>
      </c>
      <c r="K302" s="2">
        <f t="shared" si="23"/>
        <v>-4.7826466081742763E-2</v>
      </c>
    </row>
    <row r="303" spans="1:11">
      <c r="A303" s="52">
        <f t="shared" si="19"/>
        <v>41579</v>
      </c>
      <c r="B303" s="53" t="s">
        <v>52</v>
      </c>
      <c r="C303" s="53">
        <v>2013</v>
      </c>
      <c r="D303" s="53" t="s">
        <v>110</v>
      </c>
      <c r="E303">
        <v>7667.9</v>
      </c>
      <c r="F303" s="55">
        <f t="shared" si="18"/>
        <v>207.69999999999982</v>
      </c>
      <c r="G303">
        <f t="shared" si="20"/>
        <v>7564.3249999999998</v>
      </c>
      <c r="H303" s="2">
        <f t="shared" si="24"/>
        <v>2.2743943042117687E-2</v>
      </c>
      <c r="I303">
        <f t="shared" si="21"/>
        <v>8027.6333333333341</v>
      </c>
      <c r="J303">
        <f t="shared" si="22"/>
        <v>-359.73333333333449</v>
      </c>
      <c r="K303" s="2">
        <f t="shared" si="23"/>
        <v>-4.4811878968064614E-2</v>
      </c>
    </row>
    <row r="304" spans="1:11">
      <c r="A304" s="52">
        <f t="shared" si="19"/>
        <v>41609</v>
      </c>
      <c r="B304" s="53" t="s">
        <v>52</v>
      </c>
      <c r="C304" s="53">
        <v>2013</v>
      </c>
      <c r="D304" s="53" t="s">
        <v>111</v>
      </c>
      <c r="E304">
        <v>7686.1</v>
      </c>
      <c r="F304" s="55">
        <f t="shared" si="18"/>
        <v>213.5</v>
      </c>
      <c r="G304">
        <f t="shared" si="20"/>
        <v>7582.1166666666659</v>
      </c>
      <c r="H304" s="2">
        <f t="shared" si="24"/>
        <v>2.3270199052367158E-2</v>
      </c>
      <c r="I304">
        <f t="shared" si="21"/>
        <v>8027.6333333333341</v>
      </c>
      <c r="J304">
        <f t="shared" si="22"/>
        <v>-341.53333333333376</v>
      </c>
      <c r="K304" s="2">
        <f t="shared" si="23"/>
        <v>-4.2544710147033836E-2</v>
      </c>
    </row>
    <row r="305" spans="1:11">
      <c r="A305" s="52">
        <f t="shared" si="19"/>
        <v>41640</v>
      </c>
      <c r="B305" s="53" t="s">
        <v>52</v>
      </c>
      <c r="C305" s="53">
        <v>2014</v>
      </c>
      <c r="D305" s="53" t="s">
        <v>100</v>
      </c>
      <c r="E305">
        <v>7705.5</v>
      </c>
      <c r="F305" s="55">
        <f t="shared" si="18"/>
        <v>220.39999999999964</v>
      </c>
      <c r="G305">
        <f t="shared" si="20"/>
        <v>7600.4833333333336</v>
      </c>
      <c r="H305" s="2">
        <f t="shared" si="24"/>
        <v>2.3721439763660923E-2</v>
      </c>
      <c r="I305">
        <f t="shared" si="21"/>
        <v>8027.6333333333341</v>
      </c>
      <c r="J305">
        <f t="shared" si="22"/>
        <v>-322.13333333333412</v>
      </c>
      <c r="K305" s="2">
        <f t="shared" si="23"/>
        <v>-4.0128057667473696E-2</v>
      </c>
    </row>
    <row r="306" spans="1:11">
      <c r="A306" s="52">
        <f t="shared" si="19"/>
        <v>41671</v>
      </c>
      <c r="B306" s="53" t="s">
        <v>52</v>
      </c>
      <c r="C306" s="53">
        <v>2014</v>
      </c>
      <c r="D306" s="53" t="s">
        <v>101</v>
      </c>
      <c r="E306">
        <v>7723.6</v>
      </c>
      <c r="F306" s="55">
        <f t="shared" si="18"/>
        <v>214.20000000000073</v>
      </c>
      <c r="G306">
        <f t="shared" si="20"/>
        <v>7618.3333333333348</v>
      </c>
      <c r="H306" s="2">
        <f t="shared" si="24"/>
        <v>2.4178315920136306E-2</v>
      </c>
      <c r="I306">
        <f t="shared" si="21"/>
        <v>8027.6333333333341</v>
      </c>
      <c r="J306">
        <f t="shared" si="22"/>
        <v>-304.03333333333376</v>
      </c>
      <c r="K306" s="2">
        <f t="shared" si="23"/>
        <v>-3.7873345817987084E-2</v>
      </c>
    </row>
    <row r="307" spans="1:11">
      <c r="A307" s="52">
        <f t="shared" si="19"/>
        <v>41699</v>
      </c>
      <c r="B307" s="53" t="s">
        <v>52</v>
      </c>
      <c r="C307" s="53">
        <v>2014</v>
      </c>
      <c r="D307" s="53" t="s">
        <v>102</v>
      </c>
      <c r="E307">
        <v>7738.8</v>
      </c>
      <c r="F307" s="55">
        <f t="shared" si="18"/>
        <v>217.40000000000055</v>
      </c>
      <c r="G307">
        <f t="shared" si="20"/>
        <v>7636.4500000000007</v>
      </c>
      <c r="H307" s="2">
        <f t="shared" si="24"/>
        <v>2.4804460776967963E-2</v>
      </c>
      <c r="I307">
        <f t="shared" si="21"/>
        <v>8027.6333333333341</v>
      </c>
      <c r="J307">
        <f t="shared" si="22"/>
        <v>-288.83333333333394</v>
      </c>
      <c r="K307" s="2">
        <f t="shared" si="23"/>
        <v>-3.5979886143280161E-2</v>
      </c>
    </row>
    <row r="308" spans="1:11">
      <c r="A308" s="52">
        <f t="shared" si="19"/>
        <v>41730</v>
      </c>
      <c r="B308" s="53" t="s">
        <v>52</v>
      </c>
      <c r="C308" s="53">
        <v>2014</v>
      </c>
      <c r="D308" s="53" t="s">
        <v>103</v>
      </c>
      <c r="E308">
        <v>7767.8</v>
      </c>
      <c r="F308" s="55">
        <f t="shared" si="18"/>
        <v>237</v>
      </c>
      <c r="G308">
        <f t="shared" si="20"/>
        <v>7656.2000000000007</v>
      </c>
      <c r="H308" s="2">
        <f t="shared" si="24"/>
        <v>2.547319967586481E-2</v>
      </c>
      <c r="I308">
        <f t="shared" si="21"/>
        <v>8027.6333333333341</v>
      </c>
      <c r="J308">
        <f t="shared" si="22"/>
        <v>-259.83333333333394</v>
      </c>
      <c r="K308" s="2">
        <f t="shared" si="23"/>
        <v>-3.2367364395484002E-2</v>
      </c>
    </row>
    <row r="309" spans="1:11">
      <c r="A309" s="52">
        <f t="shared" si="19"/>
        <v>41760</v>
      </c>
      <c r="B309" s="53" t="s">
        <v>52</v>
      </c>
      <c r="C309" s="53">
        <v>2014</v>
      </c>
      <c r="D309" s="53" t="s">
        <v>104</v>
      </c>
      <c r="E309">
        <v>7790.6</v>
      </c>
      <c r="F309" s="55">
        <f t="shared" si="18"/>
        <v>242.30000000000018</v>
      </c>
      <c r="G309">
        <f t="shared" si="20"/>
        <v>7676.3916666666673</v>
      </c>
      <c r="H309" s="2">
        <f t="shared" si="24"/>
        <v>2.6120674866717764E-2</v>
      </c>
      <c r="I309">
        <f t="shared" si="21"/>
        <v>8027.6333333333341</v>
      </c>
      <c r="J309">
        <f t="shared" si="22"/>
        <v>-237.03333333333376</v>
      </c>
      <c r="K309" s="2">
        <f t="shared" si="23"/>
        <v>-2.9527174883423556E-2</v>
      </c>
    </row>
    <row r="310" spans="1:11">
      <c r="A310" s="52">
        <f t="shared" si="19"/>
        <v>41791</v>
      </c>
      <c r="B310" s="53" t="s">
        <v>52</v>
      </c>
      <c r="C310" s="53">
        <v>2014</v>
      </c>
      <c r="D310" s="53" t="s">
        <v>105</v>
      </c>
      <c r="E310">
        <v>7804.6</v>
      </c>
      <c r="F310" s="55">
        <f t="shared" si="18"/>
        <v>234</v>
      </c>
      <c r="G310">
        <f t="shared" si="20"/>
        <v>7695.8916666666673</v>
      </c>
      <c r="H310" s="2">
        <f t="shared" si="24"/>
        <v>2.652493653044985E-2</v>
      </c>
      <c r="I310">
        <f t="shared" si="21"/>
        <v>8027.6333333333341</v>
      </c>
      <c r="J310">
        <f t="shared" si="22"/>
        <v>-223.03333333333376</v>
      </c>
      <c r="K310" s="2">
        <f t="shared" si="23"/>
        <v>-2.7783198867246103E-2</v>
      </c>
    </row>
    <row r="311" spans="1:11">
      <c r="A311" s="52">
        <f t="shared" si="19"/>
        <v>41821</v>
      </c>
      <c r="B311" s="53" t="s">
        <v>52</v>
      </c>
      <c r="C311" s="53">
        <v>2014</v>
      </c>
      <c r="D311" s="53" t="s">
        <v>106</v>
      </c>
      <c r="E311">
        <v>7833.5</v>
      </c>
      <c r="F311" s="55">
        <f t="shared" si="18"/>
        <v>244.69999999999982</v>
      </c>
      <c r="G311">
        <f t="shared" si="20"/>
        <v>7716.2833333333338</v>
      </c>
      <c r="H311" s="2">
        <f t="shared" si="24"/>
        <v>2.6925414450423402E-2</v>
      </c>
      <c r="I311">
        <f t="shared" si="21"/>
        <v>8027.6333333333341</v>
      </c>
      <c r="J311">
        <f t="shared" si="22"/>
        <v>-194.13333333333412</v>
      </c>
      <c r="K311" s="2">
        <f t="shared" si="23"/>
        <v>-2.418313409099412E-2</v>
      </c>
    </row>
    <row r="312" spans="1:11">
      <c r="A312" s="52">
        <f t="shared" si="19"/>
        <v>41852</v>
      </c>
      <c r="B312" s="53" t="s">
        <v>52</v>
      </c>
      <c r="C312" s="53">
        <v>2014</v>
      </c>
      <c r="D312" s="53" t="s">
        <v>107</v>
      </c>
      <c r="E312">
        <v>7857.7</v>
      </c>
      <c r="F312" s="55">
        <f t="shared" si="18"/>
        <v>248.69999999999982</v>
      </c>
      <c r="G312">
        <f t="shared" si="20"/>
        <v>7737.0083333333341</v>
      </c>
      <c r="H312" s="2">
        <f t="shared" si="24"/>
        <v>2.7391090730429113E-2</v>
      </c>
      <c r="I312">
        <f t="shared" si="21"/>
        <v>8027.6333333333341</v>
      </c>
      <c r="J312">
        <f t="shared" si="22"/>
        <v>-169.9333333333343</v>
      </c>
      <c r="K312" s="2">
        <f t="shared" si="23"/>
        <v>-2.1168546977315975E-2</v>
      </c>
    </row>
    <row r="313" spans="1:11">
      <c r="A313" s="52">
        <f t="shared" si="19"/>
        <v>41883</v>
      </c>
      <c r="B313" s="53" t="s">
        <v>52</v>
      </c>
      <c r="C313" s="53">
        <v>2014</v>
      </c>
      <c r="D313" s="53" t="s">
        <v>108</v>
      </c>
      <c r="E313">
        <v>7878.2</v>
      </c>
      <c r="F313" s="55">
        <f t="shared" si="18"/>
        <v>253.89999999999964</v>
      </c>
      <c r="G313">
        <f t="shared" si="20"/>
        <v>7758.166666666667</v>
      </c>
      <c r="H313" s="2">
        <f t="shared" si="24"/>
        <v>2.7977942719087601E-2</v>
      </c>
      <c r="I313">
        <f t="shared" si="21"/>
        <v>8027.6333333333341</v>
      </c>
      <c r="J313">
        <f t="shared" si="22"/>
        <v>-149.4333333333343</v>
      </c>
      <c r="K313" s="2">
        <f t="shared" si="23"/>
        <v>-1.8614867810770416E-2</v>
      </c>
    </row>
    <row r="314" spans="1:11">
      <c r="A314" s="52">
        <f t="shared" si="19"/>
        <v>41913</v>
      </c>
      <c r="B314" s="53" t="s">
        <v>52</v>
      </c>
      <c r="C314" s="53">
        <v>2014</v>
      </c>
      <c r="D314" s="53" t="s">
        <v>109</v>
      </c>
      <c r="E314">
        <v>7910.3</v>
      </c>
      <c r="F314" s="55">
        <f t="shared" ref="F314:F324" si="25">E314-E302</f>
        <v>266.60000000000036</v>
      </c>
      <c r="G314">
        <f t="shared" si="20"/>
        <v>7780.3833333333323</v>
      </c>
      <c r="H314" s="2">
        <f t="shared" si="24"/>
        <v>2.8562804127709063E-2</v>
      </c>
      <c r="I314">
        <f t="shared" si="21"/>
        <v>8027.6333333333341</v>
      </c>
      <c r="J314">
        <f t="shared" si="22"/>
        <v>-117.33333333333394</v>
      </c>
      <c r="K314" s="2">
        <f t="shared" si="23"/>
        <v>-1.4616179945106353E-2</v>
      </c>
    </row>
    <row r="315" spans="1:11">
      <c r="A315" s="52">
        <f t="shared" si="19"/>
        <v>41944</v>
      </c>
      <c r="B315" s="53" t="s">
        <v>52</v>
      </c>
      <c r="C315" s="53">
        <v>2014</v>
      </c>
      <c r="D315" s="53" t="s">
        <v>110</v>
      </c>
      <c r="E315">
        <v>7945.2</v>
      </c>
      <c r="F315" s="55">
        <f t="shared" si="25"/>
        <v>277.30000000000018</v>
      </c>
      <c r="G315">
        <f t="shared" si="20"/>
        <v>7803.4916666666659</v>
      </c>
      <c r="H315" s="2">
        <f t="shared" si="24"/>
        <v>2.9196992044877579E-2</v>
      </c>
      <c r="I315">
        <f t="shared" si="21"/>
        <v>8027.6333333333341</v>
      </c>
      <c r="J315">
        <f t="shared" si="22"/>
        <v>-82.433333333334303</v>
      </c>
      <c r="K315" s="2">
        <f t="shared" si="23"/>
        <v>-1.0268696876206889E-2</v>
      </c>
    </row>
    <row r="316" spans="1:11">
      <c r="A316" s="52">
        <f t="shared" si="19"/>
        <v>41974</v>
      </c>
      <c r="B316" t="s">
        <v>52</v>
      </c>
      <c r="C316" s="53">
        <v>2014</v>
      </c>
      <c r="D316" s="53" t="s">
        <v>111</v>
      </c>
      <c r="E316">
        <v>7965.7</v>
      </c>
      <c r="F316" s="55">
        <f t="shared" si="25"/>
        <v>279.59999999999945</v>
      </c>
      <c r="G316">
        <f t="shared" si="20"/>
        <v>7826.791666666667</v>
      </c>
      <c r="H316" s="2">
        <f t="shared" si="24"/>
        <v>2.9775518662190414E-2</v>
      </c>
      <c r="I316">
        <f t="shared" si="21"/>
        <v>8027.6333333333341</v>
      </c>
      <c r="J316">
        <f t="shared" si="22"/>
        <v>-61.933333333334303</v>
      </c>
      <c r="K316" s="2">
        <f t="shared" si="23"/>
        <v>-7.7150177096613317E-3</v>
      </c>
    </row>
    <row r="317" spans="1:11">
      <c r="A317" s="52">
        <f t="shared" si="19"/>
        <v>42005</v>
      </c>
      <c r="B317" t="s">
        <v>52</v>
      </c>
      <c r="C317" s="53">
        <v>2015</v>
      </c>
      <c r="D317" s="53" t="s">
        <v>100</v>
      </c>
      <c r="E317">
        <v>7970.5</v>
      </c>
      <c r="F317" s="55">
        <f t="shared" si="25"/>
        <v>265</v>
      </c>
      <c r="G317">
        <f t="shared" si="20"/>
        <v>7848.8749999999991</v>
      </c>
      <c r="H317" s="2">
        <f t="shared" si="24"/>
        <v>3.0261430759133345E-2</v>
      </c>
      <c r="I317">
        <f t="shared" si="21"/>
        <v>8027.6333333333341</v>
      </c>
      <c r="J317">
        <f t="shared" si="22"/>
        <v>-57.133333333334122</v>
      </c>
      <c r="K317" s="2">
        <f t="shared" si="23"/>
        <v>-7.1170830755433257E-3</v>
      </c>
    </row>
    <row r="318" spans="1:11">
      <c r="A318" s="52">
        <f t="shared" si="19"/>
        <v>42036</v>
      </c>
      <c r="B318" t="s">
        <v>52</v>
      </c>
      <c r="C318" s="53">
        <v>2015</v>
      </c>
      <c r="D318" s="53" t="s">
        <v>101</v>
      </c>
      <c r="E318">
        <v>7992.3</v>
      </c>
      <c r="F318" s="55">
        <f t="shared" si="25"/>
        <v>268.69999999999982</v>
      </c>
      <c r="G318">
        <f t="shared" si="20"/>
        <v>7871.2666666666664</v>
      </c>
      <c r="H318" s="2">
        <f t="shared" si="24"/>
        <v>3.074945382562122E-2</v>
      </c>
      <c r="I318">
        <f t="shared" si="21"/>
        <v>8027.6333333333341</v>
      </c>
      <c r="J318">
        <f t="shared" si="22"/>
        <v>-35.33333333333394</v>
      </c>
      <c r="K318" s="2">
        <f t="shared" si="23"/>
        <v>-4.4014632789241247E-3</v>
      </c>
    </row>
    <row r="319" spans="1:11">
      <c r="A319" s="52">
        <f t="shared" si="19"/>
        <v>42064</v>
      </c>
      <c r="B319" t="s">
        <v>52</v>
      </c>
      <c r="C319" s="53">
        <v>2015</v>
      </c>
      <c r="D319" s="53" t="s">
        <v>102</v>
      </c>
      <c r="E319">
        <v>8021</v>
      </c>
      <c r="F319" s="55">
        <f t="shared" si="25"/>
        <v>282.19999999999982</v>
      </c>
      <c r="G319">
        <f t="shared" si="20"/>
        <v>7894.7833333333328</v>
      </c>
      <c r="H319" s="2">
        <f t="shared" si="24"/>
        <v>3.1162108269550348E-2</v>
      </c>
      <c r="I319">
        <f t="shared" si="21"/>
        <v>8027.6333333333341</v>
      </c>
      <c r="J319">
        <f t="shared" si="22"/>
        <v>-6.6333333333341216</v>
      </c>
      <c r="K319" s="2">
        <f t="shared" si="23"/>
        <v>-8.263124457603678E-4</v>
      </c>
    </row>
    <row r="320" spans="1:11">
      <c r="A320" s="52">
        <f t="shared" si="19"/>
        <v>42095</v>
      </c>
      <c r="B320" t="s">
        <v>52</v>
      </c>
      <c r="C320" s="53">
        <v>2015</v>
      </c>
      <c r="D320" s="53" t="s">
        <v>103</v>
      </c>
      <c r="E320">
        <v>8042</v>
      </c>
      <c r="F320" s="55">
        <f t="shared" si="25"/>
        <v>274.19999999999982</v>
      </c>
      <c r="G320">
        <f t="shared" si="20"/>
        <v>7917.6333333333323</v>
      </c>
      <c r="H320" s="2">
        <f t="shared" si="24"/>
        <v>3.1426440591119542E-2</v>
      </c>
      <c r="I320">
        <f t="shared" si="21"/>
        <v>8027.6333333333341</v>
      </c>
      <c r="J320">
        <f t="shared" si="22"/>
        <v>14.366666666665878</v>
      </c>
      <c r="K320" s="2">
        <f t="shared" si="23"/>
        <v>1.7896515785058124E-3</v>
      </c>
    </row>
    <row r="321" spans="1:11">
      <c r="A321" s="52">
        <f t="shared" si="19"/>
        <v>42125</v>
      </c>
      <c r="B321" t="s">
        <v>52</v>
      </c>
      <c r="C321" s="53">
        <v>2015</v>
      </c>
      <c r="D321" t="s">
        <v>104</v>
      </c>
      <c r="E321">
        <v>8063.8</v>
      </c>
      <c r="F321" s="55">
        <f t="shared" si="25"/>
        <v>273.19999999999982</v>
      </c>
      <c r="G321">
        <f t="shared" si="20"/>
        <v>7940.4000000000005</v>
      </c>
      <c r="H321" s="2">
        <f t="shared" si="24"/>
        <v>3.1771280564197202E-2</v>
      </c>
      <c r="I321">
        <f t="shared" si="21"/>
        <v>8027.6333333333341</v>
      </c>
      <c r="J321">
        <f t="shared" si="22"/>
        <v>36.16666666666606</v>
      </c>
      <c r="K321" s="2">
        <f t="shared" si="23"/>
        <v>4.5052713751250126E-3</v>
      </c>
    </row>
    <row r="322" spans="1:11">
      <c r="A322" s="52">
        <f t="shared" si="19"/>
        <v>42156</v>
      </c>
      <c r="B322" t="s">
        <v>52</v>
      </c>
      <c r="C322" s="53">
        <v>2015</v>
      </c>
      <c r="D322" s="53" t="s">
        <v>105</v>
      </c>
      <c r="E322">
        <v>8074.5</v>
      </c>
      <c r="F322" s="55">
        <f t="shared" si="25"/>
        <v>269.89999999999964</v>
      </c>
      <c r="G322">
        <f t="shared" si="20"/>
        <v>7962.8916666666664</v>
      </c>
      <c r="H322" s="2">
        <f t="shared" si="24"/>
        <v>3.1959470988839556E-2</v>
      </c>
      <c r="I322">
        <f t="shared" si="21"/>
        <v>8027.6333333333341</v>
      </c>
      <c r="J322">
        <f t="shared" si="22"/>
        <v>46.866666666665878</v>
      </c>
      <c r="K322" s="2">
        <f t="shared" si="23"/>
        <v>5.8381673303463293E-3</v>
      </c>
    </row>
    <row r="323" spans="1:11">
      <c r="A323" s="52">
        <f t="shared" si="19"/>
        <v>42186</v>
      </c>
      <c r="B323" t="s">
        <v>52</v>
      </c>
      <c r="C323" s="53">
        <v>2015</v>
      </c>
      <c r="D323" s="53" t="s">
        <v>106</v>
      </c>
      <c r="E323">
        <v>8099.6</v>
      </c>
      <c r="F323" s="55">
        <f t="shared" si="25"/>
        <v>266.10000000000036</v>
      </c>
      <c r="G323">
        <f t="shared" si="20"/>
        <v>7985.0666666666666</v>
      </c>
      <c r="H323" s="2">
        <f t="shared" si="24"/>
        <v>3.2061272606444424E-2</v>
      </c>
      <c r="I323">
        <f t="shared" si="21"/>
        <v>8027.6333333333341</v>
      </c>
      <c r="J323">
        <f t="shared" si="22"/>
        <v>71.966666666666242</v>
      </c>
      <c r="K323" s="2">
        <f t="shared" si="23"/>
        <v>8.9648671879216674E-3</v>
      </c>
    </row>
    <row r="324" spans="1:11">
      <c r="A324" s="52">
        <f t="shared" si="19"/>
        <v>42217</v>
      </c>
      <c r="B324" t="s">
        <v>52</v>
      </c>
      <c r="C324" s="53">
        <v>2015</v>
      </c>
      <c r="D324" s="53" t="s">
        <v>107</v>
      </c>
      <c r="E324">
        <v>8119.2</v>
      </c>
      <c r="F324" s="55">
        <f t="shared" si="25"/>
        <v>261.5</v>
      </c>
      <c r="G324">
        <f>AVERAGE(E313:E324)</f>
        <v>8006.8583333333336</v>
      </c>
      <c r="H324" s="2">
        <f t="shared" si="24"/>
        <v>3.2055468431115619E-2</v>
      </c>
      <c r="I324">
        <f t="shared" si="21"/>
        <v>8027.6333333333341</v>
      </c>
      <c r="J324">
        <f>E324-I324</f>
        <v>91.566666666665697</v>
      </c>
      <c r="K324" s="2">
        <f t="shared" si="23"/>
        <v>1.1406433610570034E-2</v>
      </c>
    </row>
  </sheetData>
  <mergeCells count="11">
    <mergeCell ref="B9:F9"/>
    <mergeCell ref="A4:F4"/>
    <mergeCell ref="A5:F5"/>
    <mergeCell ref="A6:F6"/>
    <mergeCell ref="B7:F7"/>
    <mergeCell ref="A8:F8"/>
    <mergeCell ref="B10:F10"/>
    <mergeCell ref="B11:F11"/>
    <mergeCell ref="B12:F12"/>
    <mergeCell ref="B13:F13"/>
    <mergeCell ref="B14:F1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C1:G36"/>
  <sheetViews>
    <sheetView workbookViewId="0">
      <selection activeCell="C2" sqref="C1:C2"/>
    </sheetView>
  </sheetViews>
  <sheetFormatPr defaultRowHeight="14.4"/>
  <cols>
    <col min="6" max="6" width="10.5546875" style="40" bestFit="1" customWidth="1"/>
    <col min="7" max="7" width="9.109375" style="317"/>
  </cols>
  <sheetData>
    <row r="1" spans="3:7" s="418" customFormat="1">
      <c r="C1" s="453" t="s">
        <v>308</v>
      </c>
      <c r="F1" s="40"/>
    </row>
    <row r="2" spans="3:7">
      <c r="C2" s="453" t="s">
        <v>290</v>
      </c>
    </row>
    <row r="4" spans="3:7">
      <c r="C4">
        <v>1990</v>
      </c>
      <c r="D4">
        <v>5359.6479336511666</v>
      </c>
    </row>
    <row r="5" spans="3:7">
      <c r="C5">
        <f>C4+1</f>
        <v>1991</v>
      </c>
      <c r="D5">
        <v>5273.1761198736131</v>
      </c>
      <c r="E5" s="2">
        <f>D5/D4-1</f>
        <v>-1.6133860814743106E-2</v>
      </c>
      <c r="F5" s="40">
        <f>'BLS Data Series (2)'!N4</f>
        <v>0</v>
      </c>
      <c r="G5" s="2"/>
    </row>
    <row r="6" spans="3:7">
      <c r="C6">
        <f t="shared" ref="C6:C34" si="0">C5+1</f>
        <v>1992</v>
      </c>
      <c r="D6">
        <v>5349.8148131776425</v>
      </c>
      <c r="E6" s="2">
        <f t="shared" ref="E6:G34" si="1">D6/D5-1</f>
        <v>1.4533687394811645E-2</v>
      </c>
      <c r="F6" s="40">
        <f>'BLS Data Series (2)'!N5</f>
        <v>0</v>
      </c>
      <c r="G6" s="2"/>
    </row>
    <row r="7" spans="3:7">
      <c r="C7">
        <f t="shared" si="0"/>
        <v>1993</v>
      </c>
      <c r="D7">
        <v>5567.9584288395245</v>
      </c>
      <c r="E7" s="2">
        <f t="shared" si="1"/>
        <v>4.0775919032664643E-2</v>
      </c>
      <c r="F7" s="40">
        <f>'BLS Data Series (2)'!N6</f>
        <v>0</v>
      </c>
      <c r="G7" s="2"/>
    </row>
    <row r="8" spans="3:7">
      <c r="C8">
        <f t="shared" si="0"/>
        <v>1994</v>
      </c>
      <c r="D8">
        <v>5795.5409946105901</v>
      </c>
      <c r="E8" s="2">
        <f t="shared" si="1"/>
        <v>4.0873610800017834E-2</v>
      </c>
      <c r="F8" s="40">
        <f>'BLS Data Series (2)'!N7</f>
        <v>0</v>
      </c>
      <c r="G8" s="2"/>
    </row>
    <row r="9" spans="3:7">
      <c r="C9">
        <f t="shared" si="0"/>
        <v>1995</v>
      </c>
      <c r="D9">
        <v>5988.7130145324163</v>
      </c>
      <c r="E9" s="2">
        <f t="shared" si="1"/>
        <v>3.3331145461909628E-2</v>
      </c>
      <c r="F9" s="40">
        <f>'BLS Data Series (2)'!N8</f>
        <v>0</v>
      </c>
      <c r="G9" s="2"/>
    </row>
    <row r="10" spans="3:7">
      <c r="C10">
        <f t="shared" si="0"/>
        <v>1996</v>
      </c>
      <c r="D10">
        <v>6175.8607872789662</v>
      </c>
      <c r="E10" s="2">
        <f t="shared" si="1"/>
        <v>3.1250081994647294E-2</v>
      </c>
      <c r="F10" s="40">
        <f>'BLS Data Series (2)'!N9</f>
        <v>0</v>
      </c>
      <c r="G10" s="2"/>
    </row>
    <row r="11" spans="3:7">
      <c r="C11">
        <f t="shared" si="0"/>
        <v>1997</v>
      </c>
      <c r="D11">
        <v>6415.1109954842368</v>
      </c>
      <c r="E11" s="2">
        <f t="shared" si="1"/>
        <v>3.8739572740706496E-2</v>
      </c>
      <c r="F11" s="40">
        <f>'BLS Data Series (2)'!N10</f>
        <v>0</v>
      </c>
      <c r="G11" s="2"/>
    </row>
    <row r="12" spans="3:7">
      <c r="C12">
        <f t="shared" si="0"/>
        <v>1998</v>
      </c>
      <c r="D12">
        <v>6625.0668288984716</v>
      </c>
      <c r="E12" s="2">
        <f t="shared" si="1"/>
        <v>3.2728324351991356E-2</v>
      </c>
      <c r="F12" s="40">
        <f>'BLS Data Series (2)'!N11</f>
        <v>0</v>
      </c>
      <c r="G12" s="2"/>
    </row>
    <row r="13" spans="3:7">
      <c r="C13">
        <f t="shared" si="0"/>
        <v>1999</v>
      </c>
      <c r="D13">
        <v>6819.0034625036524</v>
      </c>
      <c r="E13" s="2">
        <f t="shared" si="1"/>
        <v>2.9273158839580482E-2</v>
      </c>
      <c r="F13" s="40">
        <f>'BLS Data Series (2)'!N12</f>
        <v>0</v>
      </c>
      <c r="G13" s="2"/>
    </row>
    <row r="14" spans="3:7">
      <c r="C14">
        <f t="shared" si="0"/>
        <v>2000</v>
      </c>
      <c r="D14">
        <v>7071.1423628135017</v>
      </c>
      <c r="E14" s="2">
        <f t="shared" si="1"/>
        <v>3.6975916157883093E-2</v>
      </c>
      <c r="F14" s="40">
        <f>'BLS Data Series (2)'!N13</f>
        <v>0</v>
      </c>
      <c r="G14" s="2"/>
    </row>
    <row r="15" spans="3:7">
      <c r="C15">
        <f t="shared" si="0"/>
        <v>2001</v>
      </c>
      <c r="D15">
        <v>7142.4154413147735</v>
      </c>
      <c r="E15" s="2">
        <f t="shared" si="1"/>
        <v>1.0079429156466979E-2</v>
      </c>
      <c r="F15" s="40">
        <f>'BLS Data Series (2)'!N14</f>
        <v>0</v>
      </c>
      <c r="G15" s="2"/>
    </row>
    <row r="16" spans="3:7">
      <c r="C16">
        <f t="shared" si="0"/>
        <v>2002</v>
      </c>
      <c r="D16">
        <v>7159.8478056975255</v>
      </c>
      <c r="E16" s="2">
        <f t="shared" si="1"/>
        <v>2.4406819410021097E-3</v>
      </c>
      <c r="F16" s="40">
        <f>'BLS Data Series (2)'!N15</f>
        <v>0</v>
      </c>
      <c r="G16" s="2"/>
    </row>
    <row r="17" spans="3:7">
      <c r="C17">
        <f t="shared" si="0"/>
        <v>2003</v>
      </c>
      <c r="D17">
        <v>7244.7282770586671</v>
      </c>
      <c r="E17" s="2">
        <f t="shared" si="1"/>
        <v>1.1855066429428351E-2</v>
      </c>
      <c r="F17" s="40">
        <f>'BLS Data Series (2)'!N16</f>
        <v>0</v>
      </c>
      <c r="G17" s="2"/>
    </row>
    <row r="18" spans="3:7">
      <c r="C18">
        <f t="shared" si="0"/>
        <v>2004</v>
      </c>
      <c r="D18">
        <v>7505.357117548755</v>
      </c>
      <c r="E18" s="2">
        <f t="shared" si="1"/>
        <v>3.5974964211618721E-2</v>
      </c>
      <c r="F18" s="40">
        <f>'BLS Data Series (2)'!N17</f>
        <v>7480.5666666666657</v>
      </c>
      <c r="G18" s="2"/>
    </row>
    <row r="19" spans="3:7">
      <c r="C19">
        <f t="shared" si="0"/>
        <v>2005</v>
      </c>
      <c r="D19">
        <v>7803.3001346922492</v>
      </c>
      <c r="E19" s="2">
        <f t="shared" si="1"/>
        <v>3.9697380481316991E-2</v>
      </c>
      <c r="F19" s="40">
        <f>'BLS Data Series (2)'!N18</f>
        <v>7780.9500000000007</v>
      </c>
      <c r="G19" s="2">
        <f t="shared" si="1"/>
        <v>4.0155157586100998E-2</v>
      </c>
    </row>
    <row r="20" spans="3:7">
      <c r="C20">
        <f t="shared" si="0"/>
        <v>2006</v>
      </c>
      <c r="D20">
        <v>7994.6045018564118</v>
      </c>
      <c r="E20" s="2">
        <f t="shared" si="1"/>
        <v>2.451582841388511E-2</v>
      </c>
      <c r="F20" s="40">
        <f>'BLS Data Series (2)'!N19</f>
        <v>7984.0083333333341</v>
      </c>
      <c r="G20" s="2">
        <f t="shared" si="1"/>
        <v>2.6096856210788388E-2</v>
      </c>
    </row>
    <row r="21" spans="3:7">
      <c r="C21">
        <f t="shared" si="0"/>
        <v>2007</v>
      </c>
      <c r="D21">
        <v>7987.4738128808531</v>
      </c>
      <c r="E21" s="2">
        <f t="shared" si="1"/>
        <v>-8.9193767795558987E-4</v>
      </c>
      <c r="F21" s="40">
        <f>'BLS Data Series (2)'!N20</f>
        <v>7999.1666666666679</v>
      </c>
      <c r="G21" s="2">
        <f t="shared" si="1"/>
        <v>1.8985868626975044E-3</v>
      </c>
    </row>
    <row r="22" spans="3:7">
      <c r="C22">
        <f t="shared" si="0"/>
        <v>2008</v>
      </c>
      <c r="D22">
        <v>7672.9079472956901</v>
      </c>
      <c r="E22" s="2">
        <f t="shared" si="1"/>
        <v>-3.9382397107566636E-2</v>
      </c>
      <c r="F22" s="40">
        <f>'BLS Data Series (2)'!N21</f>
        <v>7715.0333333333338</v>
      </c>
      <c r="G22" s="2">
        <f t="shared" si="1"/>
        <v>-3.5520366704865136E-2</v>
      </c>
    </row>
    <row r="23" spans="3:7">
      <c r="C23">
        <f t="shared" si="0"/>
        <v>2009</v>
      </c>
      <c r="D23">
        <v>7207.8971757941517</v>
      </c>
      <c r="E23" s="2">
        <f t="shared" si="1"/>
        <v>-6.0604242185054669E-2</v>
      </c>
      <c r="F23" s="40">
        <f>'BLS Data Series (2)'!N22</f>
        <v>7230.5999999999995</v>
      </c>
      <c r="G23" s="2">
        <f t="shared" si="1"/>
        <v>-6.279082829627014E-2</v>
      </c>
    </row>
    <row r="24" spans="3:7">
      <c r="C24">
        <f t="shared" si="0"/>
        <v>2010</v>
      </c>
      <c r="D24">
        <v>7179.520148286836</v>
      </c>
      <c r="E24" s="2">
        <f t="shared" si="1"/>
        <v>-3.9369356714206161E-3</v>
      </c>
      <c r="F24" s="40">
        <f>'BLS Data Series (2)'!N23</f>
        <v>7172.6416666666664</v>
      </c>
      <c r="G24" s="2">
        <f t="shared" si="1"/>
        <v>-8.0157017859282531E-3</v>
      </c>
    </row>
    <row r="25" spans="3:7">
      <c r="C25">
        <f t="shared" si="0"/>
        <v>2011</v>
      </c>
      <c r="D25">
        <v>7261.3588385944158</v>
      </c>
      <c r="E25" s="2">
        <f t="shared" si="1"/>
        <v>1.1398908090968662E-2</v>
      </c>
      <c r="F25" s="40">
        <f>'BLS Data Series (2)'!N24</f>
        <v>7251.6083333333336</v>
      </c>
      <c r="G25" s="2">
        <f t="shared" si="1"/>
        <v>1.100942586239162E-2</v>
      </c>
    </row>
    <row r="26" spans="3:7">
      <c r="C26">
        <f t="shared" si="0"/>
        <v>2012</v>
      </c>
      <c r="D26">
        <v>7410.4490009542897</v>
      </c>
      <c r="E26" s="2">
        <f t="shared" si="1"/>
        <v>2.0531992106966657E-2</v>
      </c>
      <c r="F26" s="40">
        <f>'BLS Data Series (2)'!N25</f>
        <v>7396.1083333333345</v>
      </c>
      <c r="G26" s="2">
        <f t="shared" si="1"/>
        <v>1.9926613981036567E-2</v>
      </c>
    </row>
    <row r="27" spans="3:7">
      <c r="C27">
        <f t="shared" si="0"/>
        <v>2013</v>
      </c>
      <c r="D27">
        <v>7599.9097620606008</v>
      </c>
      <c r="E27" s="2">
        <f t="shared" si="1"/>
        <v>2.5566704673618768E-2</v>
      </c>
      <c r="F27" s="40">
        <f>'BLS Data Series (2)'!N26</f>
        <v>7582.1166666666659</v>
      </c>
      <c r="G27" s="2">
        <f t="shared" si="1"/>
        <v>2.5149487399341419E-2</v>
      </c>
    </row>
    <row r="28" spans="3:7">
      <c r="C28">
        <f t="shared" si="0"/>
        <v>2014</v>
      </c>
      <c r="D28">
        <v>7849.6334995718826</v>
      </c>
      <c r="E28" s="2">
        <f t="shared" si="1"/>
        <v>3.2858776660470879E-2</v>
      </c>
      <c r="F28" s="40">
        <f>'BLS Data Series (2)'!N27</f>
        <v>7826.791666666667</v>
      </c>
      <c r="G28" s="2">
        <f t="shared" si="1"/>
        <v>3.2270012551464555E-2</v>
      </c>
    </row>
    <row r="29" spans="3:7">
      <c r="C29">
        <f t="shared" si="0"/>
        <v>2015</v>
      </c>
      <c r="D29">
        <v>8104.5091074352067</v>
      </c>
      <c r="E29" s="2">
        <f t="shared" si="1"/>
        <v>3.2469746247034914E-2</v>
      </c>
      <c r="F29" s="40">
        <f>'BLS Data Series (2)'!N28</f>
        <v>8084.6500000000005</v>
      </c>
      <c r="G29" s="218">
        <f t="shared" si="1"/>
        <v>3.2945598185718961E-2</v>
      </c>
    </row>
    <row r="30" spans="3:7">
      <c r="C30">
        <f t="shared" si="0"/>
        <v>2016</v>
      </c>
      <c r="D30">
        <v>8297.795725031212</v>
      </c>
      <c r="E30" s="2">
        <f t="shared" si="1"/>
        <v>2.3849268972834015E-2</v>
      </c>
      <c r="F30" s="40">
        <f>D30</f>
        <v>8297.795725031212</v>
      </c>
      <c r="G30" s="218">
        <f t="shared" si="1"/>
        <v>2.6364248920016431E-2</v>
      </c>
    </row>
    <row r="31" spans="3:7">
      <c r="C31">
        <f t="shared" si="0"/>
        <v>2017</v>
      </c>
      <c r="D31">
        <v>8459.6643208159985</v>
      </c>
      <c r="E31" s="2">
        <f t="shared" si="1"/>
        <v>1.9507421145171344E-2</v>
      </c>
      <c r="F31" s="40">
        <f t="shared" ref="F31:F34" si="2">D31</f>
        <v>8459.6643208159985</v>
      </c>
      <c r="G31" s="218">
        <f t="shared" si="1"/>
        <v>1.9507421145171344E-2</v>
      </c>
    </row>
    <row r="32" spans="3:7">
      <c r="C32">
        <f t="shared" si="0"/>
        <v>2018</v>
      </c>
      <c r="D32">
        <v>8591.9947192646214</v>
      </c>
      <c r="E32" s="2">
        <f t="shared" si="1"/>
        <v>1.5642511739267118E-2</v>
      </c>
      <c r="F32" s="40">
        <f t="shared" si="2"/>
        <v>8591.9947192646214</v>
      </c>
      <c r="G32" s="218">
        <f t="shared" si="1"/>
        <v>1.5642511739267118E-2</v>
      </c>
    </row>
    <row r="33" spans="3:7">
      <c r="C33">
        <f t="shared" si="0"/>
        <v>2019</v>
      </c>
      <c r="D33">
        <v>8706.8194139636016</v>
      </c>
      <c r="E33" s="2">
        <f t="shared" si="1"/>
        <v>1.3364148658230102E-2</v>
      </c>
      <c r="F33" s="40">
        <f t="shared" si="2"/>
        <v>8706.8194139636016</v>
      </c>
      <c r="G33" s="218">
        <f t="shared" si="1"/>
        <v>1.3364148658230102E-2</v>
      </c>
    </row>
    <row r="34" spans="3:7">
      <c r="C34">
        <f t="shared" si="0"/>
        <v>2020</v>
      </c>
      <c r="D34">
        <v>8826.8588488999358</v>
      </c>
      <c r="E34" s="2">
        <f t="shared" si="1"/>
        <v>1.378682952167587E-2</v>
      </c>
      <c r="F34" s="40">
        <f t="shared" si="2"/>
        <v>8826.8588488999358</v>
      </c>
      <c r="G34" s="218">
        <f t="shared" si="1"/>
        <v>1.378682952167587E-2</v>
      </c>
    </row>
    <row r="35" spans="3:7">
      <c r="G35" s="360"/>
    </row>
    <row r="36" spans="3:7">
      <c r="C36" t="s">
        <v>6</v>
      </c>
      <c r="E36" s="2">
        <f>(D34/D29)^(1/5)-1</f>
        <v>1.7222349253785518E-2</v>
      </c>
      <c r="G36" s="218">
        <f>(F34/F29)^(1/5)-1</f>
        <v>1.7721599272761734E-2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50"/>
  <sheetViews>
    <sheetView workbookViewId="0">
      <selection activeCell="A2" sqref="A1:A2"/>
    </sheetView>
  </sheetViews>
  <sheetFormatPr defaultRowHeight="14.4"/>
  <cols>
    <col min="1" max="1" width="9.88671875" bestFit="1" customWidth="1"/>
    <col min="2" max="2" width="8.88671875" bestFit="1" customWidth="1"/>
    <col min="3" max="3" width="9.88671875" bestFit="1" customWidth="1"/>
    <col min="9" max="9" width="9.5546875" bestFit="1" customWidth="1"/>
    <col min="11" max="11" width="18.44140625" customWidth="1"/>
  </cols>
  <sheetData>
    <row r="1" spans="1:18" s="418" customFormat="1">
      <c r="A1" s="453" t="s">
        <v>291</v>
      </c>
    </row>
    <row r="2" spans="1:18" s="418" customFormat="1">
      <c r="A2" s="453" t="s">
        <v>290</v>
      </c>
    </row>
    <row r="3" spans="1:18" s="418" customFormat="1"/>
    <row r="4" spans="1:18">
      <c r="A4" t="s">
        <v>267</v>
      </c>
    </row>
    <row r="5" spans="1:18">
      <c r="C5" s="41" t="s">
        <v>224</v>
      </c>
      <c r="D5" s="41" t="s">
        <v>225</v>
      </c>
      <c r="E5" s="41" t="s">
        <v>226</v>
      </c>
      <c r="F5" s="41" t="s">
        <v>227</v>
      </c>
      <c r="G5" s="41" t="s">
        <v>228</v>
      </c>
      <c r="H5" s="41" t="s">
        <v>232</v>
      </c>
      <c r="I5" s="41" t="s">
        <v>229</v>
      </c>
      <c r="J5" s="41" t="s">
        <v>287</v>
      </c>
      <c r="K5" s="41" t="s">
        <v>231</v>
      </c>
      <c r="L5" s="41" t="s">
        <v>257</v>
      </c>
      <c r="M5" s="41" t="s">
        <v>258</v>
      </c>
      <c r="N5" s="41" t="s">
        <v>288</v>
      </c>
      <c r="O5" s="41">
        <v>0</v>
      </c>
    </row>
    <row r="7" spans="1:18">
      <c r="B7">
        <v>2008</v>
      </c>
      <c r="C7" s="1">
        <v>845297.40030497883</v>
      </c>
      <c r="D7" s="1">
        <v>258225</v>
      </c>
      <c r="E7" s="1">
        <v>0</v>
      </c>
      <c r="F7" s="1">
        <v>6959.0720000000001</v>
      </c>
      <c r="G7" s="1">
        <v>3250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1113731.4723049789</v>
      </c>
      <c r="O7" s="1">
        <v>1113731.4723049786</v>
      </c>
      <c r="Q7" s="1">
        <f>C7+E7</f>
        <v>845297.40030497883</v>
      </c>
      <c r="R7" s="2">
        <f>Q7/O7</f>
        <v>0.7589777440297627</v>
      </c>
    </row>
    <row r="8" spans="1:18">
      <c r="B8">
        <f>B7+1</f>
        <v>2009</v>
      </c>
      <c r="C8" s="1">
        <v>855689.8772383969</v>
      </c>
      <c r="D8" s="1">
        <v>225928</v>
      </c>
      <c r="E8" s="1">
        <v>0</v>
      </c>
      <c r="F8" s="1">
        <v>6243.2070000000003</v>
      </c>
      <c r="G8" s="1">
        <v>213450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1301311.0842383967</v>
      </c>
      <c r="O8" s="1">
        <v>1301311.084238397</v>
      </c>
      <c r="Q8" s="1">
        <f t="shared" ref="Q8:Q19" si="0">C8+E8</f>
        <v>855689.8772383969</v>
      </c>
      <c r="R8" s="2">
        <f t="shared" ref="R8:R19" si="1">Q8/O8</f>
        <v>0.65755981609823644</v>
      </c>
    </row>
    <row r="9" spans="1:18">
      <c r="A9" s="1"/>
      <c r="B9" s="225">
        <f t="shared" ref="B9:B19" si="2">B8+1</f>
        <v>2010</v>
      </c>
      <c r="C9" s="1">
        <v>866210.12408660795</v>
      </c>
      <c r="D9" s="1">
        <v>227430</v>
      </c>
      <c r="E9" s="1">
        <v>1210527.0390000001</v>
      </c>
      <c r="F9" s="1">
        <v>6592.3580000000002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2310759.5210866085</v>
      </c>
      <c r="O9" s="1">
        <v>2310759.5210866081</v>
      </c>
      <c r="Q9" s="1">
        <f t="shared" si="0"/>
        <v>2076737.1630866081</v>
      </c>
      <c r="R9" s="2">
        <f t="shared" si="1"/>
        <v>0.89872491885700256</v>
      </c>
    </row>
    <row r="10" spans="1:18">
      <c r="A10" s="1"/>
      <c r="B10" s="225">
        <f t="shared" si="2"/>
        <v>2011</v>
      </c>
      <c r="C10" s="1">
        <v>793187.71005169151</v>
      </c>
      <c r="D10" s="1">
        <v>226755</v>
      </c>
      <c r="E10" s="1">
        <v>1177915.2519999999</v>
      </c>
      <c r="F10" s="1">
        <v>7159.0049999999992</v>
      </c>
      <c r="G10" s="1">
        <v>0</v>
      </c>
      <c r="H10" s="1">
        <v>0</v>
      </c>
      <c r="I10" s="1">
        <v>13628.775</v>
      </c>
      <c r="J10" s="1">
        <v>0</v>
      </c>
      <c r="K10" s="1">
        <v>0</v>
      </c>
      <c r="L10" s="1">
        <v>0</v>
      </c>
      <c r="M10" s="1">
        <v>0</v>
      </c>
      <c r="N10" s="1">
        <v>2218645.7420516917</v>
      </c>
      <c r="O10" s="1">
        <v>2218645.7420516913</v>
      </c>
      <c r="P10" s="1"/>
      <c r="Q10" s="1">
        <f t="shared" si="0"/>
        <v>1971102.9620516915</v>
      </c>
      <c r="R10" s="2">
        <f t="shared" si="1"/>
        <v>0.88842618030083309</v>
      </c>
    </row>
    <row r="11" spans="1:18">
      <c r="A11" s="1"/>
      <c r="B11" s="225">
        <f t="shared" si="2"/>
        <v>2012</v>
      </c>
      <c r="C11" s="1">
        <v>736959.87399999995</v>
      </c>
      <c r="D11" s="1">
        <v>225675</v>
      </c>
      <c r="E11" s="1">
        <v>1184367.7139943468</v>
      </c>
      <c r="F11" s="1">
        <v>6108.3960000000006</v>
      </c>
      <c r="G11" s="1">
        <v>0</v>
      </c>
      <c r="H11" s="1">
        <v>0</v>
      </c>
      <c r="I11" s="1">
        <v>63284.559886288225</v>
      </c>
      <c r="J11" s="1">
        <v>27612.84231018924</v>
      </c>
      <c r="K11" s="1">
        <v>0</v>
      </c>
      <c r="L11" s="1">
        <v>0</v>
      </c>
      <c r="M11" s="1">
        <v>0</v>
      </c>
      <c r="N11" s="1">
        <v>2244008.3861908242</v>
      </c>
      <c r="O11" s="1">
        <v>2244008.3861908247</v>
      </c>
      <c r="P11" s="1"/>
      <c r="Q11" s="1">
        <f t="shared" si="0"/>
        <v>1921327.5879943469</v>
      </c>
      <c r="R11" s="2">
        <f t="shared" si="1"/>
        <v>0.85620339024480019</v>
      </c>
    </row>
    <row r="12" spans="1:18">
      <c r="A12" s="1"/>
      <c r="B12" s="225">
        <f t="shared" si="2"/>
        <v>2013</v>
      </c>
      <c r="C12" s="1">
        <v>758684.10199999996</v>
      </c>
      <c r="D12" s="1">
        <v>86175</v>
      </c>
      <c r="E12" s="1">
        <v>1202479.9526656251</v>
      </c>
      <c r="F12" s="1">
        <v>5251.1829000000007</v>
      </c>
      <c r="G12" s="1">
        <v>0</v>
      </c>
      <c r="H12" s="1">
        <v>0</v>
      </c>
      <c r="I12" s="1">
        <v>61754.245287379017</v>
      </c>
      <c r="J12" s="1">
        <v>38143.791103609714</v>
      </c>
      <c r="K12" s="1">
        <v>0</v>
      </c>
      <c r="L12" s="1">
        <v>0</v>
      </c>
      <c r="M12" s="1">
        <v>0</v>
      </c>
      <c r="N12" s="1">
        <v>2152488.2739566136</v>
      </c>
      <c r="O12" s="1">
        <v>2152488.2739566136</v>
      </c>
      <c r="P12" s="1"/>
      <c r="Q12" s="1">
        <f t="shared" si="0"/>
        <v>1961164.0546656251</v>
      </c>
      <c r="R12" s="2">
        <f t="shared" si="1"/>
        <v>0.91111486106295747</v>
      </c>
    </row>
    <row r="13" spans="1:18">
      <c r="A13" s="1"/>
      <c r="B13" s="225">
        <f t="shared" si="2"/>
        <v>2014</v>
      </c>
      <c r="C13" s="1">
        <v>780476.94840296113</v>
      </c>
      <c r="D13" s="1">
        <v>0</v>
      </c>
      <c r="E13" s="1">
        <v>3831423.6471617003</v>
      </c>
      <c r="F13" s="1">
        <v>0</v>
      </c>
      <c r="G13" s="1">
        <v>504600</v>
      </c>
      <c r="H13" s="1">
        <v>182238</v>
      </c>
      <c r="I13" s="1">
        <v>63201.285238373661</v>
      </c>
      <c r="J13" s="1">
        <v>38687.628941096271</v>
      </c>
      <c r="K13" s="1">
        <v>197018</v>
      </c>
      <c r="L13" s="1">
        <v>0</v>
      </c>
      <c r="M13" s="1">
        <v>0</v>
      </c>
      <c r="N13" s="1">
        <v>5597645.5097441319</v>
      </c>
      <c r="O13" s="1">
        <v>5597645.5097441319</v>
      </c>
      <c r="P13" s="1"/>
      <c r="Q13" s="1">
        <f t="shared" si="0"/>
        <v>4611900.5955646615</v>
      </c>
      <c r="R13" s="2">
        <f t="shared" si="1"/>
        <v>0.82390008219285593</v>
      </c>
    </row>
    <row r="14" spans="1:18" s="314" customFormat="1">
      <c r="A14" s="313"/>
      <c r="B14" s="314">
        <f t="shared" si="2"/>
        <v>2015</v>
      </c>
      <c r="C14" s="313">
        <f>SUM('wholesale NEL'!C221:C232)</f>
        <v>832549.23299999989</v>
      </c>
      <c r="D14" s="313">
        <f>SUM('wholesale NEL'!D221:D232)</f>
        <v>0</v>
      </c>
      <c r="E14" s="313">
        <f>SUM('wholesale NEL'!G221:G232)</f>
        <v>4062944.2506018844</v>
      </c>
      <c r="G14" s="313">
        <f>SUM('wholesale NEL'!F221:F232)</f>
        <v>1200740</v>
      </c>
      <c r="H14" s="313">
        <f>SUM('wholesale NEL'!K221:K232)</f>
        <v>239390</v>
      </c>
      <c r="I14" s="313">
        <f>SUM('wholesale NEL'!H221:H232)</f>
        <v>64892.166587272077</v>
      </c>
      <c r="J14" s="313">
        <f>SUM('wholesale NEL'!I221:I232)</f>
        <v>38188.468936274279</v>
      </c>
      <c r="K14" s="313">
        <f>SUM('wholesale NEL'!J221:J232)</f>
        <v>206878.06099999999</v>
      </c>
      <c r="L14" s="313">
        <f>SUM('wholesale NEL'!L221:L232)</f>
        <v>84907</v>
      </c>
      <c r="M14" s="313">
        <f>SUM('wholesale NEL'!M221:M232)</f>
        <v>0</v>
      </c>
      <c r="N14" s="313">
        <f>SUM(C14:M14)</f>
        <v>6730489.1801254293</v>
      </c>
      <c r="O14" s="313">
        <v>6413783.9236885142</v>
      </c>
      <c r="P14" s="313">
        <f>SUM('wholesale NEL'!N221:N232)</f>
        <v>6730489.1801254312</v>
      </c>
      <c r="Q14" s="313" t="e">
        <f>C14+#REF!</f>
        <v>#REF!</v>
      </c>
      <c r="R14" s="315" t="e">
        <f t="shared" si="1"/>
        <v>#REF!</v>
      </c>
    </row>
    <row r="15" spans="1:18">
      <c r="A15" s="1" t="s">
        <v>1</v>
      </c>
      <c r="B15" s="225">
        <f t="shared" si="2"/>
        <v>2016</v>
      </c>
      <c r="C15" s="1">
        <v>804974.43736751343</v>
      </c>
      <c r="D15" s="1">
        <v>0</v>
      </c>
      <c r="E15" s="1">
        <v>3969952.3279999997</v>
      </c>
      <c r="F15" s="1">
        <v>0</v>
      </c>
      <c r="G15" s="1">
        <v>1102340</v>
      </c>
      <c r="H15" s="1">
        <v>285480</v>
      </c>
      <c r="I15" s="1">
        <v>63764.657514347076</v>
      </c>
      <c r="J15" s="1">
        <v>38634.885805209509</v>
      </c>
      <c r="K15" s="1">
        <v>270200.33028999984</v>
      </c>
      <c r="L15" s="1">
        <v>144</v>
      </c>
      <c r="M15" s="1">
        <v>152</v>
      </c>
      <c r="N15" s="1">
        <v>6535642.6389770703</v>
      </c>
      <c r="O15" s="1">
        <v>6535642.6389770694</v>
      </c>
      <c r="P15" s="1"/>
      <c r="Q15" s="1">
        <f t="shared" si="0"/>
        <v>4774926.7653675135</v>
      </c>
      <c r="R15" s="2">
        <f t="shared" si="1"/>
        <v>0.7305978966614467</v>
      </c>
    </row>
    <row r="16" spans="1:18">
      <c r="A16" s="1"/>
      <c r="B16" s="225">
        <f t="shared" si="2"/>
        <v>2017</v>
      </c>
      <c r="C16" s="1">
        <v>814871.16515741893</v>
      </c>
      <c r="D16" s="1">
        <v>0</v>
      </c>
      <c r="E16" s="1">
        <v>4029501.6120000007</v>
      </c>
      <c r="F16" s="1">
        <v>0</v>
      </c>
      <c r="G16" s="1">
        <v>1102340</v>
      </c>
      <c r="H16" s="1">
        <v>360</v>
      </c>
      <c r="I16" s="1">
        <v>0</v>
      </c>
      <c r="J16" s="1">
        <v>0</v>
      </c>
      <c r="K16" s="1">
        <v>480</v>
      </c>
      <c r="L16" s="1">
        <v>168</v>
      </c>
      <c r="M16" s="1">
        <v>152</v>
      </c>
      <c r="N16" s="1">
        <v>5947872.7771574194</v>
      </c>
      <c r="O16" s="1">
        <v>5947872.7771574194</v>
      </c>
      <c r="P16" s="1"/>
      <c r="Q16" s="1">
        <f t="shared" si="0"/>
        <v>4844372.7771574194</v>
      </c>
      <c r="R16" s="2">
        <f t="shared" si="1"/>
        <v>0.81447148563130833</v>
      </c>
    </row>
    <row r="17" spans="1:18">
      <c r="A17" s="1"/>
      <c r="B17" s="225">
        <f t="shared" si="2"/>
        <v>2018</v>
      </c>
      <c r="C17" s="1">
        <v>824889.56789301324</v>
      </c>
      <c r="D17" s="1">
        <v>0</v>
      </c>
      <c r="E17" s="1">
        <v>4089944.14</v>
      </c>
      <c r="F17" s="1">
        <v>0</v>
      </c>
      <c r="G17" s="1">
        <v>1102340</v>
      </c>
      <c r="H17" s="1">
        <v>360</v>
      </c>
      <c r="I17" s="1">
        <v>0</v>
      </c>
      <c r="J17" s="1">
        <v>0</v>
      </c>
      <c r="K17" s="1">
        <v>480</v>
      </c>
      <c r="L17" s="1">
        <v>192</v>
      </c>
      <c r="M17" s="1">
        <v>152</v>
      </c>
      <c r="N17" s="1">
        <v>6018357.707893013</v>
      </c>
      <c r="O17" s="1">
        <v>6018357.707893013</v>
      </c>
      <c r="P17" s="1"/>
      <c r="Q17" s="1">
        <f t="shared" si="0"/>
        <v>4914833.707893013</v>
      </c>
      <c r="R17" s="2">
        <f t="shared" si="1"/>
        <v>0.81664034383454143</v>
      </c>
    </row>
    <row r="18" spans="1:18">
      <c r="A18" s="1"/>
      <c r="B18" s="225">
        <f t="shared" si="2"/>
        <v>2019</v>
      </c>
      <c r="C18" s="1">
        <v>835031.14150231611</v>
      </c>
      <c r="D18" s="1">
        <v>0</v>
      </c>
      <c r="E18" s="1">
        <v>4151293.3000000003</v>
      </c>
      <c r="F18" s="1">
        <v>0</v>
      </c>
      <c r="G18" s="1">
        <v>1102340</v>
      </c>
      <c r="H18" s="1">
        <v>360</v>
      </c>
      <c r="I18" s="1">
        <v>0</v>
      </c>
      <c r="J18" s="1">
        <v>0</v>
      </c>
      <c r="K18" s="1">
        <v>480</v>
      </c>
      <c r="L18" s="1">
        <v>192</v>
      </c>
      <c r="M18" s="1">
        <v>152</v>
      </c>
      <c r="N18" s="1">
        <v>6089512.4415023159</v>
      </c>
      <c r="O18" s="1">
        <v>6089848.4415023159</v>
      </c>
      <c r="P18" s="1"/>
      <c r="Q18" s="1">
        <f t="shared" si="0"/>
        <v>4986324.4415023159</v>
      </c>
      <c r="R18" s="2">
        <f t="shared" si="1"/>
        <v>0.81879286313933786</v>
      </c>
    </row>
    <row r="19" spans="1:18">
      <c r="A19" s="1"/>
      <c r="B19" s="225">
        <f t="shared" si="2"/>
        <v>2020</v>
      </c>
      <c r="C19" s="1">
        <v>845297.40030497883</v>
      </c>
      <c r="D19" s="1">
        <v>0</v>
      </c>
      <c r="E19" s="1">
        <v>4213562.6979999999</v>
      </c>
      <c r="F19" s="1">
        <v>0</v>
      </c>
      <c r="G19" s="1">
        <v>1102340</v>
      </c>
      <c r="H19" s="1">
        <v>0</v>
      </c>
      <c r="I19" s="1">
        <v>0</v>
      </c>
      <c r="J19" s="1">
        <v>0</v>
      </c>
      <c r="K19" s="1">
        <v>0</v>
      </c>
      <c r="L19" s="1">
        <v>216</v>
      </c>
      <c r="M19" s="1">
        <v>152</v>
      </c>
      <c r="N19" s="1">
        <v>6161568.0983049814</v>
      </c>
      <c r="O19" s="1">
        <v>6161568.0983049786</v>
      </c>
      <c r="P19" s="1"/>
      <c r="Q19" s="1">
        <f t="shared" si="0"/>
        <v>5058860.0983049786</v>
      </c>
      <c r="R19" s="2">
        <f t="shared" si="1"/>
        <v>0.82103451874477373</v>
      </c>
    </row>
    <row r="20" spans="1:18">
      <c r="A20" s="1"/>
      <c r="B20" s="225"/>
      <c r="C20" s="1"/>
      <c r="D20" s="1"/>
      <c r="E20" s="1"/>
      <c r="F20" s="56"/>
      <c r="H20" s="2"/>
      <c r="I20" s="40"/>
      <c r="L20" s="2"/>
    </row>
    <row r="21" spans="1:18">
      <c r="B21" s="225">
        <f>B8</f>
        <v>2009</v>
      </c>
      <c r="C21" s="2">
        <f>C8/C7-1</f>
        <v>1.2294462197172784E-2</v>
      </c>
      <c r="D21" s="2">
        <f t="shared" ref="D21:N21" si="3">D8/D7-1</f>
        <v>-0.12507309516894183</v>
      </c>
      <c r="E21" s="2" t="e">
        <f t="shared" si="3"/>
        <v>#DIV/0!</v>
      </c>
      <c r="F21" s="2">
        <f t="shared" si="3"/>
        <v>-0.10286788238431788</v>
      </c>
      <c r="G21" s="2">
        <f t="shared" si="3"/>
        <v>64.676923076923075</v>
      </c>
      <c r="H21" s="2" t="e">
        <f t="shared" si="3"/>
        <v>#DIV/0!</v>
      </c>
      <c r="I21" s="2" t="e">
        <f t="shared" si="3"/>
        <v>#DIV/0!</v>
      </c>
      <c r="J21" s="2" t="e">
        <f t="shared" si="3"/>
        <v>#DIV/0!</v>
      </c>
      <c r="K21" s="2" t="e">
        <f t="shared" si="3"/>
        <v>#DIV/0!</v>
      </c>
      <c r="L21" s="2" t="e">
        <f t="shared" si="3"/>
        <v>#DIV/0!</v>
      </c>
      <c r="M21" s="2" t="e">
        <f t="shared" si="3"/>
        <v>#DIV/0!</v>
      </c>
      <c r="N21" s="2">
        <f t="shared" si="3"/>
        <v>0.16842445113381155</v>
      </c>
    </row>
    <row r="22" spans="1:18">
      <c r="B22" s="225">
        <f t="shared" ref="B22:B33" si="4">B9</f>
        <v>2010</v>
      </c>
      <c r="C22" s="2">
        <f t="shared" ref="C22:N32" si="5">C9/C8-1</f>
        <v>1.2294462197173006E-2</v>
      </c>
      <c r="D22" s="2">
        <f t="shared" si="5"/>
        <v>6.6481356892460486E-3</v>
      </c>
      <c r="E22" s="2" t="e">
        <f t="shared" si="5"/>
        <v>#DIV/0!</v>
      </c>
      <c r="F22" s="2">
        <f t="shared" si="5"/>
        <v>5.5924943702811758E-2</v>
      </c>
      <c r="G22" s="2">
        <f t="shared" si="5"/>
        <v>-1</v>
      </c>
      <c r="H22" s="2" t="e">
        <f t="shared" si="5"/>
        <v>#DIV/0!</v>
      </c>
      <c r="I22" s="2" t="e">
        <f t="shared" si="5"/>
        <v>#DIV/0!</v>
      </c>
      <c r="J22" s="2" t="e">
        <f t="shared" si="5"/>
        <v>#DIV/0!</v>
      </c>
      <c r="K22" s="2" t="e">
        <f t="shared" si="5"/>
        <v>#DIV/0!</v>
      </c>
      <c r="L22" s="2" t="e">
        <f t="shared" si="5"/>
        <v>#DIV/0!</v>
      </c>
      <c r="M22" s="2" t="e">
        <f t="shared" si="5"/>
        <v>#DIV/0!</v>
      </c>
      <c r="N22" s="2">
        <f t="shared" si="5"/>
        <v>0.77571646708826747</v>
      </c>
    </row>
    <row r="23" spans="1:18">
      <c r="B23" s="225">
        <f t="shared" si="4"/>
        <v>2011</v>
      </c>
      <c r="C23" s="2">
        <f t="shared" si="5"/>
        <v>-8.4301039672003752E-2</v>
      </c>
      <c r="D23" s="2">
        <f t="shared" si="5"/>
        <v>-2.9679461812426311E-3</v>
      </c>
      <c r="E23" s="2">
        <f t="shared" si="5"/>
        <v>-2.6940155774579311E-2</v>
      </c>
      <c r="F23" s="2">
        <f t="shared" si="5"/>
        <v>8.5955131684292585E-2</v>
      </c>
      <c r="G23" s="2" t="e">
        <f t="shared" si="5"/>
        <v>#DIV/0!</v>
      </c>
      <c r="H23" s="2" t="e">
        <f t="shared" si="5"/>
        <v>#DIV/0!</v>
      </c>
      <c r="I23" s="2" t="e">
        <f t="shared" si="5"/>
        <v>#DIV/0!</v>
      </c>
      <c r="J23" s="2" t="e">
        <f t="shared" si="5"/>
        <v>#DIV/0!</v>
      </c>
      <c r="K23" s="2" t="e">
        <f t="shared" si="5"/>
        <v>#DIV/0!</v>
      </c>
      <c r="L23" s="2" t="e">
        <f t="shared" si="5"/>
        <v>#DIV/0!</v>
      </c>
      <c r="M23" s="2" t="e">
        <f t="shared" si="5"/>
        <v>#DIV/0!</v>
      </c>
      <c r="N23" s="2">
        <f t="shared" si="5"/>
        <v>-3.9862987989161769E-2</v>
      </c>
    </row>
    <row r="24" spans="1:18">
      <c r="B24" s="225">
        <f t="shared" si="4"/>
        <v>2012</v>
      </c>
      <c r="C24" s="2">
        <f t="shared" si="5"/>
        <v>-7.0888435787825332E-2</v>
      </c>
      <c r="D24" s="2">
        <f t="shared" si="5"/>
        <v>-4.7628497717800977E-3</v>
      </c>
      <c r="E24" s="2">
        <f t="shared" si="5"/>
        <v>5.4778660717662575E-3</v>
      </c>
      <c r="F24" s="2">
        <f t="shared" si="5"/>
        <v>-0.14675349437526564</v>
      </c>
      <c r="G24" s="2" t="e">
        <f t="shared" si="5"/>
        <v>#DIV/0!</v>
      </c>
      <c r="H24" s="2" t="e">
        <f t="shared" si="5"/>
        <v>#DIV/0!</v>
      </c>
      <c r="I24" s="2">
        <f t="shared" si="5"/>
        <v>3.6434518059244674</v>
      </c>
      <c r="J24" s="2" t="e">
        <f t="shared" si="5"/>
        <v>#DIV/0!</v>
      </c>
      <c r="K24" s="2" t="e">
        <f t="shared" si="5"/>
        <v>#DIV/0!</v>
      </c>
      <c r="L24" s="2" t="e">
        <f t="shared" si="5"/>
        <v>#DIV/0!</v>
      </c>
      <c r="M24" s="2" t="e">
        <f t="shared" si="5"/>
        <v>#DIV/0!</v>
      </c>
      <c r="N24" s="2">
        <f t="shared" si="5"/>
        <v>1.1431588044190644E-2</v>
      </c>
    </row>
    <row r="25" spans="1:18">
      <c r="B25" s="225">
        <f t="shared" si="4"/>
        <v>2013</v>
      </c>
      <c r="C25" s="2">
        <f t="shared" si="5"/>
        <v>2.9478169390807274E-2</v>
      </c>
      <c r="D25" s="2">
        <f t="shared" si="5"/>
        <v>-0.61814556331006987</v>
      </c>
      <c r="E25" s="2">
        <f t="shared" si="5"/>
        <v>1.529274942002079E-2</v>
      </c>
      <c r="F25" s="2">
        <f t="shared" si="5"/>
        <v>-0.14033358348083524</v>
      </c>
      <c r="G25" s="2" t="e">
        <f t="shared" si="5"/>
        <v>#DIV/0!</v>
      </c>
      <c r="H25" s="2" t="e">
        <f t="shared" si="5"/>
        <v>#DIV/0!</v>
      </c>
      <c r="I25" s="2">
        <f t="shared" si="5"/>
        <v>-2.418148441987944E-2</v>
      </c>
      <c r="J25" s="2">
        <f t="shared" si="5"/>
        <v>0.38137865979608021</v>
      </c>
      <c r="K25" s="2" t="e">
        <f t="shared" si="5"/>
        <v>#DIV/0!</v>
      </c>
      <c r="L25" s="2" t="e">
        <f t="shared" si="5"/>
        <v>#DIV/0!</v>
      </c>
      <c r="M25" s="2" t="e">
        <f t="shared" si="5"/>
        <v>#DIV/0!</v>
      </c>
      <c r="N25" s="2">
        <f t="shared" si="5"/>
        <v>-4.0784211323543595E-2</v>
      </c>
    </row>
    <row r="26" spans="1:18">
      <c r="B26" s="225">
        <f t="shared" si="4"/>
        <v>2014</v>
      </c>
      <c r="C26" s="2">
        <f t="shared" si="5"/>
        <v>2.8724532839836892E-2</v>
      </c>
      <c r="D26" s="2">
        <f t="shared" si="5"/>
        <v>-1</v>
      </c>
      <c r="E26" s="2">
        <f t="shared" si="5"/>
        <v>2.1862682106826843</v>
      </c>
      <c r="F26" s="2">
        <f t="shared" si="5"/>
        <v>-1</v>
      </c>
      <c r="G26" s="2" t="e">
        <f t="shared" si="5"/>
        <v>#DIV/0!</v>
      </c>
      <c r="H26" s="2" t="e">
        <f t="shared" si="5"/>
        <v>#DIV/0!</v>
      </c>
      <c r="I26" s="2">
        <f t="shared" si="5"/>
        <v>2.3432234403654606E-2</v>
      </c>
      <c r="J26" s="2">
        <f t="shared" si="5"/>
        <v>1.4257571724041185E-2</v>
      </c>
      <c r="K26" s="2" t="e">
        <f t="shared" si="5"/>
        <v>#DIV/0!</v>
      </c>
      <c r="L26" s="2" t="e">
        <f t="shared" si="5"/>
        <v>#DIV/0!</v>
      </c>
      <c r="M26" s="2" t="e">
        <f t="shared" si="5"/>
        <v>#DIV/0!</v>
      </c>
      <c r="N26" s="2">
        <f t="shared" si="5"/>
        <v>1.600546343258249</v>
      </c>
    </row>
    <row r="27" spans="1:18">
      <c r="B27" s="225">
        <f t="shared" si="4"/>
        <v>2015</v>
      </c>
      <c r="C27" s="2">
        <f t="shared" si="5"/>
        <v>6.6718542685457738E-2</v>
      </c>
      <c r="D27" s="2"/>
      <c r="E27" s="2">
        <f t="shared" si="5"/>
        <v>6.0426782512472466E-2</v>
      </c>
      <c r="F27" s="2"/>
      <c r="G27" s="2">
        <f t="shared" si="5"/>
        <v>1.3795877923107414</v>
      </c>
      <c r="H27" s="2">
        <f t="shared" si="5"/>
        <v>0.3136118701917272</v>
      </c>
      <c r="I27" s="2">
        <f t="shared" si="5"/>
        <v>2.6753907654266662E-2</v>
      </c>
      <c r="J27" s="2">
        <f t="shared" si="5"/>
        <v>-1.2902315765641381E-2</v>
      </c>
      <c r="K27" s="2">
        <f t="shared" si="5"/>
        <v>5.0046498289496366E-2</v>
      </c>
      <c r="L27" s="2" t="e">
        <f t="shared" si="5"/>
        <v>#DIV/0!</v>
      </c>
      <c r="M27" s="2" t="e">
        <f t="shared" si="5"/>
        <v>#DIV/0!</v>
      </c>
      <c r="N27" s="2">
        <f t="shared" si="5"/>
        <v>0.20237860157619725</v>
      </c>
    </row>
    <row r="28" spans="1:18">
      <c r="B28" s="225">
        <f t="shared" si="4"/>
        <v>2016</v>
      </c>
      <c r="C28" s="2">
        <f t="shared" si="5"/>
        <v>-3.312091890725033E-2</v>
      </c>
      <c r="D28" s="2"/>
      <c r="E28" s="2">
        <f t="shared" si="5"/>
        <v>-2.288781653553551E-2</v>
      </c>
      <c r="F28" s="2"/>
      <c r="G28" s="2">
        <f t="shared" si="5"/>
        <v>-8.1949464496893554E-2</v>
      </c>
      <c r="H28" s="2">
        <f t="shared" si="5"/>
        <v>0.19253101633318015</v>
      </c>
      <c r="I28" s="2">
        <f t="shared" si="5"/>
        <v>-1.7375118326626304E-2</v>
      </c>
      <c r="J28" s="2">
        <f t="shared" si="5"/>
        <v>1.1689834166438429E-2</v>
      </c>
      <c r="K28" s="2">
        <f t="shared" si="5"/>
        <v>0.30608499027840286</v>
      </c>
      <c r="L28" s="2">
        <f t="shared" si="5"/>
        <v>-0.9983040267586889</v>
      </c>
      <c r="M28" s="2" t="e">
        <f t="shared" si="5"/>
        <v>#DIV/0!</v>
      </c>
      <c r="N28" s="2">
        <f t="shared" si="5"/>
        <v>-2.8949833501511923E-2</v>
      </c>
    </row>
    <row r="29" spans="1:18">
      <c r="B29" s="225">
        <f t="shared" si="4"/>
        <v>2017</v>
      </c>
      <c r="C29" s="2">
        <f t="shared" si="5"/>
        <v>1.2294462197173006E-2</v>
      </c>
      <c r="D29" s="2"/>
      <c r="E29" s="2">
        <f t="shared" si="5"/>
        <v>1.4999999768259498E-2</v>
      </c>
      <c r="F29" s="2"/>
      <c r="G29" s="2">
        <f t="shared" si="5"/>
        <v>0</v>
      </c>
      <c r="H29" s="2">
        <f t="shared" si="5"/>
        <v>-0.99873896595208067</v>
      </c>
      <c r="I29" s="2">
        <f t="shared" si="5"/>
        <v>-1</v>
      </c>
      <c r="J29" s="2">
        <f t="shared" si="5"/>
        <v>-1</v>
      </c>
      <c r="K29" s="2">
        <f t="shared" si="5"/>
        <v>-0.99822354029143923</v>
      </c>
      <c r="L29" s="2">
        <f t="shared" si="5"/>
        <v>0.16666666666666674</v>
      </c>
      <c r="M29" s="2">
        <f t="shared" si="5"/>
        <v>0</v>
      </c>
      <c r="N29" s="2">
        <f t="shared" si="5"/>
        <v>-8.9932986591758635E-2</v>
      </c>
      <c r="O29" s="2">
        <f>(N16/N14)^(1/2)-1</f>
        <v>-5.9935786823658188E-2</v>
      </c>
    </row>
    <row r="30" spans="1:18">
      <c r="B30" s="225">
        <f t="shared" si="4"/>
        <v>2018</v>
      </c>
      <c r="C30" s="2">
        <f t="shared" si="5"/>
        <v>1.2294462197173228E-2</v>
      </c>
      <c r="D30" s="2"/>
      <c r="E30" s="2">
        <f t="shared" si="5"/>
        <v>1.5000000948008019E-2</v>
      </c>
      <c r="F30" s="2"/>
      <c r="G30" s="2">
        <f t="shared" si="5"/>
        <v>0</v>
      </c>
      <c r="H30" s="2">
        <f t="shared" si="5"/>
        <v>0</v>
      </c>
      <c r="I30" s="2" t="e">
        <f t="shared" si="5"/>
        <v>#DIV/0!</v>
      </c>
      <c r="J30" s="2" t="e">
        <f t="shared" si="5"/>
        <v>#DIV/0!</v>
      </c>
      <c r="K30" s="2">
        <f t="shared" si="5"/>
        <v>0</v>
      </c>
      <c r="L30" s="2">
        <f t="shared" si="5"/>
        <v>0.14285714285714279</v>
      </c>
      <c r="M30" s="2">
        <f t="shared" si="5"/>
        <v>0</v>
      </c>
      <c r="N30" s="2">
        <f t="shared" si="5"/>
        <v>1.1850443574766389E-2</v>
      </c>
    </row>
    <row r="31" spans="1:18">
      <c r="B31" s="225">
        <f t="shared" si="4"/>
        <v>2019</v>
      </c>
      <c r="C31" s="2">
        <f t="shared" si="5"/>
        <v>1.2294462197172784E-2</v>
      </c>
      <c r="D31" s="2"/>
      <c r="E31" s="2">
        <f t="shared" si="5"/>
        <v>1.4999999486545512E-2</v>
      </c>
      <c r="F31" s="2"/>
      <c r="G31" s="2">
        <f t="shared" si="5"/>
        <v>0</v>
      </c>
      <c r="H31" s="2">
        <f t="shared" si="5"/>
        <v>0</v>
      </c>
      <c r="I31" s="2" t="e">
        <f t="shared" si="5"/>
        <v>#DIV/0!</v>
      </c>
      <c r="J31" s="2" t="e">
        <f t="shared" si="5"/>
        <v>#DIV/0!</v>
      </c>
      <c r="K31" s="2">
        <f t="shared" si="5"/>
        <v>0</v>
      </c>
      <c r="L31" s="2">
        <f t="shared" si="5"/>
        <v>0</v>
      </c>
      <c r="M31" s="2">
        <f t="shared" si="5"/>
        <v>0</v>
      </c>
      <c r="N31" s="2">
        <f t="shared" si="5"/>
        <v>1.1822948562193902E-2</v>
      </c>
    </row>
    <row r="32" spans="1:18">
      <c r="B32" s="225">
        <f t="shared" si="4"/>
        <v>2020</v>
      </c>
      <c r="C32" s="2">
        <f t="shared" si="5"/>
        <v>1.2294462197173228E-2</v>
      </c>
      <c r="D32" s="2"/>
      <c r="E32" s="2">
        <f t="shared" si="5"/>
        <v>1.4999999638666717E-2</v>
      </c>
      <c r="F32" s="2"/>
      <c r="G32" s="2">
        <f t="shared" si="5"/>
        <v>0</v>
      </c>
      <c r="H32" s="2">
        <f t="shared" si="5"/>
        <v>-1</v>
      </c>
      <c r="I32" s="2" t="e">
        <f t="shared" si="5"/>
        <v>#DIV/0!</v>
      </c>
      <c r="J32" s="2" t="e">
        <f t="shared" si="5"/>
        <v>#DIV/0!</v>
      </c>
      <c r="K32" s="2">
        <f t="shared" si="5"/>
        <v>-1</v>
      </c>
      <c r="L32" s="2">
        <f t="shared" si="5"/>
        <v>0.125</v>
      </c>
      <c r="M32" s="2">
        <f t="shared" si="5"/>
        <v>0</v>
      </c>
      <c r="N32" s="2">
        <f t="shared" si="5"/>
        <v>1.1832746462849597E-2</v>
      </c>
    </row>
    <row r="33" spans="2:14">
      <c r="B33" s="225">
        <f t="shared" si="4"/>
        <v>0</v>
      </c>
    </row>
    <row r="35" spans="2:14">
      <c r="B35">
        <f>B8</f>
        <v>2009</v>
      </c>
      <c r="C35" s="1">
        <f>C8-C7</f>
        <v>10392.476933418075</v>
      </c>
      <c r="D35" s="1">
        <f t="shared" ref="D35:N35" si="6">D8-D7</f>
        <v>-32297</v>
      </c>
      <c r="E35" s="1">
        <f t="shared" si="6"/>
        <v>0</v>
      </c>
      <c r="F35" s="1">
        <f t="shared" si="6"/>
        <v>-715.86499999999978</v>
      </c>
      <c r="G35" s="1">
        <f t="shared" si="6"/>
        <v>210200</v>
      </c>
      <c r="H35" s="1">
        <f t="shared" si="6"/>
        <v>0</v>
      </c>
      <c r="I35" s="1">
        <f t="shared" si="6"/>
        <v>0</v>
      </c>
      <c r="J35" s="1">
        <f t="shared" si="6"/>
        <v>0</v>
      </c>
      <c r="K35" s="1">
        <f t="shared" si="6"/>
        <v>0</v>
      </c>
      <c r="L35" s="1">
        <f t="shared" si="6"/>
        <v>0</v>
      </c>
      <c r="M35" s="1">
        <f t="shared" si="6"/>
        <v>0</v>
      </c>
      <c r="N35" s="1">
        <f t="shared" si="6"/>
        <v>187579.61193341785</v>
      </c>
    </row>
    <row r="36" spans="2:14">
      <c r="B36" s="225">
        <f t="shared" ref="B36:B46" si="7">B9</f>
        <v>2010</v>
      </c>
      <c r="C36" s="1">
        <f t="shared" ref="C36:N46" si="8">C9-C8</f>
        <v>10520.246848211042</v>
      </c>
      <c r="D36" s="1">
        <f t="shared" si="8"/>
        <v>1502</v>
      </c>
      <c r="E36" s="1">
        <f t="shared" si="8"/>
        <v>1210527.0390000001</v>
      </c>
      <c r="F36" s="1">
        <f t="shared" si="8"/>
        <v>349.15099999999984</v>
      </c>
      <c r="G36" s="1">
        <f t="shared" si="8"/>
        <v>-213450</v>
      </c>
      <c r="H36" s="1">
        <f t="shared" si="8"/>
        <v>0</v>
      </c>
      <c r="I36" s="1">
        <f t="shared" si="8"/>
        <v>0</v>
      </c>
      <c r="J36" s="1">
        <f t="shared" si="8"/>
        <v>0</v>
      </c>
      <c r="K36" s="1">
        <f t="shared" si="8"/>
        <v>0</v>
      </c>
      <c r="L36" s="1">
        <f t="shared" si="8"/>
        <v>0</v>
      </c>
      <c r="M36" s="1">
        <f t="shared" si="8"/>
        <v>0</v>
      </c>
      <c r="N36" s="1">
        <f t="shared" si="8"/>
        <v>1009448.4368482118</v>
      </c>
    </row>
    <row r="37" spans="2:14">
      <c r="B37" s="225">
        <f t="shared" si="7"/>
        <v>2011</v>
      </c>
      <c r="C37" s="1">
        <f t="shared" si="8"/>
        <v>-73022.414034916437</v>
      </c>
      <c r="D37" s="1">
        <f t="shared" si="8"/>
        <v>-675</v>
      </c>
      <c r="E37" s="1">
        <f t="shared" si="8"/>
        <v>-32611.787000000244</v>
      </c>
      <c r="F37" s="1">
        <f t="shared" si="8"/>
        <v>566.64699999999903</v>
      </c>
      <c r="G37" s="1">
        <f t="shared" si="8"/>
        <v>0</v>
      </c>
      <c r="H37" s="1">
        <f t="shared" si="8"/>
        <v>0</v>
      </c>
      <c r="I37" s="1">
        <f t="shared" si="8"/>
        <v>13628.775</v>
      </c>
      <c r="J37" s="1">
        <f t="shared" si="8"/>
        <v>0</v>
      </c>
      <c r="K37" s="1">
        <f t="shared" si="8"/>
        <v>0</v>
      </c>
      <c r="L37" s="1">
        <f t="shared" si="8"/>
        <v>0</v>
      </c>
      <c r="M37" s="1">
        <f t="shared" si="8"/>
        <v>0</v>
      </c>
      <c r="N37" s="1">
        <f t="shared" si="8"/>
        <v>-92113.779034916777</v>
      </c>
    </row>
    <row r="38" spans="2:14">
      <c r="B38" s="225">
        <f t="shared" si="7"/>
        <v>2012</v>
      </c>
      <c r="C38" s="1">
        <f t="shared" si="8"/>
        <v>-56227.836051691556</v>
      </c>
      <c r="D38" s="1">
        <f t="shared" si="8"/>
        <v>-1080</v>
      </c>
      <c r="E38" s="1">
        <f t="shared" si="8"/>
        <v>6452.4619943469297</v>
      </c>
      <c r="F38" s="1">
        <f t="shared" si="8"/>
        <v>-1050.6089999999986</v>
      </c>
      <c r="G38" s="1">
        <f t="shared" si="8"/>
        <v>0</v>
      </c>
      <c r="H38" s="1">
        <f t="shared" si="8"/>
        <v>0</v>
      </c>
      <c r="I38" s="1">
        <f t="shared" si="8"/>
        <v>49655.784886288224</v>
      </c>
      <c r="J38" s="1">
        <f t="shared" si="8"/>
        <v>27612.84231018924</v>
      </c>
      <c r="K38" s="1">
        <f t="shared" si="8"/>
        <v>0</v>
      </c>
      <c r="L38" s="1">
        <f t="shared" si="8"/>
        <v>0</v>
      </c>
      <c r="M38" s="1">
        <f t="shared" si="8"/>
        <v>0</v>
      </c>
      <c r="N38" s="1">
        <f t="shared" si="8"/>
        <v>25362.644139132462</v>
      </c>
    </row>
    <row r="39" spans="2:14">
      <c r="B39" s="225">
        <f t="shared" si="7"/>
        <v>2013</v>
      </c>
      <c r="C39" s="1">
        <f t="shared" si="8"/>
        <v>21724.228000000003</v>
      </c>
      <c r="D39" s="1">
        <f t="shared" si="8"/>
        <v>-139500</v>
      </c>
      <c r="E39" s="1">
        <f t="shared" si="8"/>
        <v>18112.238671278348</v>
      </c>
      <c r="F39" s="1">
        <f t="shared" si="8"/>
        <v>-857.21309999999994</v>
      </c>
      <c r="G39" s="1">
        <f t="shared" si="8"/>
        <v>0</v>
      </c>
      <c r="H39" s="1">
        <f t="shared" si="8"/>
        <v>0</v>
      </c>
      <c r="I39" s="1">
        <f t="shared" si="8"/>
        <v>-1530.3145989092081</v>
      </c>
      <c r="J39" s="1">
        <f t="shared" si="8"/>
        <v>10530.948793420474</v>
      </c>
      <c r="K39" s="1">
        <f t="shared" si="8"/>
        <v>0</v>
      </c>
      <c r="L39" s="1">
        <f t="shared" si="8"/>
        <v>0</v>
      </c>
      <c r="M39" s="1">
        <f t="shared" si="8"/>
        <v>0</v>
      </c>
      <c r="N39" s="1">
        <f t="shared" si="8"/>
        <v>-91520.112234210595</v>
      </c>
    </row>
    <row r="40" spans="2:14">
      <c r="B40" s="225">
        <f t="shared" si="7"/>
        <v>2014</v>
      </c>
      <c r="C40" s="1">
        <f t="shared" si="8"/>
        <v>21792.846402961179</v>
      </c>
      <c r="D40" s="1">
        <f t="shared" si="8"/>
        <v>-86175</v>
      </c>
      <c r="E40" s="1">
        <f t="shared" si="8"/>
        <v>2628943.6944960752</v>
      </c>
      <c r="F40" s="1">
        <f t="shared" si="8"/>
        <v>-5251.1829000000007</v>
      </c>
      <c r="G40" s="1">
        <f t="shared" si="8"/>
        <v>504600</v>
      </c>
      <c r="H40" s="1">
        <f t="shared" si="8"/>
        <v>182238</v>
      </c>
      <c r="I40" s="1">
        <f t="shared" si="8"/>
        <v>1447.0399509946437</v>
      </c>
      <c r="J40" s="1">
        <f t="shared" si="8"/>
        <v>543.83783748655696</v>
      </c>
      <c r="K40" s="1">
        <f t="shared" si="8"/>
        <v>197018</v>
      </c>
      <c r="L40" s="1">
        <f t="shared" si="8"/>
        <v>0</v>
      </c>
      <c r="M40" s="1">
        <f t="shared" si="8"/>
        <v>0</v>
      </c>
      <c r="N40" s="1">
        <f t="shared" si="8"/>
        <v>3445157.2357875183</v>
      </c>
    </row>
    <row r="41" spans="2:14">
      <c r="B41" s="225">
        <f t="shared" si="7"/>
        <v>2015</v>
      </c>
      <c r="C41" s="1">
        <f t="shared" si="8"/>
        <v>52072.284597038757</v>
      </c>
      <c r="D41" s="1">
        <f t="shared" si="8"/>
        <v>0</v>
      </c>
      <c r="E41" s="1">
        <f t="shared" si="8"/>
        <v>231520.60344018415</v>
      </c>
      <c r="F41" s="1">
        <f t="shared" si="8"/>
        <v>0</v>
      </c>
      <c r="G41" s="1">
        <f t="shared" si="8"/>
        <v>696140</v>
      </c>
      <c r="H41" s="1">
        <f t="shared" si="8"/>
        <v>57152</v>
      </c>
      <c r="I41" s="1">
        <f t="shared" si="8"/>
        <v>1690.881348898416</v>
      </c>
      <c r="J41" s="1">
        <f t="shared" si="8"/>
        <v>-499.16000482199161</v>
      </c>
      <c r="K41" s="1">
        <f t="shared" si="8"/>
        <v>9860.060999999987</v>
      </c>
      <c r="L41" s="1">
        <f t="shared" si="8"/>
        <v>84907</v>
      </c>
      <c r="M41" s="1">
        <f t="shared" si="8"/>
        <v>0</v>
      </c>
      <c r="N41" s="1">
        <f t="shared" si="8"/>
        <v>1132843.6703812974</v>
      </c>
    </row>
    <row r="42" spans="2:14">
      <c r="B42" s="225">
        <f t="shared" si="7"/>
        <v>2016</v>
      </c>
      <c r="C42" s="1">
        <f t="shared" si="8"/>
        <v>-27574.795632486464</v>
      </c>
      <c r="D42" s="1">
        <f t="shared" si="8"/>
        <v>0</v>
      </c>
      <c r="E42" s="1">
        <f t="shared" si="8"/>
        <v>-92991.922601884697</v>
      </c>
      <c r="F42" s="1">
        <f t="shared" si="8"/>
        <v>0</v>
      </c>
      <c r="G42" s="1">
        <f t="shared" si="8"/>
        <v>-98400</v>
      </c>
      <c r="H42" s="1">
        <f t="shared" si="8"/>
        <v>46090</v>
      </c>
      <c r="I42" s="1">
        <f t="shared" si="8"/>
        <v>-1127.5090729250005</v>
      </c>
      <c r="J42" s="1">
        <f t="shared" si="8"/>
        <v>446.41686893523001</v>
      </c>
      <c r="K42" s="1">
        <f t="shared" si="8"/>
        <v>63322.269289999851</v>
      </c>
      <c r="L42" s="1">
        <f t="shared" si="8"/>
        <v>-84763</v>
      </c>
      <c r="M42" s="1">
        <f t="shared" si="8"/>
        <v>152</v>
      </c>
      <c r="N42" s="1">
        <f t="shared" si="8"/>
        <v>-194846.54114835896</v>
      </c>
    </row>
    <row r="43" spans="2:14">
      <c r="B43" s="225">
        <f t="shared" si="7"/>
        <v>2017</v>
      </c>
      <c r="C43" s="1">
        <f t="shared" si="8"/>
        <v>9896.7277899055043</v>
      </c>
      <c r="D43" s="1">
        <f t="shared" si="8"/>
        <v>0</v>
      </c>
      <c r="E43" s="1">
        <f t="shared" si="8"/>
        <v>59549.284000000916</v>
      </c>
      <c r="F43" s="1">
        <f t="shared" si="8"/>
        <v>0</v>
      </c>
      <c r="G43" s="1">
        <f t="shared" si="8"/>
        <v>0</v>
      </c>
      <c r="H43" s="1">
        <f t="shared" si="8"/>
        <v>-285120</v>
      </c>
      <c r="I43" s="1">
        <f t="shared" si="8"/>
        <v>-63764.657514347076</v>
      </c>
      <c r="J43" s="1">
        <f t="shared" si="8"/>
        <v>-38634.885805209509</v>
      </c>
      <c r="K43" s="1">
        <f t="shared" si="8"/>
        <v>-269720.33028999984</v>
      </c>
      <c r="L43" s="1">
        <f t="shared" si="8"/>
        <v>24</v>
      </c>
      <c r="M43" s="1">
        <f t="shared" si="8"/>
        <v>0</v>
      </c>
      <c r="N43" s="1">
        <f t="shared" si="8"/>
        <v>-587769.86181965098</v>
      </c>
    </row>
    <row r="44" spans="2:14">
      <c r="B44" s="225">
        <f t="shared" si="7"/>
        <v>2018</v>
      </c>
      <c r="C44" s="1">
        <f t="shared" si="8"/>
        <v>10018.402735594311</v>
      </c>
      <c r="D44" s="1">
        <f t="shared" si="8"/>
        <v>0</v>
      </c>
      <c r="E44" s="1">
        <f t="shared" si="8"/>
        <v>60442.527999999467</v>
      </c>
      <c r="F44" s="1">
        <f t="shared" si="8"/>
        <v>0</v>
      </c>
      <c r="G44" s="1">
        <f t="shared" si="8"/>
        <v>0</v>
      </c>
      <c r="H44" s="1">
        <f t="shared" si="8"/>
        <v>0</v>
      </c>
      <c r="I44" s="1">
        <f t="shared" si="8"/>
        <v>0</v>
      </c>
      <c r="J44" s="1">
        <f t="shared" si="8"/>
        <v>0</v>
      </c>
      <c r="K44" s="1">
        <f t="shared" si="8"/>
        <v>0</v>
      </c>
      <c r="L44" s="1">
        <f t="shared" si="8"/>
        <v>24</v>
      </c>
      <c r="M44" s="1">
        <f t="shared" si="8"/>
        <v>0</v>
      </c>
      <c r="N44" s="1">
        <f t="shared" si="8"/>
        <v>70484.930735593662</v>
      </c>
    </row>
    <row r="45" spans="2:14">
      <c r="B45" s="225">
        <f t="shared" si="7"/>
        <v>2019</v>
      </c>
      <c r="C45" s="1">
        <f t="shared" si="8"/>
        <v>10141.573609302868</v>
      </c>
      <c r="D45" s="1">
        <f t="shared" si="8"/>
        <v>0</v>
      </c>
      <c r="E45" s="1">
        <f t="shared" si="8"/>
        <v>61349.160000000149</v>
      </c>
      <c r="F45" s="1">
        <f t="shared" si="8"/>
        <v>0</v>
      </c>
      <c r="G45" s="1">
        <f t="shared" si="8"/>
        <v>0</v>
      </c>
      <c r="H45" s="1">
        <f t="shared" si="8"/>
        <v>0</v>
      </c>
      <c r="I45" s="1">
        <f t="shared" si="8"/>
        <v>0</v>
      </c>
      <c r="J45" s="1">
        <f t="shared" si="8"/>
        <v>0</v>
      </c>
      <c r="K45" s="1">
        <f t="shared" si="8"/>
        <v>0</v>
      </c>
      <c r="L45" s="1">
        <f t="shared" si="8"/>
        <v>0</v>
      </c>
      <c r="M45" s="1">
        <f t="shared" si="8"/>
        <v>0</v>
      </c>
      <c r="N45" s="1">
        <f t="shared" si="8"/>
        <v>71154.733609302901</v>
      </c>
    </row>
    <row r="46" spans="2:14">
      <c r="B46" s="225">
        <f t="shared" si="7"/>
        <v>2020</v>
      </c>
      <c r="C46" s="1">
        <f t="shared" si="8"/>
        <v>10266.25880266272</v>
      </c>
      <c r="D46" s="1">
        <f t="shared" si="8"/>
        <v>0</v>
      </c>
      <c r="E46" s="1">
        <f t="shared" si="8"/>
        <v>62269.397999999579</v>
      </c>
      <c r="F46" s="1">
        <f t="shared" si="8"/>
        <v>0</v>
      </c>
      <c r="G46" s="1">
        <f t="shared" si="8"/>
        <v>0</v>
      </c>
      <c r="H46" s="1">
        <f t="shared" si="8"/>
        <v>-360</v>
      </c>
      <c r="I46" s="1">
        <f t="shared" si="8"/>
        <v>0</v>
      </c>
      <c r="J46" s="1">
        <f t="shared" si="8"/>
        <v>0</v>
      </c>
      <c r="K46" s="1">
        <f t="shared" si="8"/>
        <v>-480</v>
      </c>
      <c r="L46" s="1">
        <f t="shared" si="8"/>
        <v>24</v>
      </c>
      <c r="M46" s="1">
        <f t="shared" si="8"/>
        <v>0</v>
      </c>
      <c r="N46" s="1">
        <f t="shared" si="8"/>
        <v>72055.656802665442</v>
      </c>
    </row>
    <row r="47" spans="2:14">
      <c r="B47" s="225"/>
      <c r="C47" s="1"/>
    </row>
    <row r="48" spans="2:14">
      <c r="B48" s="225"/>
      <c r="C48" s="1"/>
    </row>
    <row r="49" spans="2:3">
      <c r="B49" s="225"/>
      <c r="C49" s="1"/>
    </row>
    <row r="50" spans="2:3">
      <c r="B50" s="225"/>
      <c r="C50" s="1"/>
    </row>
  </sheetData>
  <pageMargins left="0.7" right="0.7" top="0.75" bottom="0.75" header="0.3" footer="0.3"/>
  <pageSetup scale="6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267"/>
  <sheetViews>
    <sheetView workbookViewId="0">
      <pane xSplit="3" ySplit="5" topLeftCell="D6" activePane="bottomRight" state="frozen"/>
      <selection activeCell="G27" sqref="G27:G32"/>
      <selection pane="topRight" activeCell="G27" sqref="G27:G32"/>
      <selection pane="bottomLeft" activeCell="G27" sqref="G27:G32"/>
      <selection pane="bottomRight" activeCell="A2" sqref="A1:A2"/>
    </sheetView>
  </sheetViews>
  <sheetFormatPr defaultColWidth="5.88671875" defaultRowHeight="13.2"/>
  <cols>
    <col min="1" max="1" width="11.5546875" style="65" customWidth="1"/>
    <col min="2" max="2" width="5.88671875" style="65" customWidth="1"/>
    <col min="3" max="3" width="9.88671875" style="72" customWidth="1"/>
    <col min="4" max="4" width="10.33203125" style="72" customWidth="1"/>
    <col min="5" max="5" width="11.44140625" style="64" bestFit="1" customWidth="1"/>
    <col min="6" max="6" width="13.5546875" style="62" bestFit="1" customWidth="1"/>
    <col min="7" max="7" width="5.88671875" style="62" customWidth="1"/>
    <col min="8" max="8" width="18.33203125" style="62" customWidth="1"/>
    <col min="9" max="10" width="5.88671875" style="62"/>
    <col min="11" max="11" width="10.33203125" style="62" bestFit="1" customWidth="1"/>
    <col min="12" max="13" width="5.88671875" style="62"/>
    <col min="14" max="14" width="7.6640625" style="62" bestFit="1" customWidth="1"/>
    <col min="15" max="256" width="5.88671875" style="62"/>
    <col min="257" max="258" width="5.88671875" style="62" customWidth="1"/>
    <col min="259" max="259" width="9.88671875" style="62" customWidth="1"/>
    <col min="260" max="260" width="10.33203125" style="62" customWidth="1"/>
    <col min="261" max="261" width="8.33203125" style="62" customWidth="1"/>
    <col min="262" max="262" width="10.109375" style="62" customWidth="1"/>
    <col min="263" max="263" width="5.88671875" style="62" customWidth="1"/>
    <col min="264" max="264" width="13.5546875" style="62" customWidth="1"/>
    <col min="265" max="512" width="5.88671875" style="62"/>
    <col min="513" max="514" width="5.88671875" style="62" customWidth="1"/>
    <col min="515" max="515" width="9.88671875" style="62" customWidth="1"/>
    <col min="516" max="516" width="10.33203125" style="62" customWidth="1"/>
    <col min="517" max="517" width="8.33203125" style="62" customWidth="1"/>
    <col min="518" max="518" width="10.109375" style="62" customWidth="1"/>
    <col min="519" max="519" width="5.88671875" style="62" customWidth="1"/>
    <col min="520" max="520" width="13.5546875" style="62" customWidth="1"/>
    <col min="521" max="768" width="5.88671875" style="62"/>
    <col min="769" max="770" width="5.88671875" style="62" customWidth="1"/>
    <col min="771" max="771" width="9.88671875" style="62" customWidth="1"/>
    <col min="772" max="772" width="10.33203125" style="62" customWidth="1"/>
    <col min="773" max="773" width="8.33203125" style="62" customWidth="1"/>
    <col min="774" max="774" width="10.109375" style="62" customWidth="1"/>
    <col min="775" max="775" width="5.88671875" style="62" customWidth="1"/>
    <col min="776" max="776" width="13.5546875" style="62" customWidth="1"/>
    <col min="777" max="1024" width="5.88671875" style="62"/>
    <col min="1025" max="1026" width="5.88671875" style="62" customWidth="1"/>
    <col min="1027" max="1027" width="9.88671875" style="62" customWidth="1"/>
    <col min="1028" max="1028" width="10.33203125" style="62" customWidth="1"/>
    <col min="1029" max="1029" width="8.33203125" style="62" customWidth="1"/>
    <col min="1030" max="1030" width="10.109375" style="62" customWidth="1"/>
    <col min="1031" max="1031" width="5.88671875" style="62" customWidth="1"/>
    <col min="1032" max="1032" width="13.5546875" style="62" customWidth="1"/>
    <col min="1033" max="1280" width="5.88671875" style="62"/>
    <col min="1281" max="1282" width="5.88671875" style="62" customWidth="1"/>
    <col min="1283" max="1283" width="9.88671875" style="62" customWidth="1"/>
    <col min="1284" max="1284" width="10.33203125" style="62" customWidth="1"/>
    <col min="1285" max="1285" width="8.33203125" style="62" customWidth="1"/>
    <col min="1286" max="1286" width="10.109375" style="62" customWidth="1"/>
    <col min="1287" max="1287" width="5.88671875" style="62" customWidth="1"/>
    <col min="1288" max="1288" width="13.5546875" style="62" customWidth="1"/>
    <col min="1289" max="1536" width="5.88671875" style="62"/>
    <col min="1537" max="1538" width="5.88671875" style="62" customWidth="1"/>
    <col min="1539" max="1539" width="9.88671875" style="62" customWidth="1"/>
    <col min="1540" max="1540" width="10.33203125" style="62" customWidth="1"/>
    <col min="1541" max="1541" width="8.33203125" style="62" customWidth="1"/>
    <col min="1542" max="1542" width="10.109375" style="62" customWidth="1"/>
    <col min="1543" max="1543" width="5.88671875" style="62" customWidth="1"/>
    <col min="1544" max="1544" width="13.5546875" style="62" customWidth="1"/>
    <col min="1545" max="1792" width="5.88671875" style="62"/>
    <col min="1793" max="1794" width="5.88671875" style="62" customWidth="1"/>
    <col min="1795" max="1795" width="9.88671875" style="62" customWidth="1"/>
    <col min="1796" max="1796" width="10.33203125" style="62" customWidth="1"/>
    <col min="1797" max="1797" width="8.33203125" style="62" customWidth="1"/>
    <col min="1798" max="1798" width="10.109375" style="62" customWidth="1"/>
    <col min="1799" max="1799" width="5.88671875" style="62" customWidth="1"/>
    <col min="1800" max="1800" width="13.5546875" style="62" customWidth="1"/>
    <col min="1801" max="2048" width="5.88671875" style="62"/>
    <col min="2049" max="2050" width="5.88671875" style="62" customWidth="1"/>
    <col min="2051" max="2051" width="9.88671875" style="62" customWidth="1"/>
    <col min="2052" max="2052" width="10.33203125" style="62" customWidth="1"/>
    <col min="2053" max="2053" width="8.33203125" style="62" customWidth="1"/>
    <col min="2054" max="2054" width="10.109375" style="62" customWidth="1"/>
    <col min="2055" max="2055" width="5.88671875" style="62" customWidth="1"/>
    <col min="2056" max="2056" width="13.5546875" style="62" customWidth="1"/>
    <col min="2057" max="2304" width="5.88671875" style="62"/>
    <col min="2305" max="2306" width="5.88671875" style="62" customWidth="1"/>
    <col min="2307" max="2307" width="9.88671875" style="62" customWidth="1"/>
    <col min="2308" max="2308" width="10.33203125" style="62" customWidth="1"/>
    <col min="2309" max="2309" width="8.33203125" style="62" customWidth="1"/>
    <col min="2310" max="2310" width="10.109375" style="62" customWidth="1"/>
    <col min="2311" max="2311" width="5.88671875" style="62" customWidth="1"/>
    <col min="2312" max="2312" width="13.5546875" style="62" customWidth="1"/>
    <col min="2313" max="2560" width="5.88671875" style="62"/>
    <col min="2561" max="2562" width="5.88671875" style="62" customWidth="1"/>
    <col min="2563" max="2563" width="9.88671875" style="62" customWidth="1"/>
    <col min="2564" max="2564" width="10.33203125" style="62" customWidth="1"/>
    <col min="2565" max="2565" width="8.33203125" style="62" customWidth="1"/>
    <col min="2566" max="2566" width="10.109375" style="62" customWidth="1"/>
    <col min="2567" max="2567" width="5.88671875" style="62" customWidth="1"/>
    <col min="2568" max="2568" width="13.5546875" style="62" customWidth="1"/>
    <col min="2569" max="2816" width="5.88671875" style="62"/>
    <col min="2817" max="2818" width="5.88671875" style="62" customWidth="1"/>
    <col min="2819" max="2819" width="9.88671875" style="62" customWidth="1"/>
    <col min="2820" max="2820" width="10.33203125" style="62" customWidth="1"/>
    <col min="2821" max="2821" width="8.33203125" style="62" customWidth="1"/>
    <col min="2822" max="2822" width="10.109375" style="62" customWidth="1"/>
    <col min="2823" max="2823" width="5.88671875" style="62" customWidth="1"/>
    <col min="2824" max="2824" width="13.5546875" style="62" customWidth="1"/>
    <col min="2825" max="3072" width="5.88671875" style="62"/>
    <col min="3073" max="3074" width="5.88671875" style="62" customWidth="1"/>
    <col min="3075" max="3075" width="9.88671875" style="62" customWidth="1"/>
    <col min="3076" max="3076" width="10.33203125" style="62" customWidth="1"/>
    <col min="3077" max="3077" width="8.33203125" style="62" customWidth="1"/>
    <col min="3078" max="3078" width="10.109375" style="62" customWidth="1"/>
    <col min="3079" max="3079" width="5.88671875" style="62" customWidth="1"/>
    <col min="3080" max="3080" width="13.5546875" style="62" customWidth="1"/>
    <col min="3081" max="3328" width="5.88671875" style="62"/>
    <col min="3329" max="3330" width="5.88671875" style="62" customWidth="1"/>
    <col min="3331" max="3331" width="9.88671875" style="62" customWidth="1"/>
    <col min="3332" max="3332" width="10.33203125" style="62" customWidth="1"/>
    <col min="3333" max="3333" width="8.33203125" style="62" customWidth="1"/>
    <col min="3334" max="3334" width="10.109375" style="62" customWidth="1"/>
    <col min="3335" max="3335" width="5.88671875" style="62" customWidth="1"/>
    <col min="3336" max="3336" width="13.5546875" style="62" customWidth="1"/>
    <col min="3337" max="3584" width="5.88671875" style="62"/>
    <col min="3585" max="3586" width="5.88671875" style="62" customWidth="1"/>
    <col min="3587" max="3587" width="9.88671875" style="62" customWidth="1"/>
    <col min="3588" max="3588" width="10.33203125" style="62" customWidth="1"/>
    <col min="3589" max="3589" width="8.33203125" style="62" customWidth="1"/>
    <col min="3590" max="3590" width="10.109375" style="62" customWidth="1"/>
    <col min="3591" max="3591" width="5.88671875" style="62" customWidth="1"/>
    <col min="3592" max="3592" width="13.5546875" style="62" customWidth="1"/>
    <col min="3593" max="3840" width="5.88671875" style="62"/>
    <col min="3841" max="3842" width="5.88671875" style="62" customWidth="1"/>
    <col min="3843" max="3843" width="9.88671875" style="62" customWidth="1"/>
    <col min="3844" max="3844" width="10.33203125" style="62" customWidth="1"/>
    <col min="3845" max="3845" width="8.33203125" style="62" customWidth="1"/>
    <col min="3846" max="3846" width="10.109375" style="62" customWidth="1"/>
    <col min="3847" max="3847" width="5.88671875" style="62" customWidth="1"/>
    <col min="3848" max="3848" width="13.5546875" style="62" customWidth="1"/>
    <col min="3849" max="4096" width="5.88671875" style="62"/>
    <col min="4097" max="4098" width="5.88671875" style="62" customWidth="1"/>
    <col min="4099" max="4099" width="9.88671875" style="62" customWidth="1"/>
    <col min="4100" max="4100" width="10.33203125" style="62" customWidth="1"/>
    <col min="4101" max="4101" width="8.33203125" style="62" customWidth="1"/>
    <col min="4102" max="4102" width="10.109375" style="62" customWidth="1"/>
    <col min="4103" max="4103" width="5.88671875" style="62" customWidth="1"/>
    <col min="4104" max="4104" width="13.5546875" style="62" customWidth="1"/>
    <col min="4105" max="4352" width="5.88671875" style="62"/>
    <col min="4353" max="4354" width="5.88671875" style="62" customWidth="1"/>
    <col min="4355" max="4355" width="9.88671875" style="62" customWidth="1"/>
    <col min="4356" max="4356" width="10.33203125" style="62" customWidth="1"/>
    <col min="4357" max="4357" width="8.33203125" style="62" customWidth="1"/>
    <col min="4358" max="4358" width="10.109375" style="62" customWidth="1"/>
    <col min="4359" max="4359" width="5.88671875" style="62" customWidth="1"/>
    <col min="4360" max="4360" width="13.5546875" style="62" customWidth="1"/>
    <col min="4361" max="4608" width="5.88671875" style="62"/>
    <col min="4609" max="4610" width="5.88671875" style="62" customWidth="1"/>
    <col min="4611" max="4611" width="9.88671875" style="62" customWidth="1"/>
    <col min="4612" max="4612" width="10.33203125" style="62" customWidth="1"/>
    <col min="4613" max="4613" width="8.33203125" style="62" customWidth="1"/>
    <col min="4614" max="4614" width="10.109375" style="62" customWidth="1"/>
    <col min="4615" max="4615" width="5.88671875" style="62" customWidth="1"/>
    <col min="4616" max="4616" width="13.5546875" style="62" customWidth="1"/>
    <col min="4617" max="4864" width="5.88671875" style="62"/>
    <col min="4865" max="4866" width="5.88671875" style="62" customWidth="1"/>
    <col min="4867" max="4867" width="9.88671875" style="62" customWidth="1"/>
    <col min="4868" max="4868" width="10.33203125" style="62" customWidth="1"/>
    <col min="4869" max="4869" width="8.33203125" style="62" customWidth="1"/>
    <col min="4870" max="4870" width="10.109375" style="62" customWidth="1"/>
    <col min="4871" max="4871" width="5.88671875" style="62" customWidth="1"/>
    <col min="4872" max="4872" width="13.5546875" style="62" customWidth="1"/>
    <col min="4873" max="5120" width="5.88671875" style="62"/>
    <col min="5121" max="5122" width="5.88671875" style="62" customWidth="1"/>
    <col min="5123" max="5123" width="9.88671875" style="62" customWidth="1"/>
    <col min="5124" max="5124" width="10.33203125" style="62" customWidth="1"/>
    <col min="5125" max="5125" width="8.33203125" style="62" customWidth="1"/>
    <col min="5126" max="5126" width="10.109375" style="62" customWidth="1"/>
    <col min="5127" max="5127" width="5.88671875" style="62" customWidth="1"/>
    <col min="5128" max="5128" width="13.5546875" style="62" customWidth="1"/>
    <col min="5129" max="5376" width="5.88671875" style="62"/>
    <col min="5377" max="5378" width="5.88671875" style="62" customWidth="1"/>
    <col min="5379" max="5379" width="9.88671875" style="62" customWidth="1"/>
    <col min="5380" max="5380" width="10.33203125" style="62" customWidth="1"/>
    <col min="5381" max="5381" width="8.33203125" style="62" customWidth="1"/>
    <col min="5382" max="5382" width="10.109375" style="62" customWidth="1"/>
    <col min="5383" max="5383" width="5.88671875" style="62" customWidth="1"/>
    <col min="5384" max="5384" width="13.5546875" style="62" customWidth="1"/>
    <col min="5385" max="5632" width="5.88671875" style="62"/>
    <col min="5633" max="5634" width="5.88671875" style="62" customWidth="1"/>
    <col min="5635" max="5635" width="9.88671875" style="62" customWidth="1"/>
    <col min="5636" max="5636" width="10.33203125" style="62" customWidth="1"/>
    <col min="5637" max="5637" width="8.33203125" style="62" customWidth="1"/>
    <col min="5638" max="5638" width="10.109375" style="62" customWidth="1"/>
    <col min="5639" max="5639" width="5.88671875" style="62" customWidth="1"/>
    <col min="5640" max="5640" width="13.5546875" style="62" customWidth="1"/>
    <col min="5641" max="5888" width="5.88671875" style="62"/>
    <col min="5889" max="5890" width="5.88671875" style="62" customWidth="1"/>
    <col min="5891" max="5891" width="9.88671875" style="62" customWidth="1"/>
    <col min="5892" max="5892" width="10.33203125" style="62" customWidth="1"/>
    <col min="5893" max="5893" width="8.33203125" style="62" customWidth="1"/>
    <col min="5894" max="5894" width="10.109375" style="62" customWidth="1"/>
    <col min="5895" max="5895" width="5.88671875" style="62" customWidth="1"/>
    <col min="5896" max="5896" width="13.5546875" style="62" customWidth="1"/>
    <col min="5897" max="6144" width="5.88671875" style="62"/>
    <col min="6145" max="6146" width="5.88671875" style="62" customWidth="1"/>
    <col min="6147" max="6147" width="9.88671875" style="62" customWidth="1"/>
    <col min="6148" max="6148" width="10.33203125" style="62" customWidth="1"/>
    <col min="6149" max="6149" width="8.33203125" style="62" customWidth="1"/>
    <col min="6150" max="6150" width="10.109375" style="62" customWidth="1"/>
    <col min="6151" max="6151" width="5.88671875" style="62" customWidth="1"/>
    <col min="6152" max="6152" width="13.5546875" style="62" customWidth="1"/>
    <col min="6153" max="6400" width="5.88671875" style="62"/>
    <col min="6401" max="6402" width="5.88671875" style="62" customWidth="1"/>
    <col min="6403" max="6403" width="9.88671875" style="62" customWidth="1"/>
    <col min="6404" max="6404" width="10.33203125" style="62" customWidth="1"/>
    <col min="6405" max="6405" width="8.33203125" style="62" customWidth="1"/>
    <col min="6406" max="6406" width="10.109375" style="62" customWidth="1"/>
    <col min="6407" max="6407" width="5.88671875" style="62" customWidth="1"/>
    <col min="6408" max="6408" width="13.5546875" style="62" customWidth="1"/>
    <col min="6409" max="6656" width="5.88671875" style="62"/>
    <col min="6657" max="6658" width="5.88671875" style="62" customWidth="1"/>
    <col min="6659" max="6659" width="9.88671875" style="62" customWidth="1"/>
    <col min="6660" max="6660" width="10.33203125" style="62" customWidth="1"/>
    <col min="6661" max="6661" width="8.33203125" style="62" customWidth="1"/>
    <col min="6662" max="6662" width="10.109375" style="62" customWidth="1"/>
    <col min="6663" max="6663" width="5.88671875" style="62" customWidth="1"/>
    <col min="6664" max="6664" width="13.5546875" style="62" customWidth="1"/>
    <col min="6665" max="6912" width="5.88671875" style="62"/>
    <col min="6913" max="6914" width="5.88671875" style="62" customWidth="1"/>
    <col min="6915" max="6915" width="9.88671875" style="62" customWidth="1"/>
    <col min="6916" max="6916" width="10.33203125" style="62" customWidth="1"/>
    <col min="6917" max="6917" width="8.33203125" style="62" customWidth="1"/>
    <col min="6918" max="6918" width="10.109375" style="62" customWidth="1"/>
    <col min="6919" max="6919" width="5.88671875" style="62" customWidth="1"/>
    <col min="6920" max="6920" width="13.5546875" style="62" customWidth="1"/>
    <col min="6921" max="7168" width="5.88671875" style="62"/>
    <col min="7169" max="7170" width="5.88671875" style="62" customWidth="1"/>
    <col min="7171" max="7171" width="9.88671875" style="62" customWidth="1"/>
    <col min="7172" max="7172" width="10.33203125" style="62" customWidth="1"/>
    <col min="7173" max="7173" width="8.33203125" style="62" customWidth="1"/>
    <col min="7174" max="7174" width="10.109375" style="62" customWidth="1"/>
    <col min="7175" max="7175" width="5.88671875" style="62" customWidth="1"/>
    <col min="7176" max="7176" width="13.5546875" style="62" customWidth="1"/>
    <col min="7177" max="7424" width="5.88671875" style="62"/>
    <col min="7425" max="7426" width="5.88671875" style="62" customWidth="1"/>
    <col min="7427" max="7427" width="9.88671875" style="62" customWidth="1"/>
    <col min="7428" max="7428" width="10.33203125" style="62" customWidth="1"/>
    <col min="7429" max="7429" width="8.33203125" style="62" customWidth="1"/>
    <col min="7430" max="7430" width="10.109375" style="62" customWidth="1"/>
    <col min="7431" max="7431" width="5.88671875" style="62" customWidth="1"/>
    <col min="7432" max="7432" width="13.5546875" style="62" customWidth="1"/>
    <col min="7433" max="7680" width="5.88671875" style="62"/>
    <col min="7681" max="7682" width="5.88671875" style="62" customWidth="1"/>
    <col min="7683" max="7683" width="9.88671875" style="62" customWidth="1"/>
    <col min="7684" max="7684" width="10.33203125" style="62" customWidth="1"/>
    <col min="7685" max="7685" width="8.33203125" style="62" customWidth="1"/>
    <col min="7686" max="7686" width="10.109375" style="62" customWidth="1"/>
    <col min="7687" max="7687" width="5.88671875" style="62" customWidth="1"/>
    <col min="7688" max="7688" width="13.5546875" style="62" customWidth="1"/>
    <col min="7689" max="7936" width="5.88671875" style="62"/>
    <col min="7937" max="7938" width="5.88671875" style="62" customWidth="1"/>
    <col min="7939" max="7939" width="9.88671875" style="62" customWidth="1"/>
    <col min="7940" max="7940" width="10.33203125" style="62" customWidth="1"/>
    <col min="7941" max="7941" width="8.33203125" style="62" customWidth="1"/>
    <col min="7942" max="7942" width="10.109375" style="62" customWidth="1"/>
    <col min="7943" max="7943" width="5.88671875" style="62" customWidth="1"/>
    <col min="7944" max="7944" width="13.5546875" style="62" customWidth="1"/>
    <col min="7945" max="8192" width="5.88671875" style="62"/>
    <col min="8193" max="8194" width="5.88671875" style="62" customWidth="1"/>
    <col min="8195" max="8195" width="9.88671875" style="62" customWidth="1"/>
    <col min="8196" max="8196" width="10.33203125" style="62" customWidth="1"/>
    <col min="8197" max="8197" width="8.33203125" style="62" customWidth="1"/>
    <col min="8198" max="8198" width="10.109375" style="62" customWidth="1"/>
    <col min="8199" max="8199" width="5.88671875" style="62" customWidth="1"/>
    <col min="8200" max="8200" width="13.5546875" style="62" customWidth="1"/>
    <col min="8201" max="8448" width="5.88671875" style="62"/>
    <col min="8449" max="8450" width="5.88671875" style="62" customWidth="1"/>
    <col min="8451" max="8451" width="9.88671875" style="62" customWidth="1"/>
    <col min="8452" max="8452" width="10.33203125" style="62" customWidth="1"/>
    <col min="8453" max="8453" width="8.33203125" style="62" customWidth="1"/>
    <col min="8454" max="8454" width="10.109375" style="62" customWidth="1"/>
    <col min="8455" max="8455" width="5.88671875" style="62" customWidth="1"/>
    <col min="8456" max="8456" width="13.5546875" style="62" customWidth="1"/>
    <col min="8457" max="8704" width="5.88671875" style="62"/>
    <col min="8705" max="8706" width="5.88671875" style="62" customWidth="1"/>
    <col min="8707" max="8707" width="9.88671875" style="62" customWidth="1"/>
    <col min="8708" max="8708" width="10.33203125" style="62" customWidth="1"/>
    <col min="8709" max="8709" width="8.33203125" style="62" customWidth="1"/>
    <col min="8710" max="8710" width="10.109375" style="62" customWidth="1"/>
    <col min="8711" max="8711" width="5.88671875" style="62" customWidth="1"/>
    <col min="8712" max="8712" width="13.5546875" style="62" customWidth="1"/>
    <col min="8713" max="8960" width="5.88671875" style="62"/>
    <col min="8961" max="8962" width="5.88671875" style="62" customWidth="1"/>
    <col min="8963" max="8963" width="9.88671875" style="62" customWidth="1"/>
    <col min="8964" max="8964" width="10.33203125" style="62" customWidth="1"/>
    <col min="8965" max="8965" width="8.33203125" style="62" customWidth="1"/>
    <col min="8966" max="8966" width="10.109375" style="62" customWidth="1"/>
    <col min="8967" max="8967" width="5.88671875" style="62" customWidth="1"/>
    <col min="8968" max="8968" width="13.5546875" style="62" customWidth="1"/>
    <col min="8969" max="9216" width="5.88671875" style="62"/>
    <col min="9217" max="9218" width="5.88671875" style="62" customWidth="1"/>
    <col min="9219" max="9219" width="9.88671875" style="62" customWidth="1"/>
    <col min="9220" max="9220" width="10.33203125" style="62" customWidth="1"/>
    <col min="9221" max="9221" width="8.33203125" style="62" customWidth="1"/>
    <col min="9222" max="9222" width="10.109375" style="62" customWidth="1"/>
    <col min="9223" max="9223" width="5.88671875" style="62" customWidth="1"/>
    <col min="9224" max="9224" width="13.5546875" style="62" customWidth="1"/>
    <col min="9225" max="9472" width="5.88671875" style="62"/>
    <col min="9473" max="9474" width="5.88671875" style="62" customWidth="1"/>
    <col min="9475" max="9475" width="9.88671875" style="62" customWidth="1"/>
    <col min="9476" max="9476" width="10.33203125" style="62" customWidth="1"/>
    <col min="9477" max="9477" width="8.33203125" style="62" customWidth="1"/>
    <col min="9478" max="9478" width="10.109375" style="62" customWidth="1"/>
    <col min="9479" max="9479" width="5.88671875" style="62" customWidth="1"/>
    <col min="9480" max="9480" width="13.5546875" style="62" customWidth="1"/>
    <col min="9481" max="9728" width="5.88671875" style="62"/>
    <col min="9729" max="9730" width="5.88671875" style="62" customWidth="1"/>
    <col min="9731" max="9731" width="9.88671875" style="62" customWidth="1"/>
    <col min="9732" max="9732" width="10.33203125" style="62" customWidth="1"/>
    <col min="9733" max="9733" width="8.33203125" style="62" customWidth="1"/>
    <col min="9734" max="9734" width="10.109375" style="62" customWidth="1"/>
    <col min="9735" max="9735" width="5.88671875" style="62" customWidth="1"/>
    <col min="9736" max="9736" width="13.5546875" style="62" customWidth="1"/>
    <col min="9737" max="9984" width="5.88671875" style="62"/>
    <col min="9985" max="9986" width="5.88671875" style="62" customWidth="1"/>
    <col min="9987" max="9987" width="9.88671875" style="62" customWidth="1"/>
    <col min="9988" max="9988" width="10.33203125" style="62" customWidth="1"/>
    <col min="9989" max="9989" width="8.33203125" style="62" customWidth="1"/>
    <col min="9990" max="9990" width="10.109375" style="62" customWidth="1"/>
    <col min="9991" max="9991" width="5.88671875" style="62" customWidth="1"/>
    <col min="9992" max="9992" width="13.5546875" style="62" customWidth="1"/>
    <col min="9993" max="10240" width="5.88671875" style="62"/>
    <col min="10241" max="10242" width="5.88671875" style="62" customWidth="1"/>
    <col min="10243" max="10243" width="9.88671875" style="62" customWidth="1"/>
    <col min="10244" max="10244" width="10.33203125" style="62" customWidth="1"/>
    <col min="10245" max="10245" width="8.33203125" style="62" customWidth="1"/>
    <col min="10246" max="10246" width="10.109375" style="62" customWidth="1"/>
    <col min="10247" max="10247" width="5.88671875" style="62" customWidth="1"/>
    <col min="10248" max="10248" width="13.5546875" style="62" customWidth="1"/>
    <col min="10249" max="10496" width="5.88671875" style="62"/>
    <col min="10497" max="10498" width="5.88671875" style="62" customWidth="1"/>
    <col min="10499" max="10499" width="9.88671875" style="62" customWidth="1"/>
    <col min="10500" max="10500" width="10.33203125" style="62" customWidth="1"/>
    <col min="10501" max="10501" width="8.33203125" style="62" customWidth="1"/>
    <col min="10502" max="10502" width="10.109375" style="62" customWidth="1"/>
    <col min="10503" max="10503" width="5.88671875" style="62" customWidth="1"/>
    <col min="10504" max="10504" width="13.5546875" style="62" customWidth="1"/>
    <col min="10505" max="10752" width="5.88671875" style="62"/>
    <col min="10753" max="10754" width="5.88671875" style="62" customWidth="1"/>
    <col min="10755" max="10755" width="9.88671875" style="62" customWidth="1"/>
    <col min="10756" max="10756" width="10.33203125" style="62" customWidth="1"/>
    <col min="10757" max="10757" width="8.33203125" style="62" customWidth="1"/>
    <col min="10758" max="10758" width="10.109375" style="62" customWidth="1"/>
    <col min="10759" max="10759" width="5.88671875" style="62" customWidth="1"/>
    <col min="10760" max="10760" width="13.5546875" style="62" customWidth="1"/>
    <col min="10761" max="11008" width="5.88671875" style="62"/>
    <col min="11009" max="11010" width="5.88671875" style="62" customWidth="1"/>
    <col min="11011" max="11011" width="9.88671875" style="62" customWidth="1"/>
    <col min="11012" max="11012" width="10.33203125" style="62" customWidth="1"/>
    <col min="11013" max="11013" width="8.33203125" style="62" customWidth="1"/>
    <col min="11014" max="11014" width="10.109375" style="62" customWidth="1"/>
    <col min="11015" max="11015" width="5.88671875" style="62" customWidth="1"/>
    <col min="11016" max="11016" width="13.5546875" style="62" customWidth="1"/>
    <col min="11017" max="11264" width="5.88671875" style="62"/>
    <col min="11265" max="11266" width="5.88671875" style="62" customWidth="1"/>
    <col min="11267" max="11267" width="9.88671875" style="62" customWidth="1"/>
    <col min="11268" max="11268" width="10.33203125" style="62" customWidth="1"/>
    <col min="11269" max="11269" width="8.33203125" style="62" customWidth="1"/>
    <col min="11270" max="11270" width="10.109375" style="62" customWidth="1"/>
    <col min="11271" max="11271" width="5.88671875" style="62" customWidth="1"/>
    <col min="11272" max="11272" width="13.5546875" style="62" customWidth="1"/>
    <col min="11273" max="11520" width="5.88671875" style="62"/>
    <col min="11521" max="11522" width="5.88671875" style="62" customWidth="1"/>
    <col min="11523" max="11523" width="9.88671875" style="62" customWidth="1"/>
    <col min="11524" max="11524" width="10.33203125" style="62" customWidth="1"/>
    <col min="11525" max="11525" width="8.33203125" style="62" customWidth="1"/>
    <col min="11526" max="11526" width="10.109375" style="62" customWidth="1"/>
    <col min="11527" max="11527" width="5.88671875" style="62" customWidth="1"/>
    <col min="11528" max="11528" width="13.5546875" style="62" customWidth="1"/>
    <col min="11529" max="11776" width="5.88671875" style="62"/>
    <col min="11777" max="11778" width="5.88671875" style="62" customWidth="1"/>
    <col min="11779" max="11779" width="9.88671875" style="62" customWidth="1"/>
    <col min="11780" max="11780" width="10.33203125" style="62" customWidth="1"/>
    <col min="11781" max="11781" width="8.33203125" style="62" customWidth="1"/>
    <col min="11782" max="11782" width="10.109375" style="62" customWidth="1"/>
    <col min="11783" max="11783" width="5.88671875" style="62" customWidth="1"/>
    <col min="11784" max="11784" width="13.5546875" style="62" customWidth="1"/>
    <col min="11785" max="12032" width="5.88671875" style="62"/>
    <col min="12033" max="12034" width="5.88671875" style="62" customWidth="1"/>
    <col min="12035" max="12035" width="9.88671875" style="62" customWidth="1"/>
    <col min="12036" max="12036" width="10.33203125" style="62" customWidth="1"/>
    <col min="12037" max="12037" width="8.33203125" style="62" customWidth="1"/>
    <col min="12038" max="12038" width="10.109375" style="62" customWidth="1"/>
    <col min="12039" max="12039" width="5.88671875" style="62" customWidth="1"/>
    <col min="12040" max="12040" width="13.5546875" style="62" customWidth="1"/>
    <col min="12041" max="12288" width="5.88671875" style="62"/>
    <col min="12289" max="12290" width="5.88671875" style="62" customWidth="1"/>
    <col min="12291" max="12291" width="9.88671875" style="62" customWidth="1"/>
    <col min="12292" max="12292" width="10.33203125" style="62" customWidth="1"/>
    <col min="12293" max="12293" width="8.33203125" style="62" customWidth="1"/>
    <col min="12294" max="12294" width="10.109375" style="62" customWidth="1"/>
    <col min="12295" max="12295" width="5.88671875" style="62" customWidth="1"/>
    <col min="12296" max="12296" width="13.5546875" style="62" customWidth="1"/>
    <col min="12297" max="12544" width="5.88671875" style="62"/>
    <col min="12545" max="12546" width="5.88671875" style="62" customWidth="1"/>
    <col min="12547" max="12547" width="9.88671875" style="62" customWidth="1"/>
    <col min="12548" max="12548" width="10.33203125" style="62" customWidth="1"/>
    <col min="12549" max="12549" width="8.33203125" style="62" customWidth="1"/>
    <col min="12550" max="12550" width="10.109375" style="62" customWidth="1"/>
    <col min="12551" max="12551" width="5.88671875" style="62" customWidth="1"/>
    <col min="12552" max="12552" width="13.5546875" style="62" customWidth="1"/>
    <col min="12553" max="12800" width="5.88671875" style="62"/>
    <col min="12801" max="12802" width="5.88671875" style="62" customWidth="1"/>
    <col min="12803" max="12803" width="9.88671875" style="62" customWidth="1"/>
    <col min="12804" max="12804" width="10.33203125" style="62" customWidth="1"/>
    <col min="12805" max="12805" width="8.33203125" style="62" customWidth="1"/>
    <col min="12806" max="12806" width="10.109375" style="62" customWidth="1"/>
    <col min="12807" max="12807" width="5.88671875" style="62" customWidth="1"/>
    <col min="12808" max="12808" width="13.5546875" style="62" customWidth="1"/>
    <col min="12809" max="13056" width="5.88671875" style="62"/>
    <col min="13057" max="13058" width="5.88671875" style="62" customWidth="1"/>
    <col min="13059" max="13059" width="9.88671875" style="62" customWidth="1"/>
    <col min="13060" max="13060" width="10.33203125" style="62" customWidth="1"/>
    <col min="13061" max="13061" width="8.33203125" style="62" customWidth="1"/>
    <col min="13062" max="13062" width="10.109375" style="62" customWidth="1"/>
    <col min="13063" max="13063" width="5.88671875" style="62" customWidth="1"/>
    <col min="13064" max="13064" width="13.5546875" style="62" customWidth="1"/>
    <col min="13065" max="13312" width="5.88671875" style="62"/>
    <col min="13313" max="13314" width="5.88671875" style="62" customWidth="1"/>
    <col min="13315" max="13315" width="9.88671875" style="62" customWidth="1"/>
    <col min="13316" max="13316" width="10.33203125" style="62" customWidth="1"/>
    <col min="13317" max="13317" width="8.33203125" style="62" customWidth="1"/>
    <col min="13318" max="13318" width="10.109375" style="62" customWidth="1"/>
    <col min="13319" max="13319" width="5.88671875" style="62" customWidth="1"/>
    <col min="13320" max="13320" width="13.5546875" style="62" customWidth="1"/>
    <col min="13321" max="13568" width="5.88671875" style="62"/>
    <col min="13569" max="13570" width="5.88671875" style="62" customWidth="1"/>
    <col min="13571" max="13571" width="9.88671875" style="62" customWidth="1"/>
    <col min="13572" max="13572" width="10.33203125" style="62" customWidth="1"/>
    <col min="13573" max="13573" width="8.33203125" style="62" customWidth="1"/>
    <col min="13574" max="13574" width="10.109375" style="62" customWidth="1"/>
    <col min="13575" max="13575" width="5.88671875" style="62" customWidth="1"/>
    <col min="13576" max="13576" width="13.5546875" style="62" customWidth="1"/>
    <col min="13577" max="13824" width="5.88671875" style="62"/>
    <col min="13825" max="13826" width="5.88671875" style="62" customWidth="1"/>
    <col min="13827" max="13827" width="9.88671875" style="62" customWidth="1"/>
    <col min="13828" max="13828" width="10.33203125" style="62" customWidth="1"/>
    <col min="13829" max="13829" width="8.33203125" style="62" customWidth="1"/>
    <col min="13830" max="13830" width="10.109375" style="62" customWidth="1"/>
    <col min="13831" max="13831" width="5.88671875" style="62" customWidth="1"/>
    <col min="13832" max="13832" width="13.5546875" style="62" customWidth="1"/>
    <col min="13833" max="14080" width="5.88671875" style="62"/>
    <col min="14081" max="14082" width="5.88671875" style="62" customWidth="1"/>
    <col min="14083" max="14083" width="9.88671875" style="62" customWidth="1"/>
    <col min="14084" max="14084" width="10.33203125" style="62" customWidth="1"/>
    <col min="14085" max="14085" width="8.33203125" style="62" customWidth="1"/>
    <col min="14086" max="14086" width="10.109375" style="62" customWidth="1"/>
    <col min="14087" max="14087" width="5.88671875" style="62" customWidth="1"/>
    <col min="14088" max="14088" width="13.5546875" style="62" customWidth="1"/>
    <col min="14089" max="14336" width="5.88671875" style="62"/>
    <col min="14337" max="14338" width="5.88671875" style="62" customWidth="1"/>
    <col min="14339" max="14339" width="9.88671875" style="62" customWidth="1"/>
    <col min="14340" max="14340" width="10.33203125" style="62" customWidth="1"/>
    <col min="14341" max="14341" width="8.33203125" style="62" customWidth="1"/>
    <col min="14342" max="14342" width="10.109375" style="62" customWidth="1"/>
    <col min="14343" max="14343" width="5.88671875" style="62" customWidth="1"/>
    <col min="14344" max="14344" width="13.5546875" style="62" customWidth="1"/>
    <col min="14345" max="14592" width="5.88671875" style="62"/>
    <col min="14593" max="14594" width="5.88671875" style="62" customWidth="1"/>
    <col min="14595" max="14595" width="9.88671875" style="62" customWidth="1"/>
    <col min="14596" max="14596" width="10.33203125" style="62" customWidth="1"/>
    <col min="14597" max="14597" width="8.33203125" style="62" customWidth="1"/>
    <col min="14598" max="14598" width="10.109375" style="62" customWidth="1"/>
    <col min="14599" max="14599" width="5.88671875" style="62" customWidth="1"/>
    <col min="14600" max="14600" width="13.5546875" style="62" customWidth="1"/>
    <col min="14601" max="14848" width="5.88671875" style="62"/>
    <col min="14849" max="14850" width="5.88671875" style="62" customWidth="1"/>
    <col min="14851" max="14851" width="9.88671875" style="62" customWidth="1"/>
    <col min="14852" max="14852" width="10.33203125" style="62" customWidth="1"/>
    <col min="14853" max="14853" width="8.33203125" style="62" customWidth="1"/>
    <col min="14854" max="14854" width="10.109375" style="62" customWidth="1"/>
    <col min="14855" max="14855" width="5.88671875" style="62" customWidth="1"/>
    <col min="14856" max="14856" width="13.5546875" style="62" customWidth="1"/>
    <col min="14857" max="15104" width="5.88671875" style="62"/>
    <col min="15105" max="15106" width="5.88671875" style="62" customWidth="1"/>
    <col min="15107" max="15107" width="9.88671875" style="62" customWidth="1"/>
    <col min="15108" max="15108" width="10.33203125" style="62" customWidth="1"/>
    <col min="15109" max="15109" width="8.33203125" style="62" customWidth="1"/>
    <col min="15110" max="15110" width="10.109375" style="62" customWidth="1"/>
    <col min="15111" max="15111" width="5.88671875" style="62" customWidth="1"/>
    <col min="15112" max="15112" width="13.5546875" style="62" customWidth="1"/>
    <col min="15113" max="15360" width="5.88671875" style="62"/>
    <col min="15361" max="15362" width="5.88671875" style="62" customWidth="1"/>
    <col min="15363" max="15363" width="9.88671875" style="62" customWidth="1"/>
    <col min="15364" max="15364" width="10.33203125" style="62" customWidth="1"/>
    <col min="15365" max="15365" width="8.33203125" style="62" customWidth="1"/>
    <col min="15366" max="15366" width="10.109375" style="62" customWidth="1"/>
    <col min="15367" max="15367" width="5.88671875" style="62" customWidth="1"/>
    <col min="15368" max="15368" width="13.5546875" style="62" customWidth="1"/>
    <col min="15369" max="15616" width="5.88671875" style="62"/>
    <col min="15617" max="15618" width="5.88671875" style="62" customWidth="1"/>
    <col min="15619" max="15619" width="9.88671875" style="62" customWidth="1"/>
    <col min="15620" max="15620" width="10.33203125" style="62" customWidth="1"/>
    <col min="15621" max="15621" width="8.33203125" style="62" customWidth="1"/>
    <col min="15622" max="15622" width="10.109375" style="62" customWidth="1"/>
    <col min="15623" max="15623" width="5.88671875" style="62" customWidth="1"/>
    <col min="15624" max="15624" width="13.5546875" style="62" customWidth="1"/>
    <col min="15625" max="15872" width="5.88671875" style="62"/>
    <col min="15873" max="15874" width="5.88671875" style="62" customWidth="1"/>
    <col min="15875" max="15875" width="9.88671875" style="62" customWidth="1"/>
    <col min="15876" max="15876" width="10.33203125" style="62" customWidth="1"/>
    <col min="15877" max="15877" width="8.33203125" style="62" customWidth="1"/>
    <col min="15878" max="15878" width="10.109375" style="62" customWidth="1"/>
    <col min="15879" max="15879" width="5.88671875" style="62" customWidth="1"/>
    <col min="15880" max="15880" width="13.5546875" style="62" customWidth="1"/>
    <col min="15881" max="16128" width="5.88671875" style="62"/>
    <col min="16129" max="16130" width="5.88671875" style="62" customWidth="1"/>
    <col min="16131" max="16131" width="9.88671875" style="62" customWidth="1"/>
    <col min="16132" max="16132" width="10.33203125" style="62" customWidth="1"/>
    <col min="16133" max="16133" width="8.33203125" style="62" customWidth="1"/>
    <col min="16134" max="16134" width="10.109375" style="62" customWidth="1"/>
    <col min="16135" max="16135" width="5.88671875" style="62" customWidth="1"/>
    <col min="16136" max="16136" width="13.5546875" style="62" customWidth="1"/>
    <col min="16137" max="16384" width="5.88671875" style="62"/>
  </cols>
  <sheetData>
    <row r="1" spans="1:8" ht="14.4">
      <c r="A1" s="453" t="s">
        <v>309</v>
      </c>
    </row>
    <row r="2" spans="1:8" ht="14.4">
      <c r="A2" s="453" t="s">
        <v>290</v>
      </c>
    </row>
    <row r="4" spans="1:8" ht="26.4">
      <c r="A4" s="57" t="s">
        <v>19</v>
      </c>
      <c r="B4" s="58"/>
      <c r="C4" s="59" t="s">
        <v>112</v>
      </c>
      <c r="D4" s="59"/>
      <c r="E4" s="60" t="s">
        <v>113</v>
      </c>
      <c r="F4" s="61" t="s">
        <v>114</v>
      </c>
    </row>
    <row r="5" spans="1:8">
      <c r="A5" s="58"/>
      <c r="B5" s="58"/>
      <c r="C5" s="63"/>
      <c r="D5" s="59" t="s">
        <v>115</v>
      </c>
    </row>
    <row r="6" spans="1:8">
      <c r="A6" s="65">
        <v>2012</v>
      </c>
      <c r="B6" s="65">
        <v>1</v>
      </c>
      <c r="C6" s="66">
        <v>31</v>
      </c>
      <c r="D6" s="67">
        <f>C6/SUM(C6:C17)</f>
        <v>8.4699453551912565E-2</v>
      </c>
      <c r="F6" s="68">
        <f t="shared" ref="F6:F17" si="0">E$17*D6</f>
        <v>488.82654918032785</v>
      </c>
      <c r="H6" s="69"/>
    </row>
    <row r="7" spans="1:8">
      <c r="A7" s="65">
        <v>2012</v>
      </c>
      <c r="B7" s="65">
        <v>2</v>
      </c>
      <c r="C7" s="66">
        <v>29</v>
      </c>
      <c r="D7" s="67">
        <f>C7/SUM(C6:C17)</f>
        <v>7.9234972677595633E-2</v>
      </c>
      <c r="F7" s="68">
        <f t="shared" si="0"/>
        <v>457.28935245901641</v>
      </c>
      <c r="H7" s="69"/>
    </row>
    <row r="8" spans="1:8">
      <c r="A8" s="65">
        <v>2012</v>
      </c>
      <c r="B8" s="65">
        <v>3</v>
      </c>
      <c r="C8" s="66">
        <v>31</v>
      </c>
      <c r="D8" s="67">
        <f>C8/SUM(C6:C17)</f>
        <v>8.4699453551912565E-2</v>
      </c>
      <c r="F8" s="68">
        <f t="shared" si="0"/>
        <v>488.82654918032785</v>
      </c>
      <c r="H8" s="69"/>
    </row>
    <row r="9" spans="1:8">
      <c r="A9" s="65">
        <v>2012</v>
      </c>
      <c r="B9" s="65">
        <v>4</v>
      </c>
      <c r="C9" s="66">
        <v>31</v>
      </c>
      <c r="D9" s="67">
        <f>C9/SUM(C6:C17)</f>
        <v>8.4699453551912565E-2</v>
      </c>
      <c r="F9" s="68">
        <f t="shared" si="0"/>
        <v>488.82654918032785</v>
      </c>
      <c r="H9" s="69"/>
    </row>
    <row r="10" spans="1:8">
      <c r="A10" s="65">
        <v>2012</v>
      </c>
      <c r="B10" s="65">
        <v>5</v>
      </c>
      <c r="C10" s="66">
        <v>30</v>
      </c>
      <c r="D10" s="67">
        <f>C10/SUM(C6:C17)</f>
        <v>8.1967213114754092E-2</v>
      </c>
      <c r="F10" s="68">
        <f t="shared" si="0"/>
        <v>473.0579508196721</v>
      </c>
      <c r="H10" s="69"/>
    </row>
    <row r="11" spans="1:8">
      <c r="A11" s="65">
        <v>2012</v>
      </c>
      <c r="B11" s="65">
        <v>6</v>
      </c>
      <c r="C11" s="66">
        <v>31</v>
      </c>
      <c r="D11" s="67">
        <f>C11/SUM(C6:C17)</f>
        <v>8.4699453551912565E-2</v>
      </c>
      <c r="F11" s="68">
        <f t="shared" si="0"/>
        <v>488.82654918032785</v>
      </c>
      <c r="H11" s="69"/>
    </row>
    <row r="12" spans="1:8">
      <c r="A12" s="65">
        <v>2012</v>
      </c>
      <c r="B12" s="65">
        <v>7</v>
      </c>
      <c r="C12" s="66">
        <v>30</v>
      </c>
      <c r="D12" s="67">
        <f>C12/SUM(C6:C17)</f>
        <v>8.1967213114754092E-2</v>
      </c>
      <c r="F12" s="68">
        <f t="shared" si="0"/>
        <v>473.0579508196721</v>
      </c>
      <c r="H12" s="69"/>
    </row>
    <row r="13" spans="1:8">
      <c r="A13" s="65">
        <v>2012</v>
      </c>
      <c r="B13" s="65">
        <v>8</v>
      </c>
      <c r="C13" s="66">
        <v>31</v>
      </c>
      <c r="D13" s="67">
        <f>C13/SUM(C6:C17)</f>
        <v>8.4699453551912565E-2</v>
      </c>
      <c r="F13" s="68">
        <f t="shared" si="0"/>
        <v>488.82654918032785</v>
      </c>
      <c r="H13" s="69"/>
    </row>
    <row r="14" spans="1:8">
      <c r="A14" s="65">
        <v>2012</v>
      </c>
      <c r="B14" s="65">
        <v>9</v>
      </c>
      <c r="C14" s="66">
        <v>31</v>
      </c>
      <c r="D14" s="67">
        <f>C14/SUM(C6:C17)</f>
        <v>8.4699453551912565E-2</v>
      </c>
      <c r="F14" s="68">
        <f t="shared" si="0"/>
        <v>488.82654918032785</v>
      </c>
      <c r="H14" s="69"/>
    </row>
    <row r="15" spans="1:8">
      <c r="A15" s="65">
        <v>2012</v>
      </c>
      <c r="B15" s="65">
        <v>10</v>
      </c>
      <c r="C15" s="66">
        <v>30</v>
      </c>
      <c r="D15" s="67">
        <f>C15/SUM(C6:C17)</f>
        <v>8.1967213114754092E-2</v>
      </c>
      <c r="F15" s="68">
        <f t="shared" si="0"/>
        <v>473.0579508196721</v>
      </c>
      <c r="H15" s="69"/>
    </row>
    <row r="16" spans="1:8">
      <c r="A16" s="65">
        <v>2012</v>
      </c>
      <c r="B16" s="65">
        <v>11</v>
      </c>
      <c r="C16" s="66">
        <v>31</v>
      </c>
      <c r="D16" s="67">
        <f>C16/SUM(C6:C17)</f>
        <v>8.4699453551912565E-2</v>
      </c>
      <c r="F16" s="68">
        <f t="shared" si="0"/>
        <v>488.82654918032785</v>
      </c>
      <c r="H16" s="69"/>
    </row>
    <row r="17" spans="1:8">
      <c r="A17" s="65">
        <v>2012</v>
      </c>
      <c r="B17" s="65">
        <v>12</v>
      </c>
      <c r="C17" s="66">
        <v>30</v>
      </c>
      <c r="D17" s="67">
        <f>C17/SUM(C6:C17)</f>
        <v>8.1967213114754092E-2</v>
      </c>
      <c r="E17" s="64">
        <f>+FORECAST!F9</f>
        <v>5771.3069999999998</v>
      </c>
      <c r="F17" s="68">
        <f t="shared" si="0"/>
        <v>473.0579508196721</v>
      </c>
      <c r="H17" s="69"/>
    </row>
    <row r="18" spans="1:8">
      <c r="A18" s="65">
        <v>2013</v>
      </c>
      <c r="B18" s="65">
        <f t="shared" ref="B18:B29" si="1">B6</f>
        <v>1</v>
      </c>
      <c r="C18" s="66">
        <v>31</v>
      </c>
      <c r="D18" s="67">
        <f>C18/SUM(C18:C29)</f>
        <v>8.4931506849315067E-2</v>
      </c>
      <c r="F18" s="68">
        <f t="shared" ref="F18:F29" si="2">E$29*D18</f>
        <v>1762.0789114985473</v>
      </c>
      <c r="H18" s="69"/>
    </row>
    <row r="19" spans="1:8">
      <c r="A19" s="65">
        <f t="shared" ref="A19:A29" si="3">A18</f>
        <v>2013</v>
      </c>
      <c r="B19" s="65">
        <f t="shared" si="1"/>
        <v>2</v>
      </c>
      <c r="C19" s="66">
        <v>28</v>
      </c>
      <c r="D19" s="67">
        <f>C19/SUM(C18:C29)</f>
        <v>7.6712328767123292E-2</v>
      </c>
      <c r="F19" s="68">
        <f t="shared" si="2"/>
        <v>1591.5551458696557</v>
      </c>
      <c r="H19" s="69"/>
    </row>
    <row r="20" spans="1:8">
      <c r="A20" s="65">
        <f t="shared" si="3"/>
        <v>2013</v>
      </c>
      <c r="B20" s="65">
        <f t="shared" si="1"/>
        <v>3</v>
      </c>
      <c r="C20" s="66">
        <v>31</v>
      </c>
      <c r="D20" s="67">
        <f>C20/SUM(C18:C29)</f>
        <v>8.4931506849315067E-2</v>
      </c>
      <c r="F20" s="68">
        <f t="shared" si="2"/>
        <v>1762.0789114985473</v>
      </c>
      <c r="H20" s="69"/>
    </row>
    <row r="21" spans="1:8">
      <c r="A21" s="65">
        <f t="shared" si="3"/>
        <v>2013</v>
      </c>
      <c r="B21" s="65">
        <f t="shared" si="1"/>
        <v>4</v>
      </c>
      <c r="C21" s="66">
        <v>31</v>
      </c>
      <c r="D21" s="67">
        <f>C21/SUM(C18:C29)</f>
        <v>8.4931506849315067E-2</v>
      </c>
      <c r="F21" s="68">
        <f t="shared" si="2"/>
        <v>1762.0789114985473</v>
      </c>
      <c r="H21" s="69"/>
    </row>
    <row r="22" spans="1:8">
      <c r="A22" s="65">
        <f t="shared" si="3"/>
        <v>2013</v>
      </c>
      <c r="B22" s="65">
        <f t="shared" si="1"/>
        <v>5</v>
      </c>
      <c r="C22" s="66">
        <v>30</v>
      </c>
      <c r="D22" s="67">
        <f>C22/SUM(C18:C29)</f>
        <v>8.2191780821917804E-2</v>
      </c>
      <c r="F22" s="68">
        <f t="shared" si="2"/>
        <v>1705.2376562889167</v>
      </c>
      <c r="H22" s="69"/>
    </row>
    <row r="23" spans="1:8">
      <c r="A23" s="65">
        <f t="shared" si="3"/>
        <v>2013</v>
      </c>
      <c r="B23" s="65">
        <f t="shared" si="1"/>
        <v>6</v>
      </c>
      <c r="C23" s="66">
        <v>31</v>
      </c>
      <c r="D23" s="67">
        <f>C23/SUM(C18:C29)</f>
        <v>8.4931506849315067E-2</v>
      </c>
      <c r="F23" s="68">
        <f t="shared" si="2"/>
        <v>1762.0789114985473</v>
      </c>
      <c r="H23" s="69"/>
    </row>
    <row r="24" spans="1:8">
      <c r="A24" s="65">
        <f t="shared" si="3"/>
        <v>2013</v>
      </c>
      <c r="B24" s="65">
        <f t="shared" si="1"/>
        <v>7</v>
      </c>
      <c r="C24" s="66">
        <v>30</v>
      </c>
      <c r="D24" s="67">
        <f>C24/SUM(C18:C29)</f>
        <v>8.2191780821917804E-2</v>
      </c>
      <c r="F24" s="68">
        <f t="shared" si="2"/>
        <v>1705.2376562889167</v>
      </c>
      <c r="H24" s="69"/>
    </row>
    <row r="25" spans="1:8">
      <c r="A25" s="65">
        <f t="shared" si="3"/>
        <v>2013</v>
      </c>
      <c r="B25" s="65">
        <f t="shared" si="1"/>
        <v>8</v>
      </c>
      <c r="C25" s="66">
        <v>31</v>
      </c>
      <c r="D25" s="67">
        <f>C25/SUM(C18:C29)</f>
        <v>8.4931506849315067E-2</v>
      </c>
      <c r="F25" s="68">
        <f t="shared" si="2"/>
        <v>1762.0789114985473</v>
      </c>
      <c r="H25" s="69"/>
    </row>
    <row r="26" spans="1:8">
      <c r="A26" s="65">
        <f t="shared" si="3"/>
        <v>2013</v>
      </c>
      <c r="B26" s="65">
        <f t="shared" si="1"/>
        <v>9</v>
      </c>
      <c r="C26" s="66">
        <v>31</v>
      </c>
      <c r="D26" s="67">
        <f>C26/SUM(C18:C29)</f>
        <v>8.4931506849315067E-2</v>
      </c>
      <c r="F26" s="68">
        <f t="shared" si="2"/>
        <v>1762.0789114985473</v>
      </c>
      <c r="H26" s="69"/>
    </row>
    <row r="27" spans="1:8">
      <c r="A27" s="65">
        <f t="shared" si="3"/>
        <v>2013</v>
      </c>
      <c r="B27" s="65">
        <f t="shared" si="1"/>
        <v>10</v>
      </c>
      <c r="C27" s="66">
        <v>30</v>
      </c>
      <c r="D27" s="67">
        <f>C27/SUM(C18:C29)</f>
        <v>8.2191780821917804E-2</v>
      </c>
      <c r="F27" s="68">
        <f t="shared" si="2"/>
        <v>1705.2376562889167</v>
      </c>
      <c r="H27" s="69"/>
    </row>
    <row r="28" spans="1:8">
      <c r="A28" s="65">
        <f t="shared" si="3"/>
        <v>2013</v>
      </c>
      <c r="B28" s="65">
        <f t="shared" si="1"/>
        <v>11</v>
      </c>
      <c r="C28" s="66">
        <v>31</v>
      </c>
      <c r="D28" s="67">
        <f>C28/SUM(C18:C29)</f>
        <v>8.4931506849315067E-2</v>
      </c>
      <c r="F28" s="68">
        <f t="shared" si="2"/>
        <v>1762.0789114985473</v>
      </c>
      <c r="H28" s="69"/>
    </row>
    <row r="29" spans="1:8">
      <c r="A29" s="65">
        <f t="shared" si="3"/>
        <v>2013</v>
      </c>
      <c r="B29" s="65">
        <f t="shared" si="1"/>
        <v>12</v>
      </c>
      <c r="C29" s="66">
        <v>30</v>
      </c>
      <c r="D29" s="67">
        <f>C29/SUM(C18:C29)</f>
        <v>8.2191780821917804E-2</v>
      </c>
      <c r="E29" s="64">
        <f>+FORECAST!F10</f>
        <v>20747.058151515153</v>
      </c>
      <c r="F29" s="68">
        <f t="shared" si="2"/>
        <v>1705.2376562889167</v>
      </c>
      <c r="H29" s="69"/>
    </row>
    <row r="30" spans="1:8">
      <c r="A30" s="65">
        <v>2014</v>
      </c>
      <c r="B30" s="65">
        <v>1</v>
      </c>
      <c r="C30" s="70">
        <v>31</v>
      </c>
      <c r="D30" s="67">
        <f>C30/SUM(C30:C41)</f>
        <v>8.4931506849315067E-2</v>
      </c>
      <c r="F30" s="68">
        <f t="shared" ref="F30:F41" si="4">E$41*D30</f>
        <v>2867.4019169779995</v>
      </c>
      <c r="H30" s="69"/>
    </row>
    <row r="31" spans="1:8">
      <c r="A31" s="65">
        <v>2014</v>
      </c>
      <c r="B31" s="65">
        <v>2</v>
      </c>
      <c r="C31" s="70">
        <v>28</v>
      </c>
      <c r="D31" s="67">
        <f>C31/SUM(C30:C41)</f>
        <v>7.6712328767123292E-2</v>
      </c>
      <c r="F31" s="68">
        <f t="shared" si="4"/>
        <v>2589.9114088833544</v>
      </c>
      <c r="H31" s="69"/>
    </row>
    <row r="32" spans="1:8">
      <c r="A32" s="65">
        <v>2014</v>
      </c>
      <c r="B32" s="65">
        <v>3</v>
      </c>
      <c r="C32" s="70">
        <v>31</v>
      </c>
      <c r="D32" s="67">
        <f>C32/SUM(C30:C41)</f>
        <v>8.4931506849315067E-2</v>
      </c>
      <c r="F32" s="68">
        <f t="shared" si="4"/>
        <v>2867.4019169779995</v>
      </c>
      <c r="H32" s="69"/>
    </row>
    <row r="33" spans="1:8">
      <c r="A33" s="65">
        <v>2014</v>
      </c>
      <c r="B33" s="65">
        <v>4</v>
      </c>
      <c r="C33" s="70">
        <v>31</v>
      </c>
      <c r="D33" s="67">
        <f>C33/SUM(C30:C41)</f>
        <v>8.4931506849315067E-2</v>
      </c>
      <c r="F33" s="68">
        <f t="shared" si="4"/>
        <v>2867.4019169779995</v>
      </c>
      <c r="H33" s="69"/>
    </row>
    <row r="34" spans="1:8">
      <c r="A34" s="65">
        <v>2014</v>
      </c>
      <c r="B34" s="65">
        <v>5</v>
      </c>
      <c r="C34" s="70">
        <v>30</v>
      </c>
      <c r="D34" s="67">
        <f>C34/SUM(C30:C41)</f>
        <v>8.2191780821917804E-2</v>
      </c>
      <c r="F34" s="68">
        <f t="shared" si="4"/>
        <v>2774.9050809464507</v>
      </c>
      <c r="H34" s="69"/>
    </row>
    <row r="35" spans="1:8">
      <c r="A35" s="65">
        <v>2014</v>
      </c>
      <c r="B35" s="65">
        <v>6</v>
      </c>
      <c r="C35" s="70">
        <v>31</v>
      </c>
      <c r="D35" s="67">
        <f>C35/SUM(C30:C41)</f>
        <v>8.4931506849315067E-2</v>
      </c>
      <c r="F35" s="68">
        <f t="shared" si="4"/>
        <v>2867.4019169779995</v>
      </c>
      <c r="H35" s="69"/>
    </row>
    <row r="36" spans="1:8">
      <c r="A36" s="65">
        <v>2014</v>
      </c>
      <c r="B36" s="65">
        <v>7</v>
      </c>
      <c r="C36" s="70">
        <v>30</v>
      </c>
      <c r="D36" s="67">
        <f>C36/SUM(C30:C41)</f>
        <v>8.2191780821917804E-2</v>
      </c>
      <c r="F36" s="68">
        <f t="shared" si="4"/>
        <v>2774.9050809464507</v>
      </c>
      <c r="H36" s="69"/>
    </row>
    <row r="37" spans="1:8">
      <c r="A37" s="65">
        <v>2014</v>
      </c>
      <c r="B37" s="65">
        <v>8</v>
      </c>
      <c r="C37" s="70">
        <v>31</v>
      </c>
      <c r="D37" s="67">
        <f>C37/SUM(C30:C41)</f>
        <v>8.4931506849315067E-2</v>
      </c>
      <c r="F37" s="68">
        <f t="shared" si="4"/>
        <v>2867.4019169779995</v>
      </c>
      <c r="H37" s="69"/>
    </row>
    <row r="38" spans="1:8">
      <c r="A38" s="65">
        <v>2014</v>
      </c>
      <c r="B38" s="65">
        <v>9</v>
      </c>
      <c r="C38" s="70">
        <v>31</v>
      </c>
      <c r="D38" s="67">
        <f>C38/SUM(C30:C41)</f>
        <v>8.4931506849315067E-2</v>
      </c>
      <c r="F38" s="68">
        <f t="shared" si="4"/>
        <v>2867.4019169779995</v>
      </c>
      <c r="H38" s="69"/>
    </row>
    <row r="39" spans="1:8">
      <c r="A39" s="65">
        <v>2014</v>
      </c>
      <c r="B39" s="65">
        <v>10</v>
      </c>
      <c r="C39" s="70">
        <v>30</v>
      </c>
      <c r="D39" s="67">
        <f>C39/SUM(C30:C41)</f>
        <v>8.2191780821917804E-2</v>
      </c>
      <c r="F39" s="68">
        <f t="shared" si="4"/>
        <v>2774.9050809464507</v>
      </c>
      <c r="H39" s="69"/>
    </row>
    <row r="40" spans="1:8">
      <c r="A40" s="65">
        <v>2014</v>
      </c>
      <c r="B40" s="65">
        <v>11</v>
      </c>
      <c r="C40" s="70">
        <v>31</v>
      </c>
      <c r="D40" s="67">
        <f>C40/SUM(C30:C41)</f>
        <v>8.4931506849315067E-2</v>
      </c>
      <c r="F40" s="68">
        <f t="shared" si="4"/>
        <v>2867.4019169779995</v>
      </c>
      <c r="H40" s="69"/>
    </row>
    <row r="41" spans="1:8">
      <c r="A41" s="65">
        <v>2014</v>
      </c>
      <c r="B41" s="65">
        <v>12</v>
      </c>
      <c r="C41" s="70">
        <v>30</v>
      </c>
      <c r="D41" s="67">
        <f>C41/SUM(C30:C41)</f>
        <v>8.2191780821917804E-2</v>
      </c>
      <c r="E41" s="64">
        <f>+FORECAST!F11</f>
        <v>33761.345151515154</v>
      </c>
      <c r="F41" s="68">
        <f t="shared" si="4"/>
        <v>2774.9050809464507</v>
      </c>
      <c r="H41" s="69"/>
    </row>
    <row r="42" spans="1:8">
      <c r="A42" s="65">
        <v>2015</v>
      </c>
      <c r="B42" s="65">
        <v>1</v>
      </c>
      <c r="C42" s="70">
        <v>31</v>
      </c>
      <c r="D42" s="67">
        <f>C42/SUM(C42:C53)</f>
        <v>8.4931506849315067E-2</v>
      </c>
      <c r="F42" s="68">
        <f t="shared" ref="F42:F53" si="5">E$53*D42</f>
        <v>4007.3433110707842</v>
      </c>
      <c r="H42" s="69"/>
    </row>
    <row r="43" spans="1:8">
      <c r="A43" s="65">
        <v>2015</v>
      </c>
      <c r="B43" s="65">
        <v>2</v>
      </c>
      <c r="C43" s="70">
        <v>28</v>
      </c>
      <c r="D43" s="67">
        <f>C43/SUM(C42:C53)</f>
        <v>7.6712328767123292E-2</v>
      </c>
      <c r="F43" s="68">
        <f t="shared" si="5"/>
        <v>3619.5358938703862</v>
      </c>
      <c r="H43" s="69"/>
    </row>
    <row r="44" spans="1:8">
      <c r="A44" s="65">
        <v>2015</v>
      </c>
      <c r="B44" s="65">
        <v>3</v>
      </c>
      <c r="C44" s="70">
        <v>31</v>
      </c>
      <c r="D44" s="67">
        <f>C44/SUM(C42:C53)</f>
        <v>8.4931506849315067E-2</v>
      </c>
      <c r="F44" s="68">
        <f t="shared" si="5"/>
        <v>4007.3433110707842</v>
      </c>
      <c r="H44" s="69"/>
    </row>
    <row r="45" spans="1:8">
      <c r="A45" s="65">
        <v>2015</v>
      </c>
      <c r="B45" s="65">
        <v>4</v>
      </c>
      <c r="C45" s="70">
        <v>31</v>
      </c>
      <c r="D45" s="67">
        <f>C45/SUM(C42:C53)</f>
        <v>8.4931506849315067E-2</v>
      </c>
      <c r="F45" s="68">
        <f t="shared" si="5"/>
        <v>4007.3433110707842</v>
      </c>
      <c r="H45" s="69"/>
    </row>
    <row r="46" spans="1:8">
      <c r="A46" s="65">
        <v>2015</v>
      </c>
      <c r="B46" s="65">
        <v>5</v>
      </c>
      <c r="C46" s="70">
        <v>30</v>
      </c>
      <c r="D46" s="67">
        <f>C46/SUM(C42:C53)</f>
        <v>8.2191780821917804E-2</v>
      </c>
      <c r="F46" s="68">
        <f t="shared" si="5"/>
        <v>3878.0741720039846</v>
      </c>
      <c r="H46" s="69"/>
    </row>
    <row r="47" spans="1:8">
      <c r="A47" s="65">
        <v>2015</v>
      </c>
      <c r="B47" s="65">
        <v>6</v>
      </c>
      <c r="C47" s="70">
        <v>31</v>
      </c>
      <c r="D47" s="67">
        <f>C47/SUM(C42:C53)</f>
        <v>8.4931506849315067E-2</v>
      </c>
      <c r="F47" s="68">
        <f t="shared" si="5"/>
        <v>4007.3433110707842</v>
      </c>
      <c r="H47" s="69"/>
    </row>
    <row r="48" spans="1:8">
      <c r="A48" s="65">
        <v>2015</v>
      </c>
      <c r="B48" s="65">
        <v>7</v>
      </c>
      <c r="C48" s="70">
        <v>30</v>
      </c>
      <c r="D48" s="67">
        <f>C48/SUM(C42:C53)</f>
        <v>8.2191780821917804E-2</v>
      </c>
      <c r="F48" s="68">
        <f t="shared" si="5"/>
        <v>3878.0741720039846</v>
      </c>
      <c r="H48" s="69"/>
    </row>
    <row r="49" spans="1:10">
      <c r="A49" s="65">
        <v>2015</v>
      </c>
      <c r="B49" s="65">
        <v>8</v>
      </c>
      <c r="C49" s="70">
        <v>31</v>
      </c>
      <c r="D49" s="67">
        <f>C49/SUM(C42:C53)</f>
        <v>8.4931506849315067E-2</v>
      </c>
      <c r="F49" s="68">
        <f t="shared" si="5"/>
        <v>4007.3433110707842</v>
      </c>
      <c r="H49" s="71">
        <f>SUM(F38:F49)</f>
        <v>42697.014789081179</v>
      </c>
      <c r="J49" s="62">
        <f>H49/FORECAST!G30</f>
        <v>9470.7052761541236</v>
      </c>
    </row>
    <row r="50" spans="1:10">
      <c r="A50" s="65">
        <v>2015</v>
      </c>
      <c r="B50" s="65">
        <v>9</v>
      </c>
      <c r="C50" s="70">
        <v>31</v>
      </c>
      <c r="D50" s="67">
        <f>C50/SUM(C42:C53)</f>
        <v>8.4931506849315067E-2</v>
      </c>
      <c r="F50" s="68">
        <f t="shared" si="5"/>
        <v>4007.3433110707842</v>
      </c>
      <c r="H50" s="69"/>
    </row>
    <row r="51" spans="1:10">
      <c r="A51" s="65">
        <v>2015</v>
      </c>
      <c r="B51" s="65">
        <v>10</v>
      </c>
      <c r="C51" s="70">
        <v>30</v>
      </c>
      <c r="D51" s="67">
        <f>C51/SUM(C42:C53)</f>
        <v>8.2191780821917804E-2</v>
      </c>
      <c r="F51" s="68">
        <f t="shared" si="5"/>
        <v>3878.0741720039846</v>
      </c>
      <c r="H51" s="69"/>
    </row>
    <row r="52" spans="1:10">
      <c r="A52" s="65">
        <v>2015</v>
      </c>
      <c r="B52" s="65">
        <v>11</v>
      </c>
      <c r="C52" s="70">
        <v>31</v>
      </c>
      <c r="D52" s="67">
        <f>C52/SUM(C42:C53)</f>
        <v>8.4931506849315067E-2</v>
      </c>
      <c r="F52" s="68">
        <f t="shared" si="5"/>
        <v>4007.3433110707842</v>
      </c>
      <c r="H52" s="69"/>
    </row>
    <row r="53" spans="1:10">
      <c r="A53" s="65">
        <v>2015</v>
      </c>
      <c r="B53" s="65">
        <v>12</v>
      </c>
      <c r="C53" s="70">
        <v>30</v>
      </c>
      <c r="D53" s="67">
        <f>C53/SUM(C42:C53)</f>
        <v>8.2191780821917804E-2</v>
      </c>
      <c r="E53" s="64">
        <f>+FORECAST!F12</f>
        <v>47183.235759381816</v>
      </c>
      <c r="F53" s="68">
        <f t="shared" si="5"/>
        <v>3878.0741720039846</v>
      </c>
      <c r="H53" s="69"/>
    </row>
    <row r="54" spans="1:10">
      <c r="A54" s="65">
        <v>2016</v>
      </c>
      <c r="B54" s="65">
        <v>1</v>
      </c>
      <c r="C54" s="70">
        <v>31</v>
      </c>
      <c r="D54" s="67">
        <f>C54/SUM(C54:C65)</f>
        <v>8.4699453551912565E-2</v>
      </c>
      <c r="F54" s="68">
        <f t="shared" ref="F54:F65" si="6">E$65*D54</f>
        <v>5909.8281124563309</v>
      </c>
      <c r="H54" s="69"/>
    </row>
    <row r="55" spans="1:10">
      <c r="A55" s="65">
        <v>2016</v>
      </c>
      <c r="B55" s="65">
        <v>2</v>
      </c>
      <c r="C55" s="70">
        <v>29</v>
      </c>
      <c r="D55" s="67">
        <f>C55/SUM(C54:C65)</f>
        <v>7.9234972677595633E-2</v>
      </c>
      <c r="F55" s="68">
        <f t="shared" si="6"/>
        <v>5528.5488793946333</v>
      </c>
      <c r="H55" s="69"/>
    </row>
    <row r="56" spans="1:10">
      <c r="A56" s="65">
        <v>2016</v>
      </c>
      <c r="B56" s="65">
        <v>3</v>
      </c>
      <c r="C56" s="70">
        <v>31</v>
      </c>
      <c r="D56" s="67">
        <f>C56/SUM(C54:C65)</f>
        <v>8.4699453551912565E-2</v>
      </c>
      <c r="F56" s="68">
        <f t="shared" si="6"/>
        <v>5909.8281124563309</v>
      </c>
      <c r="H56" s="69"/>
    </row>
    <row r="57" spans="1:10">
      <c r="A57" s="65">
        <v>2016</v>
      </c>
      <c r="B57" s="65">
        <v>4</v>
      </c>
      <c r="C57" s="70">
        <v>31</v>
      </c>
      <c r="D57" s="67">
        <f>C57/SUM(C54:C65)</f>
        <v>8.4699453551912565E-2</v>
      </c>
      <c r="F57" s="68">
        <f t="shared" si="6"/>
        <v>5909.8281124563309</v>
      </c>
      <c r="H57" s="69"/>
    </row>
    <row r="58" spans="1:10">
      <c r="A58" s="65">
        <v>2016</v>
      </c>
      <c r="B58" s="65">
        <v>5</v>
      </c>
      <c r="C58" s="70">
        <v>30</v>
      </c>
      <c r="D58" s="67">
        <f>C58/SUM(C54:C65)</f>
        <v>8.1967213114754092E-2</v>
      </c>
      <c r="F58" s="68">
        <f t="shared" si="6"/>
        <v>5719.1884959254821</v>
      </c>
      <c r="H58" s="69"/>
    </row>
    <row r="59" spans="1:10">
      <c r="A59" s="65">
        <v>2016</v>
      </c>
      <c r="B59" s="65">
        <v>6</v>
      </c>
      <c r="C59" s="70">
        <v>31</v>
      </c>
      <c r="D59" s="67">
        <f>C59/SUM(C54:C65)</f>
        <v>8.4699453551912565E-2</v>
      </c>
      <c r="F59" s="68">
        <f t="shared" si="6"/>
        <v>5909.8281124563309</v>
      </c>
      <c r="H59" s="69"/>
    </row>
    <row r="60" spans="1:10">
      <c r="A60" s="65">
        <v>2016</v>
      </c>
      <c r="B60" s="65">
        <v>7</v>
      </c>
      <c r="C60" s="70">
        <v>30</v>
      </c>
      <c r="D60" s="67">
        <f>C60/SUM(C54:C65)</f>
        <v>8.1967213114754092E-2</v>
      </c>
      <c r="F60" s="68">
        <f t="shared" si="6"/>
        <v>5719.1884959254821</v>
      </c>
      <c r="H60" s="69"/>
    </row>
    <row r="61" spans="1:10">
      <c r="A61" s="65">
        <v>2016</v>
      </c>
      <c r="B61" s="65">
        <v>8</v>
      </c>
      <c r="C61" s="70">
        <v>31</v>
      </c>
      <c r="D61" s="67">
        <f>C61/SUM(C54:C65)</f>
        <v>8.4699453551912565E-2</v>
      </c>
      <c r="F61" s="68">
        <f t="shared" si="6"/>
        <v>5909.8281124563309</v>
      </c>
      <c r="H61" s="69"/>
    </row>
    <row r="62" spans="1:10">
      <c r="A62" s="65">
        <v>2016</v>
      </c>
      <c r="B62" s="65">
        <v>9</v>
      </c>
      <c r="C62" s="70">
        <v>31</v>
      </c>
      <c r="D62" s="67">
        <f>C62/SUM(C54:C65)</f>
        <v>8.4699453551912565E-2</v>
      </c>
      <c r="F62" s="68">
        <f t="shared" si="6"/>
        <v>5909.8281124563309</v>
      </c>
      <c r="H62" s="69"/>
    </row>
    <row r="63" spans="1:10">
      <c r="A63" s="65">
        <v>2016</v>
      </c>
      <c r="B63" s="65">
        <v>10</v>
      </c>
      <c r="C63" s="70">
        <v>30</v>
      </c>
      <c r="D63" s="67">
        <f>C63/SUM(C54:C65)</f>
        <v>8.1967213114754092E-2</v>
      </c>
      <c r="F63" s="68">
        <f t="shared" si="6"/>
        <v>5719.1884959254821</v>
      </c>
      <c r="H63" s="69"/>
    </row>
    <row r="64" spans="1:10">
      <c r="A64" s="65">
        <v>2016</v>
      </c>
      <c r="B64" s="65">
        <v>11</v>
      </c>
      <c r="C64" s="70">
        <v>31</v>
      </c>
      <c r="D64" s="67">
        <f>C64/SUM(C54:C65)</f>
        <v>8.4699453551912565E-2</v>
      </c>
      <c r="F64" s="68">
        <f t="shared" si="6"/>
        <v>5909.8281124563309</v>
      </c>
      <c r="H64" s="69"/>
    </row>
    <row r="65" spans="1:8">
      <c r="A65" s="65">
        <v>2016</v>
      </c>
      <c r="B65" s="65">
        <v>12</v>
      </c>
      <c r="C65" s="70">
        <v>30</v>
      </c>
      <c r="D65" s="67">
        <f>C65/SUM(C54:C65)</f>
        <v>8.1967213114754092E-2</v>
      </c>
      <c r="E65" s="64">
        <f>+FORECAST!F13</f>
        <v>69774.099650290882</v>
      </c>
      <c r="F65" s="68">
        <f t="shared" si="6"/>
        <v>5719.1884959254821</v>
      </c>
      <c r="H65" s="69"/>
    </row>
    <row r="66" spans="1:8">
      <c r="A66" s="65">
        <v>2017</v>
      </c>
      <c r="B66" s="65">
        <v>1</v>
      </c>
      <c r="C66" s="70">
        <v>31</v>
      </c>
      <c r="D66" s="67">
        <f>C66/SUM(C66:C77)</f>
        <v>8.4931506849315067E-2</v>
      </c>
      <c r="F66" s="68">
        <f t="shared" ref="F66:F77" si="7">E$77*D66</f>
        <v>9067.5370206756143</v>
      </c>
      <c r="H66" s="69"/>
    </row>
    <row r="67" spans="1:8">
      <c r="A67" s="65">
        <v>2017</v>
      </c>
      <c r="B67" s="65">
        <v>2</v>
      </c>
      <c r="C67" s="70">
        <v>28</v>
      </c>
      <c r="D67" s="67">
        <f>C67/SUM(C66:C77)</f>
        <v>7.6712328767123292E-2</v>
      </c>
      <c r="F67" s="68">
        <f t="shared" si="7"/>
        <v>8190.0334380295872</v>
      </c>
      <c r="H67" s="69"/>
    </row>
    <row r="68" spans="1:8">
      <c r="A68" s="65">
        <v>2017</v>
      </c>
      <c r="B68" s="65">
        <v>3</v>
      </c>
      <c r="C68" s="70">
        <v>31</v>
      </c>
      <c r="D68" s="67">
        <f>C68/SUM(C66:C77)</f>
        <v>8.4931506849315067E-2</v>
      </c>
      <c r="F68" s="68">
        <f t="shared" si="7"/>
        <v>9067.5370206756143</v>
      </c>
      <c r="H68" s="69"/>
    </row>
    <row r="69" spans="1:8">
      <c r="A69" s="65">
        <v>2017</v>
      </c>
      <c r="B69" s="65">
        <v>4</v>
      </c>
      <c r="C69" s="70">
        <v>31</v>
      </c>
      <c r="D69" s="67">
        <f>C69/SUM(C66:C77)</f>
        <v>8.4931506849315067E-2</v>
      </c>
      <c r="F69" s="68">
        <f t="shared" si="7"/>
        <v>9067.5370206756143</v>
      </c>
      <c r="H69" s="69"/>
    </row>
    <row r="70" spans="1:8">
      <c r="A70" s="65">
        <v>2017</v>
      </c>
      <c r="B70" s="65">
        <v>5</v>
      </c>
      <c r="C70" s="70">
        <v>30</v>
      </c>
      <c r="D70" s="67">
        <f>C70/SUM(C66:C77)</f>
        <v>8.2191780821917804E-2</v>
      </c>
      <c r="F70" s="68">
        <f t="shared" si="7"/>
        <v>8775.035826460271</v>
      </c>
      <c r="H70" s="69"/>
    </row>
    <row r="71" spans="1:8">
      <c r="A71" s="65">
        <v>2017</v>
      </c>
      <c r="B71" s="65">
        <v>6</v>
      </c>
      <c r="C71" s="70">
        <v>31</v>
      </c>
      <c r="D71" s="67">
        <f>C71/SUM(C66:C77)</f>
        <v>8.4931506849315067E-2</v>
      </c>
      <c r="F71" s="68">
        <f t="shared" si="7"/>
        <v>9067.5370206756143</v>
      </c>
      <c r="H71" s="69"/>
    </row>
    <row r="72" spans="1:8">
      <c r="A72" s="65">
        <v>2017</v>
      </c>
      <c r="B72" s="65">
        <v>7</v>
      </c>
      <c r="C72" s="70">
        <v>30</v>
      </c>
      <c r="D72" s="67">
        <f>C72/SUM(C66:C77)</f>
        <v>8.2191780821917804E-2</v>
      </c>
      <c r="F72" s="68">
        <f t="shared" si="7"/>
        <v>8775.035826460271</v>
      </c>
      <c r="H72" s="69"/>
    </row>
    <row r="73" spans="1:8">
      <c r="A73" s="65">
        <v>2017</v>
      </c>
      <c r="B73" s="65">
        <v>8</v>
      </c>
      <c r="C73" s="70">
        <v>31</v>
      </c>
      <c r="D73" s="67">
        <f>C73/SUM(C66:C77)</f>
        <v>8.4931506849315067E-2</v>
      </c>
      <c r="F73" s="68">
        <f t="shared" si="7"/>
        <v>9067.5370206756143</v>
      </c>
      <c r="H73" s="69"/>
    </row>
    <row r="74" spans="1:8">
      <c r="A74" s="65">
        <v>2017</v>
      </c>
      <c r="B74" s="65">
        <v>9</v>
      </c>
      <c r="C74" s="70">
        <v>31</v>
      </c>
      <c r="D74" s="67">
        <f>C74/SUM(C66:C77)</f>
        <v>8.4931506849315067E-2</v>
      </c>
      <c r="F74" s="68">
        <f t="shared" si="7"/>
        <v>9067.5370206756143</v>
      </c>
      <c r="H74" s="69"/>
    </row>
    <row r="75" spans="1:8">
      <c r="A75" s="65">
        <v>2017</v>
      </c>
      <c r="B75" s="65">
        <v>10</v>
      </c>
      <c r="C75" s="70">
        <v>30</v>
      </c>
      <c r="D75" s="67">
        <f>C75/SUM(C66:C77)</f>
        <v>8.2191780821917804E-2</v>
      </c>
      <c r="F75" s="68">
        <f t="shared" si="7"/>
        <v>8775.035826460271</v>
      </c>
      <c r="H75" s="69"/>
    </row>
    <row r="76" spans="1:8">
      <c r="A76" s="65">
        <v>2017</v>
      </c>
      <c r="B76" s="65">
        <v>11</v>
      </c>
      <c r="C76" s="70">
        <v>31</v>
      </c>
      <c r="D76" s="67">
        <f>C76/SUM(C66:C77)</f>
        <v>8.4931506849315067E-2</v>
      </c>
      <c r="F76" s="68">
        <f t="shared" si="7"/>
        <v>9067.5370206756143</v>
      </c>
      <c r="H76" s="69"/>
    </row>
    <row r="77" spans="1:8">
      <c r="A77" s="65">
        <v>2017</v>
      </c>
      <c r="B77" s="65">
        <v>12</v>
      </c>
      <c r="C77" s="70">
        <v>30</v>
      </c>
      <c r="D77" s="67">
        <f>C77/SUM(C66:C77)</f>
        <v>8.2191780821917804E-2</v>
      </c>
      <c r="E77" s="64">
        <f>+FORECAST!F14</f>
        <v>106762.93588859997</v>
      </c>
      <c r="F77" s="68">
        <f t="shared" si="7"/>
        <v>8775.035826460271</v>
      </c>
      <c r="H77" s="69"/>
    </row>
    <row r="78" spans="1:8">
      <c r="A78" s="65">
        <v>2018</v>
      </c>
      <c r="B78" s="65">
        <v>1</v>
      </c>
      <c r="C78" s="70">
        <v>31</v>
      </c>
      <c r="D78" s="67">
        <f>C78/SUM(C78:C89)</f>
        <v>8.4931506849315067E-2</v>
      </c>
      <c r="F78" s="68">
        <f t="shared" ref="F78:F89" si="8">E$89*D78</f>
        <v>15712.372211086918</v>
      </c>
      <c r="H78" s="69"/>
    </row>
    <row r="79" spans="1:8">
      <c r="A79" s="65">
        <v>2018</v>
      </c>
      <c r="B79" s="65">
        <v>2</v>
      </c>
      <c r="C79" s="70">
        <v>28</v>
      </c>
      <c r="D79" s="67">
        <f>C79/SUM(C78:C89)</f>
        <v>7.6712328767123292E-2</v>
      </c>
      <c r="F79" s="68">
        <f t="shared" si="8"/>
        <v>14191.820061626895</v>
      </c>
      <c r="H79" s="69"/>
    </row>
    <row r="80" spans="1:8">
      <c r="A80" s="65">
        <v>2018</v>
      </c>
      <c r="B80" s="65">
        <v>3</v>
      </c>
      <c r="C80" s="70">
        <v>31</v>
      </c>
      <c r="D80" s="67">
        <f>C80/SUM(C78:C89)</f>
        <v>8.4931506849315067E-2</v>
      </c>
      <c r="F80" s="68">
        <f t="shared" si="8"/>
        <v>15712.372211086918</v>
      </c>
      <c r="H80" s="69"/>
    </row>
    <row r="81" spans="1:8">
      <c r="A81" s="65">
        <v>2018</v>
      </c>
      <c r="B81" s="65">
        <v>4</v>
      </c>
      <c r="C81" s="70">
        <v>31</v>
      </c>
      <c r="D81" s="67">
        <f>C81/SUM(C78:C89)</f>
        <v>8.4931506849315067E-2</v>
      </c>
      <c r="F81" s="68">
        <f t="shared" si="8"/>
        <v>15712.372211086918</v>
      </c>
      <c r="H81" s="69"/>
    </row>
    <row r="82" spans="1:8">
      <c r="A82" s="65">
        <v>2018</v>
      </c>
      <c r="B82" s="65">
        <v>5</v>
      </c>
      <c r="C82" s="70">
        <v>30</v>
      </c>
      <c r="D82" s="67">
        <f>C82/SUM(C78:C89)</f>
        <v>8.2191780821917804E-2</v>
      </c>
      <c r="F82" s="68">
        <f t="shared" si="8"/>
        <v>15205.521494600243</v>
      </c>
      <c r="H82" s="69"/>
    </row>
    <row r="83" spans="1:8">
      <c r="A83" s="65">
        <v>2018</v>
      </c>
      <c r="B83" s="65">
        <v>6</v>
      </c>
      <c r="C83" s="70">
        <v>31</v>
      </c>
      <c r="D83" s="67">
        <f>C83/SUM(C78:C89)</f>
        <v>8.4931506849315067E-2</v>
      </c>
      <c r="F83" s="68">
        <f t="shared" si="8"/>
        <v>15712.372211086918</v>
      </c>
      <c r="H83" s="69"/>
    </row>
    <row r="84" spans="1:8">
      <c r="A84" s="65">
        <v>2018</v>
      </c>
      <c r="B84" s="65">
        <v>7</v>
      </c>
      <c r="C84" s="70">
        <v>30</v>
      </c>
      <c r="D84" s="67">
        <f>C84/SUM(C78:C89)</f>
        <v>8.2191780821917804E-2</v>
      </c>
      <c r="F84" s="68">
        <f t="shared" si="8"/>
        <v>15205.521494600243</v>
      </c>
      <c r="H84" s="69"/>
    </row>
    <row r="85" spans="1:8">
      <c r="A85" s="65">
        <v>2018</v>
      </c>
      <c r="B85" s="65">
        <v>8</v>
      </c>
      <c r="C85" s="70">
        <v>31</v>
      </c>
      <c r="D85" s="67">
        <f>C85/SUM(C78:C89)</f>
        <v>8.4931506849315067E-2</v>
      </c>
      <c r="F85" s="68">
        <f t="shared" si="8"/>
        <v>15712.372211086918</v>
      </c>
      <c r="H85" s="69"/>
    </row>
    <row r="86" spans="1:8">
      <c r="A86" s="65">
        <v>2018</v>
      </c>
      <c r="B86" s="65">
        <v>9</v>
      </c>
      <c r="C86" s="70">
        <v>31</v>
      </c>
      <c r="D86" s="67">
        <f>C86/SUM(C78:C89)</f>
        <v>8.4931506849315067E-2</v>
      </c>
      <c r="F86" s="68">
        <f t="shared" si="8"/>
        <v>15712.372211086918</v>
      </c>
      <c r="H86" s="69"/>
    </row>
    <row r="87" spans="1:8">
      <c r="A87" s="65">
        <v>2018</v>
      </c>
      <c r="B87" s="65">
        <v>10</v>
      </c>
      <c r="C87" s="70">
        <v>30</v>
      </c>
      <c r="D87" s="67">
        <f>C87/SUM(C78:C89)</f>
        <v>8.2191780821917804E-2</v>
      </c>
      <c r="F87" s="68">
        <f t="shared" si="8"/>
        <v>15205.521494600243</v>
      </c>
      <c r="H87" s="69"/>
    </row>
    <row r="88" spans="1:8">
      <c r="A88" s="65">
        <v>2018</v>
      </c>
      <c r="B88" s="65">
        <v>11</v>
      </c>
      <c r="C88" s="70">
        <v>31</v>
      </c>
      <c r="D88" s="67">
        <f>C88/SUM(C78:C89)</f>
        <v>8.4931506849315067E-2</v>
      </c>
      <c r="F88" s="68">
        <f t="shared" si="8"/>
        <v>15712.372211086918</v>
      </c>
      <c r="H88" s="69"/>
    </row>
    <row r="89" spans="1:8">
      <c r="A89" s="65">
        <v>2018</v>
      </c>
      <c r="B89" s="65">
        <v>12</v>
      </c>
      <c r="C89" s="70">
        <v>30</v>
      </c>
      <c r="D89" s="67">
        <f>C89/SUM(C78:C89)</f>
        <v>8.2191780821917804E-2</v>
      </c>
      <c r="E89" s="64">
        <f>+FORECAST!F15</f>
        <v>185000.5115176363</v>
      </c>
      <c r="F89" s="68">
        <f t="shared" si="8"/>
        <v>15205.521494600243</v>
      </c>
      <c r="H89" s="69"/>
    </row>
    <row r="90" spans="1:8">
      <c r="A90" s="65">
        <v>2019</v>
      </c>
      <c r="B90" s="65">
        <v>1</v>
      </c>
      <c r="C90" s="70">
        <v>31</v>
      </c>
      <c r="D90" s="67">
        <f>C90/SUM(C90:C101)</f>
        <v>8.4931506849315067E-2</v>
      </c>
      <c r="F90" s="68">
        <f t="shared" ref="F90:F101" si="9">E$101*D90</f>
        <v>23567.048080017681</v>
      </c>
      <c r="H90" s="69"/>
    </row>
    <row r="91" spans="1:8">
      <c r="A91" s="65">
        <v>2019</v>
      </c>
      <c r="B91" s="65">
        <v>2</v>
      </c>
      <c r="C91" s="70">
        <v>28</v>
      </c>
      <c r="D91" s="67">
        <f>C91/SUM(C90:C101)</f>
        <v>7.6712328767123292E-2</v>
      </c>
      <c r="F91" s="68">
        <f t="shared" si="9"/>
        <v>21286.366007757904</v>
      </c>
      <c r="H91" s="69"/>
    </row>
    <row r="92" spans="1:8">
      <c r="A92" s="65">
        <v>2019</v>
      </c>
      <c r="B92" s="65">
        <v>3</v>
      </c>
      <c r="C92" s="70">
        <v>31</v>
      </c>
      <c r="D92" s="67">
        <f>C92/SUM(C90:C101)</f>
        <v>8.4931506849315067E-2</v>
      </c>
      <c r="F92" s="68">
        <f t="shared" si="9"/>
        <v>23567.048080017681</v>
      </c>
      <c r="H92" s="69"/>
    </row>
    <row r="93" spans="1:8">
      <c r="A93" s="65">
        <v>2019</v>
      </c>
      <c r="B93" s="65">
        <v>4</v>
      </c>
      <c r="C93" s="70">
        <v>31</v>
      </c>
      <c r="D93" s="67">
        <f>C93/SUM(C90:C101)</f>
        <v>8.4931506849315067E-2</v>
      </c>
      <c r="F93" s="68">
        <f t="shared" si="9"/>
        <v>23567.048080017681</v>
      </c>
      <c r="H93" s="69"/>
    </row>
    <row r="94" spans="1:8">
      <c r="A94" s="65">
        <v>2019</v>
      </c>
      <c r="B94" s="65">
        <v>5</v>
      </c>
      <c r="C94" s="70">
        <v>30</v>
      </c>
      <c r="D94" s="67">
        <f>C94/SUM(C90:C101)</f>
        <v>8.2191780821917804E-2</v>
      </c>
      <c r="F94" s="68">
        <f t="shared" si="9"/>
        <v>22806.820722597753</v>
      </c>
      <c r="H94" s="69"/>
    </row>
    <row r="95" spans="1:8">
      <c r="A95" s="65">
        <v>2019</v>
      </c>
      <c r="B95" s="65">
        <v>6</v>
      </c>
      <c r="C95" s="70">
        <v>31</v>
      </c>
      <c r="D95" s="67">
        <f>C95/SUM(C90:C101)</f>
        <v>8.4931506849315067E-2</v>
      </c>
      <c r="F95" s="68">
        <f t="shared" si="9"/>
        <v>23567.048080017681</v>
      </c>
      <c r="H95" s="69"/>
    </row>
    <row r="96" spans="1:8">
      <c r="A96" s="65">
        <v>2019</v>
      </c>
      <c r="B96" s="65">
        <v>7</v>
      </c>
      <c r="C96" s="70">
        <v>30</v>
      </c>
      <c r="D96" s="67">
        <f>C96/SUM(C90:C101)</f>
        <v>8.2191780821917804E-2</v>
      </c>
      <c r="F96" s="68">
        <f t="shared" si="9"/>
        <v>22806.820722597753</v>
      </c>
      <c r="H96" s="69"/>
    </row>
    <row r="97" spans="1:8">
      <c r="A97" s="65">
        <v>2019</v>
      </c>
      <c r="B97" s="65">
        <v>8</v>
      </c>
      <c r="C97" s="70">
        <v>31</v>
      </c>
      <c r="D97" s="67">
        <f>C97/SUM(C90:C101)</f>
        <v>8.4931506849315067E-2</v>
      </c>
      <c r="F97" s="68">
        <f t="shared" si="9"/>
        <v>23567.048080017681</v>
      </c>
      <c r="H97" s="69"/>
    </row>
    <row r="98" spans="1:8">
      <c r="A98" s="65">
        <v>2019</v>
      </c>
      <c r="B98" s="65">
        <v>9</v>
      </c>
      <c r="C98" s="70">
        <v>31</v>
      </c>
      <c r="D98" s="67">
        <f>C98/SUM(C90:C101)</f>
        <v>8.4931506849315067E-2</v>
      </c>
      <c r="F98" s="68">
        <f t="shared" si="9"/>
        <v>23567.048080017681</v>
      </c>
      <c r="H98" s="69"/>
    </row>
    <row r="99" spans="1:8">
      <c r="A99" s="65">
        <v>2019</v>
      </c>
      <c r="B99" s="65">
        <v>10</v>
      </c>
      <c r="C99" s="70">
        <v>30</v>
      </c>
      <c r="D99" s="67">
        <f>C99/SUM(C90:C101)</f>
        <v>8.2191780821917804E-2</v>
      </c>
      <c r="F99" s="68">
        <f t="shared" si="9"/>
        <v>22806.820722597753</v>
      </c>
      <c r="H99" s="69"/>
    </row>
    <row r="100" spans="1:8">
      <c r="A100" s="65">
        <v>2019</v>
      </c>
      <c r="B100" s="65">
        <v>11</v>
      </c>
      <c r="C100" s="70">
        <v>31</v>
      </c>
      <c r="D100" s="67">
        <f>C100/SUM(C90:C101)</f>
        <v>8.4931506849315067E-2</v>
      </c>
      <c r="F100" s="68">
        <f t="shared" si="9"/>
        <v>23567.048080017681</v>
      </c>
      <c r="H100" s="69"/>
    </row>
    <row r="101" spans="1:8">
      <c r="A101" s="65">
        <v>2019</v>
      </c>
      <c r="B101" s="65">
        <v>12</v>
      </c>
      <c r="C101" s="70">
        <v>30</v>
      </c>
      <c r="D101" s="67">
        <f>C101/SUM(C90:C101)</f>
        <v>8.2191780821917804E-2</v>
      </c>
      <c r="E101" s="64">
        <f>+FORECAST!F16</f>
        <v>277482.98545827268</v>
      </c>
      <c r="F101" s="68">
        <f t="shared" si="9"/>
        <v>22806.820722597753</v>
      </c>
      <c r="H101" s="179"/>
    </row>
    <row r="102" spans="1:8">
      <c r="A102" s="65">
        <v>2020</v>
      </c>
      <c r="B102" s="65">
        <v>1</v>
      </c>
      <c r="C102" s="70">
        <v>31</v>
      </c>
      <c r="D102" s="67">
        <f>C102/SUM(C102:C113)</f>
        <v>8.4699453551912565E-2</v>
      </c>
      <c r="F102" s="68">
        <f t="shared" ref="F102:F113" si="10">E$113*D102</f>
        <v>31728.1354385782</v>
      </c>
      <c r="H102" s="69"/>
    </row>
    <row r="103" spans="1:8">
      <c r="A103" s="65">
        <v>2020</v>
      </c>
      <c r="B103" s="65">
        <v>2</v>
      </c>
      <c r="C103" s="70">
        <v>29</v>
      </c>
      <c r="D103" s="67">
        <f>C103/SUM(C102:C113)</f>
        <v>7.9234972677595633E-2</v>
      </c>
      <c r="F103" s="68">
        <f t="shared" si="10"/>
        <v>29681.158958669934</v>
      </c>
      <c r="H103" s="69"/>
    </row>
    <row r="104" spans="1:8">
      <c r="A104" s="65">
        <v>2020</v>
      </c>
      <c r="B104" s="65">
        <v>3</v>
      </c>
      <c r="C104" s="70">
        <v>31</v>
      </c>
      <c r="D104" s="67">
        <f>C104/SUM(C102:C113)</f>
        <v>8.4699453551912565E-2</v>
      </c>
      <c r="F104" s="68">
        <f t="shared" si="10"/>
        <v>31728.1354385782</v>
      </c>
      <c r="H104" s="69"/>
    </row>
    <row r="105" spans="1:8">
      <c r="A105" s="65">
        <v>2020</v>
      </c>
      <c r="B105" s="65">
        <v>4</v>
      </c>
      <c r="C105" s="70">
        <v>31</v>
      </c>
      <c r="D105" s="67">
        <f>C105/SUM(C102:C113)</f>
        <v>8.4699453551912565E-2</v>
      </c>
      <c r="F105" s="68">
        <f t="shared" si="10"/>
        <v>31728.1354385782</v>
      </c>
      <c r="H105" s="69"/>
    </row>
    <row r="106" spans="1:8">
      <c r="A106" s="65">
        <v>2020</v>
      </c>
      <c r="B106" s="65">
        <v>5</v>
      </c>
      <c r="C106" s="70">
        <v>30</v>
      </c>
      <c r="D106" s="67">
        <f>C106/SUM(C102:C113)</f>
        <v>8.1967213114754092E-2</v>
      </c>
      <c r="F106" s="68">
        <f t="shared" si="10"/>
        <v>30704.647198624065</v>
      </c>
      <c r="H106" s="69"/>
    </row>
    <row r="107" spans="1:8">
      <c r="A107" s="65">
        <v>2020</v>
      </c>
      <c r="B107" s="65">
        <v>6</v>
      </c>
      <c r="C107" s="70">
        <v>31</v>
      </c>
      <c r="D107" s="67">
        <f>C107/SUM(C102:C113)</f>
        <v>8.4699453551912565E-2</v>
      </c>
      <c r="F107" s="68">
        <f t="shared" si="10"/>
        <v>31728.1354385782</v>
      </c>
      <c r="H107" s="69"/>
    </row>
    <row r="108" spans="1:8">
      <c r="A108" s="65">
        <v>2020</v>
      </c>
      <c r="B108" s="65">
        <v>7</v>
      </c>
      <c r="C108" s="70">
        <v>30</v>
      </c>
      <c r="D108" s="67">
        <f>C108/SUM(C102:C113)</f>
        <v>8.1967213114754092E-2</v>
      </c>
      <c r="F108" s="68">
        <f t="shared" si="10"/>
        <v>30704.647198624065</v>
      </c>
      <c r="H108" s="69"/>
    </row>
    <row r="109" spans="1:8">
      <c r="A109" s="65">
        <v>2020</v>
      </c>
      <c r="B109" s="65">
        <v>8</v>
      </c>
      <c r="C109" s="70">
        <v>31</v>
      </c>
      <c r="D109" s="67">
        <f>C109/SUM(C102:C113)</f>
        <v>8.4699453551912565E-2</v>
      </c>
      <c r="F109" s="68">
        <f t="shared" si="10"/>
        <v>31728.1354385782</v>
      </c>
      <c r="H109" s="69"/>
    </row>
    <row r="110" spans="1:8">
      <c r="A110" s="65">
        <v>2020</v>
      </c>
      <c r="B110" s="65">
        <v>9</v>
      </c>
      <c r="C110" s="70">
        <v>31</v>
      </c>
      <c r="D110" s="67">
        <f>C110/SUM(C102:C113)</f>
        <v>8.4699453551912565E-2</v>
      </c>
      <c r="F110" s="68">
        <f t="shared" si="10"/>
        <v>31728.1354385782</v>
      </c>
      <c r="H110" s="69"/>
    </row>
    <row r="111" spans="1:8">
      <c r="A111" s="65">
        <v>2020</v>
      </c>
      <c r="B111" s="65">
        <v>10</v>
      </c>
      <c r="C111" s="70">
        <v>30</v>
      </c>
      <c r="D111" s="67">
        <f>C111/SUM(C102:C113)</f>
        <v>8.1967213114754092E-2</v>
      </c>
      <c r="F111" s="68">
        <f t="shared" si="10"/>
        <v>30704.647198624065</v>
      </c>
      <c r="H111" s="69"/>
    </row>
    <row r="112" spans="1:8">
      <c r="A112" s="65">
        <v>2020</v>
      </c>
      <c r="B112" s="65">
        <v>11</v>
      </c>
      <c r="C112" s="70">
        <v>31</v>
      </c>
      <c r="D112" s="67">
        <f>C112/SUM(C102:C113)</f>
        <v>8.4699453551912565E-2</v>
      </c>
      <c r="F112" s="68">
        <f t="shared" si="10"/>
        <v>31728.1354385782</v>
      </c>
      <c r="H112" s="69"/>
    </row>
    <row r="113" spans="1:14">
      <c r="A113" s="65">
        <v>2020</v>
      </c>
      <c r="B113" s="65">
        <v>12</v>
      </c>
      <c r="C113" s="70">
        <v>30</v>
      </c>
      <c r="D113" s="67">
        <f>C113/SUM(C102:C113)</f>
        <v>8.1967213114754092E-2</v>
      </c>
      <c r="E113" s="64">
        <f>+FORECAST!F17</f>
        <v>374596.69582321361</v>
      </c>
      <c r="F113" s="68">
        <f t="shared" si="10"/>
        <v>30704.647198624065</v>
      </c>
      <c r="H113" s="71">
        <f>E113-E53</f>
        <v>327413.46006383176</v>
      </c>
      <c r="K113" s="179">
        <f>E113/FORECAST!G32</f>
        <v>83096.136391707725</v>
      </c>
      <c r="N113" s="180">
        <f>K113-J49</f>
        <v>73625.431115553598</v>
      </c>
    </row>
    <row r="114" spans="1:14">
      <c r="A114" s="65">
        <f t="shared" ref="A114:A177" si="11">A102+1</f>
        <v>2021</v>
      </c>
      <c r="B114" s="65">
        <f t="shared" ref="B114:C129" si="12">B102</f>
        <v>1</v>
      </c>
      <c r="C114" s="65">
        <f t="shared" si="12"/>
        <v>31</v>
      </c>
      <c r="D114" s="67">
        <f>C114/SUM(C114:C125)</f>
        <v>8.4699453551912565E-2</v>
      </c>
      <c r="F114" s="68">
        <f t="shared" ref="F114:F125" si="13">E$125*D114</f>
        <v>41247.479736321555</v>
      </c>
      <c r="H114" s="69"/>
    </row>
    <row r="115" spans="1:14">
      <c r="A115" s="65">
        <f t="shared" si="11"/>
        <v>2021</v>
      </c>
      <c r="B115" s="65">
        <f t="shared" si="12"/>
        <v>2</v>
      </c>
      <c r="C115" s="65">
        <f t="shared" si="12"/>
        <v>29</v>
      </c>
      <c r="D115" s="67">
        <f>C115/SUM(C114:C125)</f>
        <v>7.9234972677595633E-2</v>
      </c>
      <c r="F115" s="68">
        <f t="shared" si="13"/>
        <v>38586.35201139759</v>
      </c>
      <c r="H115" s="69"/>
    </row>
    <row r="116" spans="1:14">
      <c r="A116" s="65">
        <f t="shared" si="11"/>
        <v>2021</v>
      </c>
      <c r="B116" s="65">
        <f t="shared" si="12"/>
        <v>3</v>
      </c>
      <c r="C116" s="65">
        <f t="shared" si="12"/>
        <v>31</v>
      </c>
      <c r="D116" s="67">
        <f>C116/SUM(C114:C125)</f>
        <v>8.4699453551912565E-2</v>
      </c>
      <c r="F116" s="68">
        <f t="shared" si="13"/>
        <v>41247.479736321555</v>
      </c>
      <c r="H116" s="69"/>
    </row>
    <row r="117" spans="1:14">
      <c r="A117" s="65">
        <f t="shared" si="11"/>
        <v>2021</v>
      </c>
      <c r="B117" s="65">
        <f t="shared" si="12"/>
        <v>4</v>
      </c>
      <c r="C117" s="65">
        <f t="shared" si="12"/>
        <v>31</v>
      </c>
      <c r="D117" s="67">
        <f>C117/SUM(C114:C125)</f>
        <v>8.4699453551912565E-2</v>
      </c>
      <c r="F117" s="68">
        <f t="shared" si="13"/>
        <v>41247.479736321555</v>
      </c>
      <c r="H117" s="69"/>
    </row>
    <row r="118" spans="1:14">
      <c r="A118" s="65">
        <f t="shared" si="11"/>
        <v>2021</v>
      </c>
      <c r="B118" s="65">
        <f t="shared" si="12"/>
        <v>5</v>
      </c>
      <c r="C118" s="65">
        <f t="shared" si="12"/>
        <v>30</v>
      </c>
      <c r="D118" s="67">
        <f>C118/SUM(C114:C125)</f>
        <v>8.1967213114754092E-2</v>
      </c>
      <c r="F118" s="68">
        <f t="shared" si="13"/>
        <v>39916.915873859572</v>
      </c>
      <c r="H118" s="69"/>
    </row>
    <row r="119" spans="1:14">
      <c r="A119" s="65">
        <f t="shared" si="11"/>
        <v>2021</v>
      </c>
      <c r="B119" s="65">
        <f t="shared" si="12"/>
        <v>6</v>
      </c>
      <c r="C119" s="65">
        <f t="shared" si="12"/>
        <v>31</v>
      </c>
      <c r="D119" s="67">
        <f>C119/SUM(C114:C125)</f>
        <v>8.4699453551912565E-2</v>
      </c>
      <c r="F119" s="68">
        <f t="shared" si="13"/>
        <v>41247.479736321555</v>
      </c>
      <c r="H119" s="69"/>
    </row>
    <row r="120" spans="1:14">
      <c r="A120" s="65">
        <f t="shared" si="11"/>
        <v>2021</v>
      </c>
      <c r="B120" s="65">
        <f t="shared" si="12"/>
        <v>7</v>
      </c>
      <c r="C120" s="65">
        <f t="shared" si="12"/>
        <v>30</v>
      </c>
      <c r="D120" s="67">
        <f>C120/SUM(C114:C125)</f>
        <v>8.1967213114754092E-2</v>
      </c>
      <c r="F120" s="68">
        <f t="shared" si="13"/>
        <v>39916.915873859572</v>
      </c>
      <c r="H120" s="69"/>
    </row>
    <row r="121" spans="1:14">
      <c r="A121" s="65">
        <f t="shared" si="11"/>
        <v>2021</v>
      </c>
      <c r="B121" s="65">
        <f t="shared" si="12"/>
        <v>8</v>
      </c>
      <c r="C121" s="65">
        <f t="shared" si="12"/>
        <v>31</v>
      </c>
      <c r="D121" s="67">
        <f>C121/SUM(C114:C125)</f>
        <v>8.4699453551912565E-2</v>
      </c>
      <c r="F121" s="68">
        <f t="shared" si="13"/>
        <v>41247.479736321555</v>
      </c>
      <c r="H121" s="69"/>
    </row>
    <row r="122" spans="1:14">
      <c r="A122" s="65">
        <f t="shared" si="11"/>
        <v>2021</v>
      </c>
      <c r="B122" s="65">
        <f t="shared" si="12"/>
        <v>9</v>
      </c>
      <c r="C122" s="65">
        <f t="shared" si="12"/>
        <v>31</v>
      </c>
      <c r="D122" s="67">
        <f>C122/SUM(C114:C125)</f>
        <v>8.4699453551912565E-2</v>
      </c>
      <c r="F122" s="68">
        <f t="shared" si="13"/>
        <v>41247.479736321555</v>
      </c>
      <c r="H122" s="69"/>
    </row>
    <row r="123" spans="1:14">
      <c r="A123" s="65">
        <f t="shared" si="11"/>
        <v>2021</v>
      </c>
      <c r="B123" s="65">
        <f t="shared" si="12"/>
        <v>10</v>
      </c>
      <c r="C123" s="65">
        <f t="shared" si="12"/>
        <v>30</v>
      </c>
      <c r="D123" s="67">
        <f>C123/SUM(C114:C125)</f>
        <v>8.1967213114754092E-2</v>
      </c>
      <c r="F123" s="68">
        <f t="shared" si="13"/>
        <v>39916.915873859572</v>
      </c>
      <c r="H123" s="69"/>
    </row>
    <row r="124" spans="1:14">
      <c r="A124" s="65">
        <f t="shared" si="11"/>
        <v>2021</v>
      </c>
      <c r="B124" s="65">
        <f t="shared" si="12"/>
        <v>11</v>
      </c>
      <c r="C124" s="65">
        <f t="shared" si="12"/>
        <v>31</v>
      </c>
      <c r="D124" s="67">
        <f>C124/SUM(C114:C125)</f>
        <v>8.4699453551912565E-2</v>
      </c>
      <c r="F124" s="68">
        <f t="shared" si="13"/>
        <v>41247.479736321555</v>
      </c>
      <c r="H124" s="69"/>
    </row>
    <row r="125" spans="1:14">
      <c r="A125" s="65">
        <f t="shared" si="11"/>
        <v>2021</v>
      </c>
      <c r="B125" s="65">
        <f t="shared" si="12"/>
        <v>12</v>
      </c>
      <c r="C125" s="65">
        <f t="shared" si="12"/>
        <v>30</v>
      </c>
      <c r="D125" s="67">
        <f>C125/SUM(C114:C125)</f>
        <v>8.1967213114754092E-2</v>
      </c>
      <c r="E125" s="64">
        <f>+FORECAST!F18</f>
        <v>486986.37366108678</v>
      </c>
      <c r="F125" s="68">
        <f t="shared" si="13"/>
        <v>39916.915873859572</v>
      </c>
      <c r="H125" s="69"/>
    </row>
    <row r="126" spans="1:14">
      <c r="A126" s="65">
        <f t="shared" si="11"/>
        <v>2022</v>
      </c>
      <c r="B126" s="65">
        <f t="shared" si="12"/>
        <v>1</v>
      </c>
      <c r="C126" s="65">
        <f t="shared" si="12"/>
        <v>31</v>
      </c>
      <c r="D126" s="67">
        <f>C126/SUM(C126:C137)</f>
        <v>8.4699453551912565E-2</v>
      </c>
      <c r="F126" s="68">
        <f t="shared" ref="F126:F137" si="14">E$137*D126</f>
        <v>51560.855780685109</v>
      </c>
      <c r="H126" s="69"/>
    </row>
    <row r="127" spans="1:14">
      <c r="A127" s="65">
        <f t="shared" si="11"/>
        <v>2022</v>
      </c>
      <c r="B127" s="65">
        <f t="shared" si="12"/>
        <v>2</v>
      </c>
      <c r="C127" s="65">
        <f t="shared" si="12"/>
        <v>29</v>
      </c>
      <c r="D127" s="67">
        <f>C127/SUM(C126:C137)</f>
        <v>7.9234972677595633E-2</v>
      </c>
      <c r="F127" s="68">
        <f t="shared" si="14"/>
        <v>48234.348956124784</v>
      </c>
      <c r="H127" s="69"/>
    </row>
    <row r="128" spans="1:14">
      <c r="A128" s="65">
        <f t="shared" si="11"/>
        <v>2022</v>
      </c>
      <c r="B128" s="65">
        <f t="shared" si="12"/>
        <v>3</v>
      </c>
      <c r="C128" s="65">
        <f t="shared" si="12"/>
        <v>31</v>
      </c>
      <c r="D128" s="67">
        <f>C128/SUM(C126:C137)</f>
        <v>8.4699453551912565E-2</v>
      </c>
      <c r="F128" s="68">
        <f t="shared" si="14"/>
        <v>51560.855780685109</v>
      </c>
      <c r="H128" s="69"/>
    </row>
    <row r="129" spans="1:8">
      <c r="A129" s="65">
        <f t="shared" si="11"/>
        <v>2022</v>
      </c>
      <c r="B129" s="65">
        <f t="shared" si="12"/>
        <v>4</v>
      </c>
      <c r="C129" s="65">
        <f t="shared" si="12"/>
        <v>31</v>
      </c>
      <c r="D129" s="67">
        <f>C129/SUM(C126:C137)</f>
        <v>8.4699453551912565E-2</v>
      </c>
      <c r="F129" s="68">
        <f t="shared" si="14"/>
        <v>51560.855780685109</v>
      </c>
      <c r="H129" s="69"/>
    </row>
    <row r="130" spans="1:8">
      <c r="A130" s="65">
        <f t="shared" si="11"/>
        <v>2022</v>
      </c>
      <c r="B130" s="65">
        <f t="shared" ref="B130:C145" si="15">B118</f>
        <v>5</v>
      </c>
      <c r="C130" s="65">
        <f t="shared" si="15"/>
        <v>30</v>
      </c>
      <c r="D130" s="67">
        <f>C130/SUM(C126:C137)</f>
        <v>8.1967213114754092E-2</v>
      </c>
      <c r="F130" s="68">
        <f t="shared" si="14"/>
        <v>49897.602368404943</v>
      </c>
      <c r="H130" s="69"/>
    </row>
    <row r="131" spans="1:8">
      <c r="A131" s="65">
        <f t="shared" si="11"/>
        <v>2022</v>
      </c>
      <c r="B131" s="65">
        <f t="shared" si="15"/>
        <v>6</v>
      </c>
      <c r="C131" s="65">
        <f t="shared" si="15"/>
        <v>31</v>
      </c>
      <c r="D131" s="67">
        <f>C131/SUM(C126:C137)</f>
        <v>8.4699453551912565E-2</v>
      </c>
      <c r="F131" s="68">
        <f t="shared" si="14"/>
        <v>51560.855780685109</v>
      </c>
      <c r="H131" s="69"/>
    </row>
    <row r="132" spans="1:8">
      <c r="A132" s="65">
        <f t="shared" si="11"/>
        <v>2022</v>
      </c>
      <c r="B132" s="65">
        <f t="shared" si="15"/>
        <v>7</v>
      </c>
      <c r="C132" s="65">
        <f t="shared" si="15"/>
        <v>30</v>
      </c>
      <c r="D132" s="67">
        <f>C132/SUM(C126:C137)</f>
        <v>8.1967213114754092E-2</v>
      </c>
      <c r="F132" s="68">
        <f t="shared" si="14"/>
        <v>49897.602368404943</v>
      </c>
      <c r="H132" s="69"/>
    </row>
    <row r="133" spans="1:8">
      <c r="A133" s="65">
        <f t="shared" si="11"/>
        <v>2022</v>
      </c>
      <c r="B133" s="65">
        <f t="shared" si="15"/>
        <v>8</v>
      </c>
      <c r="C133" s="65">
        <f t="shared" si="15"/>
        <v>31</v>
      </c>
      <c r="D133" s="67">
        <f>C133/SUM(C126:C137)</f>
        <v>8.4699453551912565E-2</v>
      </c>
      <c r="F133" s="68">
        <f t="shared" si="14"/>
        <v>51560.855780685109</v>
      </c>
      <c r="H133" s="69"/>
    </row>
    <row r="134" spans="1:8">
      <c r="A134" s="65">
        <f t="shared" si="11"/>
        <v>2022</v>
      </c>
      <c r="B134" s="65">
        <f t="shared" si="15"/>
        <v>9</v>
      </c>
      <c r="C134" s="65">
        <f t="shared" si="15"/>
        <v>31</v>
      </c>
      <c r="D134" s="67">
        <f>C134/SUM(C126:C137)</f>
        <v>8.4699453551912565E-2</v>
      </c>
      <c r="F134" s="68">
        <f t="shared" si="14"/>
        <v>51560.855780685109</v>
      </c>
      <c r="H134" s="69"/>
    </row>
    <row r="135" spans="1:8">
      <c r="A135" s="65">
        <f t="shared" si="11"/>
        <v>2022</v>
      </c>
      <c r="B135" s="65">
        <f t="shared" si="15"/>
        <v>10</v>
      </c>
      <c r="C135" s="65">
        <f t="shared" si="15"/>
        <v>30</v>
      </c>
      <c r="D135" s="67">
        <f>C135/SUM(C126:C137)</f>
        <v>8.1967213114754092E-2</v>
      </c>
      <c r="F135" s="68">
        <f t="shared" si="14"/>
        <v>49897.602368404943</v>
      </c>
      <c r="H135" s="69"/>
    </row>
    <row r="136" spans="1:8">
      <c r="A136" s="65">
        <f t="shared" si="11"/>
        <v>2022</v>
      </c>
      <c r="B136" s="65">
        <f t="shared" si="15"/>
        <v>11</v>
      </c>
      <c r="C136" s="65">
        <f t="shared" si="15"/>
        <v>31</v>
      </c>
      <c r="D136" s="67">
        <f>C136/SUM(C126:C137)</f>
        <v>8.4699453551912565E-2</v>
      </c>
      <c r="F136" s="68">
        <f t="shared" si="14"/>
        <v>51560.855780685109</v>
      </c>
      <c r="H136" s="69"/>
    </row>
    <row r="137" spans="1:8">
      <c r="A137" s="65">
        <f t="shared" si="11"/>
        <v>2022</v>
      </c>
      <c r="B137" s="65">
        <f t="shared" si="15"/>
        <v>12</v>
      </c>
      <c r="C137" s="65">
        <f t="shared" si="15"/>
        <v>30</v>
      </c>
      <c r="D137" s="67">
        <f>C137/SUM(C126:C137)</f>
        <v>8.1967213114754092E-2</v>
      </c>
      <c r="E137" s="64">
        <f>+FORECAST!F19</f>
        <v>608750.74889454036</v>
      </c>
      <c r="F137" s="68">
        <f t="shared" si="14"/>
        <v>49897.602368404943</v>
      </c>
      <c r="H137" s="69"/>
    </row>
    <row r="138" spans="1:8">
      <c r="A138" s="65">
        <f t="shared" si="11"/>
        <v>2023</v>
      </c>
      <c r="B138" s="65">
        <f t="shared" si="15"/>
        <v>1</v>
      </c>
      <c r="C138" s="65">
        <f t="shared" si="15"/>
        <v>31</v>
      </c>
      <c r="D138" s="67">
        <f>C138/SUM(C138:C149)</f>
        <v>8.4699453551912565E-2</v>
      </c>
      <c r="F138" s="68">
        <f t="shared" ref="F138:F149" si="16">E$149*D138</f>
        <v>63936.304589808096</v>
      </c>
      <c r="H138" s="69"/>
    </row>
    <row r="139" spans="1:8">
      <c r="A139" s="65">
        <f t="shared" si="11"/>
        <v>2023</v>
      </c>
      <c r="B139" s="65">
        <f t="shared" si="15"/>
        <v>2</v>
      </c>
      <c r="C139" s="65">
        <f t="shared" si="15"/>
        <v>29</v>
      </c>
      <c r="D139" s="67">
        <f>C139/SUM(C138:C149)</f>
        <v>7.9234972677595633E-2</v>
      </c>
      <c r="F139" s="68">
        <f t="shared" si="16"/>
        <v>59811.381713046285</v>
      </c>
      <c r="H139" s="69"/>
    </row>
    <row r="140" spans="1:8">
      <c r="A140" s="65">
        <f t="shared" si="11"/>
        <v>2023</v>
      </c>
      <c r="B140" s="65">
        <f t="shared" si="15"/>
        <v>3</v>
      </c>
      <c r="C140" s="65">
        <f t="shared" si="15"/>
        <v>31</v>
      </c>
      <c r="D140" s="67">
        <f>C140/SUM(C138:C149)</f>
        <v>8.4699453551912565E-2</v>
      </c>
      <c r="F140" s="68">
        <f t="shared" si="16"/>
        <v>63936.304589808096</v>
      </c>
      <c r="H140" s="69"/>
    </row>
    <row r="141" spans="1:8">
      <c r="A141" s="65">
        <f t="shared" si="11"/>
        <v>2023</v>
      </c>
      <c r="B141" s="65">
        <f t="shared" si="15"/>
        <v>4</v>
      </c>
      <c r="C141" s="65">
        <f t="shared" si="15"/>
        <v>31</v>
      </c>
      <c r="D141" s="67">
        <f>C141/SUM(C138:C149)</f>
        <v>8.4699453551912565E-2</v>
      </c>
      <c r="F141" s="68">
        <f t="shared" si="16"/>
        <v>63936.304589808096</v>
      </c>
      <c r="H141" s="69"/>
    </row>
    <row r="142" spans="1:8">
      <c r="A142" s="65">
        <f t="shared" si="11"/>
        <v>2023</v>
      </c>
      <c r="B142" s="65">
        <f t="shared" si="15"/>
        <v>5</v>
      </c>
      <c r="C142" s="65">
        <f t="shared" si="15"/>
        <v>30</v>
      </c>
      <c r="D142" s="67">
        <f>C142/SUM(C138:C149)</f>
        <v>8.1967213114754092E-2</v>
      </c>
      <c r="F142" s="68">
        <f t="shared" si="16"/>
        <v>61873.843151427187</v>
      </c>
      <c r="H142" s="69"/>
    </row>
    <row r="143" spans="1:8">
      <c r="A143" s="65">
        <f t="shared" si="11"/>
        <v>2023</v>
      </c>
      <c r="B143" s="65">
        <f t="shared" si="15"/>
        <v>6</v>
      </c>
      <c r="C143" s="65">
        <f t="shared" si="15"/>
        <v>31</v>
      </c>
      <c r="D143" s="67">
        <f>C143/SUM(C138:C149)</f>
        <v>8.4699453551912565E-2</v>
      </c>
      <c r="F143" s="68">
        <f t="shared" si="16"/>
        <v>63936.304589808096</v>
      </c>
      <c r="H143" s="69"/>
    </row>
    <row r="144" spans="1:8">
      <c r="A144" s="65">
        <f t="shared" si="11"/>
        <v>2023</v>
      </c>
      <c r="B144" s="65">
        <f t="shared" si="15"/>
        <v>7</v>
      </c>
      <c r="C144" s="65">
        <f t="shared" si="15"/>
        <v>30</v>
      </c>
      <c r="D144" s="67">
        <f>C144/SUM(C138:C149)</f>
        <v>8.1967213114754092E-2</v>
      </c>
      <c r="F144" s="68">
        <f t="shared" si="16"/>
        <v>61873.843151427187</v>
      </c>
      <c r="H144" s="69"/>
    </row>
    <row r="145" spans="1:8">
      <c r="A145" s="65">
        <f t="shared" si="11"/>
        <v>2023</v>
      </c>
      <c r="B145" s="65">
        <f t="shared" si="15"/>
        <v>8</v>
      </c>
      <c r="C145" s="65">
        <f t="shared" si="15"/>
        <v>31</v>
      </c>
      <c r="D145" s="67">
        <f>C145/SUM(C138:C149)</f>
        <v>8.4699453551912565E-2</v>
      </c>
      <c r="F145" s="68">
        <f t="shared" si="16"/>
        <v>63936.304589808096</v>
      </c>
      <c r="H145" s="69"/>
    </row>
    <row r="146" spans="1:8">
      <c r="A146" s="65">
        <f t="shared" si="11"/>
        <v>2023</v>
      </c>
      <c r="B146" s="65">
        <f t="shared" ref="B146:C161" si="17">B134</f>
        <v>9</v>
      </c>
      <c r="C146" s="65">
        <f t="shared" si="17"/>
        <v>31</v>
      </c>
      <c r="D146" s="67">
        <f>C146/SUM(C138:C149)</f>
        <v>8.4699453551912565E-2</v>
      </c>
      <c r="F146" s="68">
        <f t="shared" si="16"/>
        <v>63936.304589808096</v>
      </c>
      <c r="H146" s="69"/>
    </row>
    <row r="147" spans="1:8">
      <c r="A147" s="65">
        <f t="shared" si="11"/>
        <v>2023</v>
      </c>
      <c r="B147" s="65">
        <f t="shared" si="17"/>
        <v>10</v>
      </c>
      <c r="C147" s="65">
        <f t="shared" si="17"/>
        <v>30</v>
      </c>
      <c r="D147" s="67">
        <f>C147/SUM(C138:C149)</f>
        <v>8.1967213114754092E-2</v>
      </c>
      <c r="F147" s="68">
        <f t="shared" si="16"/>
        <v>61873.843151427187</v>
      </c>
      <c r="H147" s="69"/>
    </row>
    <row r="148" spans="1:8">
      <c r="A148" s="65">
        <f t="shared" si="11"/>
        <v>2023</v>
      </c>
      <c r="B148" s="65">
        <f t="shared" si="17"/>
        <v>11</v>
      </c>
      <c r="C148" s="65">
        <f t="shared" si="17"/>
        <v>31</v>
      </c>
      <c r="D148" s="67">
        <f>C148/SUM(C138:C149)</f>
        <v>8.4699453551912565E-2</v>
      </c>
      <c r="F148" s="68">
        <f t="shared" si="16"/>
        <v>63936.304589808096</v>
      </c>
      <c r="H148" s="69"/>
    </row>
    <row r="149" spans="1:8">
      <c r="A149" s="65">
        <f t="shared" si="11"/>
        <v>2023</v>
      </c>
      <c r="B149" s="65">
        <f t="shared" si="17"/>
        <v>12</v>
      </c>
      <c r="C149" s="65">
        <f t="shared" si="17"/>
        <v>30</v>
      </c>
      <c r="D149" s="67">
        <f>C149/SUM(C138:C149)</f>
        <v>8.1967213114754092E-2</v>
      </c>
      <c r="E149" s="64">
        <f>+FORECAST!F20</f>
        <v>754860.88644741173</v>
      </c>
      <c r="F149" s="68">
        <f t="shared" si="16"/>
        <v>61873.843151427187</v>
      </c>
      <c r="H149" s="69"/>
    </row>
    <row r="150" spans="1:8">
      <c r="A150" s="65">
        <f t="shared" si="11"/>
        <v>2024</v>
      </c>
      <c r="B150" s="65">
        <f t="shared" si="17"/>
        <v>1</v>
      </c>
      <c r="C150" s="65">
        <f t="shared" si="17"/>
        <v>31</v>
      </c>
      <c r="D150" s="67">
        <f>C150/SUM(C150:C161)</f>
        <v>8.4699453551912565E-2</v>
      </c>
      <c r="F150" s="68">
        <f t="shared" ref="F150:F161" si="18">E$161*D150</f>
        <v>79917.368516693794</v>
      </c>
      <c r="H150" s="69"/>
    </row>
    <row r="151" spans="1:8">
      <c r="A151" s="65">
        <f t="shared" si="11"/>
        <v>2024</v>
      </c>
      <c r="B151" s="65">
        <f t="shared" si="17"/>
        <v>2</v>
      </c>
      <c r="C151" s="65">
        <f t="shared" si="17"/>
        <v>29</v>
      </c>
      <c r="D151" s="67">
        <f>C151/SUM(C150:C161)</f>
        <v>7.9234972677595633E-2</v>
      </c>
      <c r="F151" s="68">
        <f t="shared" si="18"/>
        <v>74761.409257552266</v>
      </c>
      <c r="H151" s="69"/>
    </row>
    <row r="152" spans="1:8">
      <c r="A152" s="65">
        <f t="shared" si="11"/>
        <v>2024</v>
      </c>
      <c r="B152" s="65">
        <f t="shared" si="17"/>
        <v>3</v>
      </c>
      <c r="C152" s="65">
        <f t="shared" si="17"/>
        <v>31</v>
      </c>
      <c r="D152" s="67">
        <f>C152/SUM(C150:C161)</f>
        <v>8.4699453551912565E-2</v>
      </c>
      <c r="F152" s="68">
        <f t="shared" si="18"/>
        <v>79917.368516693794</v>
      </c>
      <c r="H152" s="69"/>
    </row>
    <row r="153" spans="1:8">
      <c r="A153" s="65">
        <f t="shared" si="11"/>
        <v>2024</v>
      </c>
      <c r="B153" s="65">
        <f t="shared" si="17"/>
        <v>4</v>
      </c>
      <c r="C153" s="65">
        <f t="shared" si="17"/>
        <v>31</v>
      </c>
      <c r="D153" s="67">
        <f>C153/SUM(C150:C161)</f>
        <v>8.4699453551912565E-2</v>
      </c>
      <c r="F153" s="68">
        <f t="shared" si="18"/>
        <v>79917.368516693794</v>
      </c>
      <c r="H153" s="69"/>
    </row>
    <row r="154" spans="1:8">
      <c r="A154" s="65">
        <f t="shared" si="11"/>
        <v>2024</v>
      </c>
      <c r="B154" s="65">
        <f t="shared" si="17"/>
        <v>5</v>
      </c>
      <c r="C154" s="65">
        <f t="shared" si="17"/>
        <v>30</v>
      </c>
      <c r="D154" s="67">
        <f>C154/SUM(C150:C161)</f>
        <v>8.1967213114754092E-2</v>
      </c>
      <c r="F154" s="68">
        <f t="shared" si="18"/>
        <v>77339.38888712303</v>
      </c>
      <c r="H154" s="69"/>
    </row>
    <row r="155" spans="1:8">
      <c r="A155" s="65">
        <f t="shared" si="11"/>
        <v>2024</v>
      </c>
      <c r="B155" s="65">
        <f t="shared" si="17"/>
        <v>6</v>
      </c>
      <c r="C155" s="65">
        <f t="shared" si="17"/>
        <v>31</v>
      </c>
      <c r="D155" s="67">
        <f>C155/SUM(C150:C161)</f>
        <v>8.4699453551912565E-2</v>
      </c>
      <c r="F155" s="68">
        <f t="shared" si="18"/>
        <v>79917.368516693794</v>
      </c>
      <c r="H155" s="69"/>
    </row>
    <row r="156" spans="1:8">
      <c r="A156" s="65">
        <f t="shared" si="11"/>
        <v>2024</v>
      </c>
      <c r="B156" s="65">
        <f t="shared" si="17"/>
        <v>7</v>
      </c>
      <c r="C156" s="65">
        <f t="shared" si="17"/>
        <v>30</v>
      </c>
      <c r="D156" s="67">
        <f>C156/SUM(C150:C161)</f>
        <v>8.1967213114754092E-2</v>
      </c>
      <c r="F156" s="68">
        <f t="shared" si="18"/>
        <v>77339.38888712303</v>
      </c>
      <c r="H156" s="69"/>
    </row>
    <row r="157" spans="1:8">
      <c r="A157" s="65">
        <f t="shared" si="11"/>
        <v>2024</v>
      </c>
      <c r="B157" s="65">
        <f t="shared" si="17"/>
        <v>8</v>
      </c>
      <c r="C157" s="65">
        <f t="shared" si="17"/>
        <v>31</v>
      </c>
      <c r="D157" s="67">
        <f>C157/SUM(C150:C161)</f>
        <v>8.4699453551912565E-2</v>
      </c>
      <c r="F157" s="68">
        <f t="shared" si="18"/>
        <v>79917.368516693794</v>
      </c>
      <c r="H157" s="69"/>
    </row>
    <row r="158" spans="1:8">
      <c r="A158" s="65">
        <f t="shared" si="11"/>
        <v>2024</v>
      </c>
      <c r="B158" s="65">
        <f t="shared" si="17"/>
        <v>9</v>
      </c>
      <c r="C158" s="65">
        <f t="shared" si="17"/>
        <v>31</v>
      </c>
      <c r="D158" s="67">
        <f>C158/SUM(C150:C161)</f>
        <v>8.4699453551912565E-2</v>
      </c>
      <c r="F158" s="68">
        <f t="shared" si="18"/>
        <v>79917.368516693794</v>
      </c>
      <c r="H158" s="69"/>
    </row>
    <row r="159" spans="1:8">
      <c r="A159" s="65">
        <f t="shared" si="11"/>
        <v>2024</v>
      </c>
      <c r="B159" s="65">
        <f t="shared" si="17"/>
        <v>10</v>
      </c>
      <c r="C159" s="65">
        <f t="shared" si="17"/>
        <v>30</v>
      </c>
      <c r="D159" s="67">
        <f>C159/SUM(C150:C161)</f>
        <v>8.1967213114754092E-2</v>
      </c>
      <c r="F159" s="68">
        <f t="shared" si="18"/>
        <v>77339.38888712303</v>
      </c>
      <c r="H159" s="69"/>
    </row>
    <row r="160" spans="1:8">
      <c r="A160" s="65">
        <f t="shared" si="11"/>
        <v>2024</v>
      </c>
      <c r="B160" s="65">
        <f t="shared" si="17"/>
        <v>11</v>
      </c>
      <c r="C160" s="65">
        <f t="shared" si="17"/>
        <v>31</v>
      </c>
      <c r="D160" s="67">
        <f>C160/SUM(C150:C161)</f>
        <v>8.4699453551912565E-2</v>
      </c>
      <c r="F160" s="68">
        <f t="shared" si="18"/>
        <v>79917.368516693794</v>
      </c>
      <c r="H160" s="69"/>
    </row>
    <row r="161" spans="1:8">
      <c r="A161" s="65">
        <f t="shared" si="11"/>
        <v>2024</v>
      </c>
      <c r="B161" s="65">
        <f t="shared" si="17"/>
        <v>12</v>
      </c>
      <c r="C161" s="65">
        <f t="shared" si="17"/>
        <v>30</v>
      </c>
      <c r="D161" s="67">
        <f>C161/SUM(C150:C161)</f>
        <v>8.1967213114754092E-2</v>
      </c>
      <c r="E161" s="64">
        <f>+FORECAST!F21</f>
        <v>943540.544422901</v>
      </c>
      <c r="F161" s="68">
        <f t="shared" si="18"/>
        <v>77339.38888712303</v>
      </c>
      <c r="H161" s="69"/>
    </row>
    <row r="162" spans="1:8">
      <c r="A162" s="65">
        <f t="shared" si="11"/>
        <v>2025</v>
      </c>
      <c r="B162" s="65">
        <f t="shared" ref="B162:C177" si="19">B150</f>
        <v>1</v>
      </c>
      <c r="C162" s="65">
        <f t="shared" si="19"/>
        <v>31</v>
      </c>
      <c r="D162" s="67">
        <f>C162/SUM(C162:C173)</f>
        <v>8.4699453551912565E-2</v>
      </c>
      <c r="F162" s="68">
        <f t="shared" ref="F162:F173" si="20">E$173*D162</f>
        <v>95901.444664145805</v>
      </c>
      <c r="H162" s="69"/>
    </row>
    <row r="163" spans="1:8">
      <c r="A163" s="65">
        <f t="shared" si="11"/>
        <v>2025</v>
      </c>
      <c r="B163" s="65">
        <f t="shared" si="19"/>
        <v>2</v>
      </c>
      <c r="C163" s="65">
        <f t="shared" si="19"/>
        <v>29</v>
      </c>
      <c r="D163" s="67">
        <f>C163/SUM(C162:C173)</f>
        <v>7.9234972677595633E-2</v>
      </c>
      <c r="F163" s="68">
        <f t="shared" si="20"/>
        <v>89714.254685813823</v>
      </c>
      <c r="H163" s="69"/>
    </row>
    <row r="164" spans="1:8">
      <c r="A164" s="65">
        <f t="shared" si="11"/>
        <v>2025</v>
      </c>
      <c r="B164" s="65">
        <f t="shared" si="19"/>
        <v>3</v>
      </c>
      <c r="C164" s="65">
        <f t="shared" si="19"/>
        <v>31</v>
      </c>
      <c r="D164" s="67">
        <f>C164/SUM(C162:C173)</f>
        <v>8.4699453551912565E-2</v>
      </c>
      <c r="F164" s="68">
        <f t="shared" si="20"/>
        <v>95901.444664145805</v>
      </c>
      <c r="H164" s="69"/>
    </row>
    <row r="165" spans="1:8">
      <c r="A165" s="65">
        <f t="shared" si="11"/>
        <v>2025</v>
      </c>
      <c r="B165" s="65">
        <f t="shared" si="19"/>
        <v>4</v>
      </c>
      <c r="C165" s="65">
        <f t="shared" si="19"/>
        <v>31</v>
      </c>
      <c r="D165" s="67">
        <f>C165/SUM(C162:C173)</f>
        <v>8.4699453551912565E-2</v>
      </c>
      <c r="F165" s="68">
        <f t="shared" si="20"/>
        <v>95901.444664145805</v>
      </c>
      <c r="H165" s="69"/>
    </row>
    <row r="166" spans="1:8">
      <c r="A166" s="65">
        <f t="shared" si="11"/>
        <v>2025</v>
      </c>
      <c r="B166" s="65">
        <f t="shared" si="19"/>
        <v>5</v>
      </c>
      <c r="C166" s="65">
        <f t="shared" si="19"/>
        <v>30</v>
      </c>
      <c r="D166" s="67">
        <f>C166/SUM(C162:C173)</f>
        <v>8.1967213114754092E-2</v>
      </c>
      <c r="F166" s="68">
        <f t="shared" si="20"/>
        <v>92807.849674979807</v>
      </c>
      <c r="H166" s="69"/>
    </row>
    <row r="167" spans="1:8">
      <c r="A167" s="65">
        <f t="shared" si="11"/>
        <v>2025</v>
      </c>
      <c r="B167" s="65">
        <f t="shared" si="19"/>
        <v>6</v>
      </c>
      <c r="C167" s="65">
        <f t="shared" si="19"/>
        <v>31</v>
      </c>
      <c r="D167" s="67">
        <f>C167/SUM(C162:C173)</f>
        <v>8.4699453551912565E-2</v>
      </c>
      <c r="F167" s="68">
        <f t="shared" si="20"/>
        <v>95901.444664145805</v>
      </c>
      <c r="H167" s="69"/>
    </row>
    <row r="168" spans="1:8">
      <c r="A168" s="65">
        <f t="shared" si="11"/>
        <v>2025</v>
      </c>
      <c r="B168" s="65">
        <f t="shared" si="19"/>
        <v>7</v>
      </c>
      <c r="C168" s="65">
        <f t="shared" si="19"/>
        <v>30</v>
      </c>
      <c r="D168" s="67">
        <f>C168/SUM(C162:C173)</f>
        <v>8.1967213114754092E-2</v>
      </c>
      <c r="F168" s="68">
        <f t="shared" si="20"/>
        <v>92807.849674979807</v>
      </c>
      <c r="H168" s="69"/>
    </row>
    <row r="169" spans="1:8">
      <c r="A169" s="65">
        <f t="shared" si="11"/>
        <v>2025</v>
      </c>
      <c r="B169" s="65">
        <f t="shared" si="19"/>
        <v>8</v>
      </c>
      <c r="C169" s="65">
        <f t="shared" si="19"/>
        <v>31</v>
      </c>
      <c r="D169" s="67">
        <f>C169/SUM(C162:C173)</f>
        <v>8.4699453551912565E-2</v>
      </c>
      <c r="F169" s="68">
        <f t="shared" si="20"/>
        <v>95901.444664145805</v>
      </c>
      <c r="H169" s="69"/>
    </row>
    <row r="170" spans="1:8">
      <c r="A170" s="65">
        <f t="shared" si="11"/>
        <v>2025</v>
      </c>
      <c r="B170" s="65">
        <f t="shared" si="19"/>
        <v>9</v>
      </c>
      <c r="C170" s="65">
        <f t="shared" si="19"/>
        <v>31</v>
      </c>
      <c r="D170" s="67">
        <f>C170/SUM(C162:C173)</f>
        <v>8.4699453551912565E-2</v>
      </c>
      <c r="F170" s="68">
        <f t="shared" si="20"/>
        <v>95901.444664145805</v>
      </c>
      <c r="H170" s="69"/>
    </row>
    <row r="171" spans="1:8">
      <c r="A171" s="65">
        <f t="shared" si="11"/>
        <v>2025</v>
      </c>
      <c r="B171" s="65">
        <f t="shared" si="19"/>
        <v>10</v>
      </c>
      <c r="C171" s="65">
        <f t="shared" si="19"/>
        <v>30</v>
      </c>
      <c r="D171" s="67">
        <f>C171/SUM(C162:C173)</f>
        <v>8.1967213114754092E-2</v>
      </c>
      <c r="F171" s="68">
        <f t="shared" si="20"/>
        <v>92807.849674979807</v>
      </c>
      <c r="H171" s="69"/>
    </row>
    <row r="172" spans="1:8">
      <c r="A172" s="65">
        <f t="shared" si="11"/>
        <v>2025</v>
      </c>
      <c r="B172" s="65">
        <f t="shared" si="19"/>
        <v>11</v>
      </c>
      <c r="C172" s="65">
        <f t="shared" si="19"/>
        <v>31</v>
      </c>
      <c r="D172" s="67">
        <f>C172/SUM(C162:C173)</f>
        <v>8.4699453551912565E-2</v>
      </c>
      <c r="F172" s="68">
        <f t="shared" si="20"/>
        <v>95901.444664145805</v>
      </c>
      <c r="H172" s="69"/>
    </row>
    <row r="173" spans="1:8">
      <c r="A173" s="65">
        <f t="shared" si="11"/>
        <v>2025</v>
      </c>
      <c r="B173" s="65">
        <f t="shared" si="19"/>
        <v>12</v>
      </c>
      <c r="C173" s="65">
        <f t="shared" si="19"/>
        <v>30</v>
      </c>
      <c r="D173" s="67">
        <f>C173/SUM(C162:C173)</f>
        <v>8.1967213114754092E-2</v>
      </c>
      <c r="E173" s="64">
        <f>+FORECAST!F22</f>
        <v>1132255.7660347538</v>
      </c>
      <c r="F173" s="68">
        <f t="shared" si="20"/>
        <v>92807.849674979807</v>
      </c>
      <c r="H173" s="69"/>
    </row>
    <row r="174" spans="1:8">
      <c r="A174" s="65">
        <f t="shared" si="11"/>
        <v>2026</v>
      </c>
      <c r="B174" s="65">
        <f t="shared" si="19"/>
        <v>1</v>
      </c>
      <c r="C174" s="65">
        <f t="shared" si="19"/>
        <v>31</v>
      </c>
      <c r="D174" s="67">
        <f>C174/SUM(C174:C185)</f>
        <v>8.4699453551912565E-2</v>
      </c>
      <c r="F174" s="68">
        <f t="shared" ref="F174:F185" si="21">E$185*D174</f>
        <v>115081.73359697495</v>
      </c>
      <c r="H174" s="69"/>
    </row>
    <row r="175" spans="1:8">
      <c r="A175" s="65">
        <f t="shared" si="11"/>
        <v>2026</v>
      </c>
      <c r="B175" s="65">
        <f t="shared" si="19"/>
        <v>2</v>
      </c>
      <c r="C175" s="65">
        <f t="shared" si="19"/>
        <v>29</v>
      </c>
      <c r="D175" s="67">
        <f>C175/SUM(C174:C185)</f>
        <v>7.9234972677595633E-2</v>
      </c>
      <c r="F175" s="68">
        <f t="shared" si="21"/>
        <v>107657.10562297658</v>
      </c>
      <c r="H175" s="69"/>
    </row>
    <row r="176" spans="1:8">
      <c r="A176" s="65">
        <f t="shared" si="11"/>
        <v>2026</v>
      </c>
      <c r="B176" s="65">
        <f t="shared" si="19"/>
        <v>3</v>
      </c>
      <c r="C176" s="65">
        <f t="shared" si="19"/>
        <v>31</v>
      </c>
      <c r="D176" s="67">
        <f>C176/SUM(C174:C185)</f>
        <v>8.4699453551912565E-2</v>
      </c>
      <c r="F176" s="68">
        <f t="shared" si="21"/>
        <v>115081.73359697495</v>
      </c>
      <c r="H176" s="69"/>
    </row>
    <row r="177" spans="1:8">
      <c r="A177" s="65">
        <f t="shared" si="11"/>
        <v>2026</v>
      </c>
      <c r="B177" s="65">
        <f t="shared" si="19"/>
        <v>4</v>
      </c>
      <c r="C177" s="65">
        <f t="shared" si="19"/>
        <v>31</v>
      </c>
      <c r="D177" s="67">
        <f>C177/SUM(C174:C185)</f>
        <v>8.4699453551912565E-2</v>
      </c>
      <c r="F177" s="68">
        <f t="shared" si="21"/>
        <v>115081.73359697495</v>
      </c>
      <c r="H177" s="69"/>
    </row>
    <row r="178" spans="1:8">
      <c r="A178" s="65">
        <f t="shared" ref="A178:A233" si="22">A166+1</f>
        <v>2026</v>
      </c>
      <c r="B178" s="65">
        <f t="shared" ref="B178:C193" si="23">B166</f>
        <v>5</v>
      </c>
      <c r="C178" s="65">
        <f t="shared" si="23"/>
        <v>30</v>
      </c>
      <c r="D178" s="67">
        <f>C178/SUM(C174:C185)</f>
        <v>8.1967213114754092E-2</v>
      </c>
      <c r="F178" s="68">
        <f t="shared" si="21"/>
        <v>111369.41960997575</v>
      </c>
      <c r="H178" s="69"/>
    </row>
    <row r="179" spans="1:8">
      <c r="A179" s="65">
        <f t="shared" si="22"/>
        <v>2026</v>
      </c>
      <c r="B179" s="65">
        <f t="shared" si="23"/>
        <v>6</v>
      </c>
      <c r="C179" s="65">
        <f t="shared" si="23"/>
        <v>31</v>
      </c>
      <c r="D179" s="67">
        <f>C179/SUM(C174:C185)</f>
        <v>8.4699453551912565E-2</v>
      </c>
      <c r="F179" s="68">
        <f t="shared" si="21"/>
        <v>115081.73359697495</v>
      </c>
      <c r="H179" s="69"/>
    </row>
    <row r="180" spans="1:8">
      <c r="A180" s="65">
        <f t="shared" si="22"/>
        <v>2026</v>
      </c>
      <c r="B180" s="65">
        <f t="shared" si="23"/>
        <v>7</v>
      </c>
      <c r="C180" s="65">
        <f t="shared" si="23"/>
        <v>30</v>
      </c>
      <c r="D180" s="67">
        <f>C180/SUM(C174:C185)</f>
        <v>8.1967213114754092E-2</v>
      </c>
      <c r="F180" s="68">
        <f t="shared" si="21"/>
        <v>111369.41960997575</v>
      </c>
      <c r="H180" s="69"/>
    </row>
    <row r="181" spans="1:8">
      <c r="A181" s="65">
        <f t="shared" si="22"/>
        <v>2026</v>
      </c>
      <c r="B181" s="65">
        <f t="shared" si="23"/>
        <v>8</v>
      </c>
      <c r="C181" s="65">
        <f t="shared" si="23"/>
        <v>31</v>
      </c>
      <c r="D181" s="67">
        <f>C181/SUM(C174:C185)</f>
        <v>8.4699453551912565E-2</v>
      </c>
      <c r="F181" s="68">
        <f t="shared" si="21"/>
        <v>115081.73359697495</v>
      </c>
      <c r="H181" s="69"/>
    </row>
    <row r="182" spans="1:8">
      <c r="A182" s="65">
        <f t="shared" si="22"/>
        <v>2026</v>
      </c>
      <c r="B182" s="65">
        <f t="shared" si="23"/>
        <v>9</v>
      </c>
      <c r="C182" s="65">
        <f t="shared" si="23"/>
        <v>31</v>
      </c>
      <c r="D182" s="67">
        <f>C182/SUM(C174:C185)</f>
        <v>8.4699453551912565E-2</v>
      </c>
      <c r="F182" s="68">
        <f t="shared" si="21"/>
        <v>115081.73359697495</v>
      </c>
      <c r="H182" s="69"/>
    </row>
    <row r="183" spans="1:8">
      <c r="A183" s="65">
        <f t="shared" si="22"/>
        <v>2026</v>
      </c>
      <c r="B183" s="65">
        <f t="shared" si="23"/>
        <v>10</v>
      </c>
      <c r="C183" s="65">
        <f t="shared" si="23"/>
        <v>30</v>
      </c>
      <c r="D183" s="67">
        <f>C183/SUM(C174:C185)</f>
        <v>8.1967213114754092E-2</v>
      </c>
      <c r="F183" s="68">
        <f t="shared" si="21"/>
        <v>111369.41960997575</v>
      </c>
      <c r="H183" s="69"/>
    </row>
    <row r="184" spans="1:8">
      <c r="A184" s="65">
        <f t="shared" si="22"/>
        <v>2026</v>
      </c>
      <c r="B184" s="65">
        <f t="shared" si="23"/>
        <v>11</v>
      </c>
      <c r="C184" s="65">
        <f t="shared" si="23"/>
        <v>31</v>
      </c>
      <c r="D184" s="67">
        <f>C184/SUM(C174:C185)</f>
        <v>8.4699453551912565E-2</v>
      </c>
      <c r="F184" s="68">
        <f t="shared" si="21"/>
        <v>115081.73359697495</v>
      </c>
      <c r="H184" s="69"/>
    </row>
    <row r="185" spans="1:8">
      <c r="A185" s="65">
        <f t="shared" si="22"/>
        <v>2026</v>
      </c>
      <c r="B185" s="65">
        <f t="shared" si="23"/>
        <v>12</v>
      </c>
      <c r="C185" s="65">
        <f t="shared" si="23"/>
        <v>30</v>
      </c>
      <c r="D185" s="67">
        <f>C185/SUM(C174:C185)</f>
        <v>8.1967213114754092E-2</v>
      </c>
      <c r="E185" s="64">
        <f>+FORECAST!F23</f>
        <v>1358706.9192417043</v>
      </c>
      <c r="F185" s="68">
        <f t="shared" si="21"/>
        <v>111369.41960997575</v>
      </c>
      <c r="H185" s="69"/>
    </row>
    <row r="186" spans="1:8">
      <c r="A186" s="65">
        <f t="shared" si="22"/>
        <v>2027</v>
      </c>
      <c r="B186" s="65">
        <f t="shared" si="23"/>
        <v>1</v>
      </c>
      <c r="C186" s="65">
        <f t="shared" si="23"/>
        <v>31</v>
      </c>
      <c r="D186" s="67">
        <f>C186/SUM(C186:C197)</f>
        <v>8.4699453551912565E-2</v>
      </c>
      <c r="F186" s="68">
        <f t="shared" ref="F186:F197" si="24">E$197*D186</f>
        <v>138099.88764870979</v>
      </c>
      <c r="H186" s="69"/>
    </row>
    <row r="187" spans="1:8">
      <c r="A187" s="65">
        <f t="shared" si="22"/>
        <v>2027</v>
      </c>
      <c r="B187" s="65">
        <f t="shared" si="23"/>
        <v>2</v>
      </c>
      <c r="C187" s="65">
        <f t="shared" si="23"/>
        <v>29</v>
      </c>
      <c r="D187" s="67">
        <f>C187/SUM(C186:C197)</f>
        <v>7.9234972677595633E-2</v>
      </c>
      <c r="F187" s="68">
        <f t="shared" si="24"/>
        <v>129190.2174778253</v>
      </c>
      <c r="H187" s="69"/>
    </row>
    <row r="188" spans="1:8">
      <c r="A188" s="65">
        <f t="shared" si="22"/>
        <v>2027</v>
      </c>
      <c r="B188" s="65">
        <f t="shared" si="23"/>
        <v>3</v>
      </c>
      <c r="C188" s="65">
        <f t="shared" si="23"/>
        <v>31</v>
      </c>
      <c r="D188" s="67">
        <f>C188/SUM(C186:C197)</f>
        <v>8.4699453551912565E-2</v>
      </c>
      <c r="F188" s="68">
        <f t="shared" si="24"/>
        <v>138099.88764870979</v>
      </c>
      <c r="H188" s="69"/>
    </row>
    <row r="189" spans="1:8">
      <c r="A189" s="65">
        <f t="shared" si="22"/>
        <v>2027</v>
      </c>
      <c r="B189" s="65">
        <f t="shared" si="23"/>
        <v>4</v>
      </c>
      <c r="C189" s="65">
        <f t="shared" si="23"/>
        <v>31</v>
      </c>
      <c r="D189" s="67">
        <f>C189/SUM(C186:C197)</f>
        <v>8.4699453551912565E-2</v>
      </c>
      <c r="F189" s="68">
        <f t="shared" si="24"/>
        <v>138099.88764870979</v>
      </c>
      <c r="H189" s="69"/>
    </row>
    <row r="190" spans="1:8">
      <c r="A190" s="65">
        <f t="shared" si="22"/>
        <v>2027</v>
      </c>
      <c r="B190" s="65">
        <f t="shared" si="23"/>
        <v>5</v>
      </c>
      <c r="C190" s="65">
        <f t="shared" si="23"/>
        <v>30</v>
      </c>
      <c r="D190" s="67">
        <f>C190/SUM(C186:C197)</f>
        <v>8.1967213114754092E-2</v>
      </c>
      <c r="F190" s="68">
        <f t="shared" si="24"/>
        <v>133645.05256326753</v>
      </c>
      <c r="H190" s="69"/>
    </row>
    <row r="191" spans="1:8">
      <c r="A191" s="65">
        <f t="shared" si="22"/>
        <v>2027</v>
      </c>
      <c r="B191" s="65">
        <f t="shared" si="23"/>
        <v>6</v>
      </c>
      <c r="C191" s="65">
        <f t="shared" si="23"/>
        <v>31</v>
      </c>
      <c r="D191" s="67">
        <f>C191/SUM(C186:C197)</f>
        <v>8.4699453551912565E-2</v>
      </c>
      <c r="F191" s="68">
        <f t="shared" si="24"/>
        <v>138099.88764870979</v>
      </c>
      <c r="H191" s="69"/>
    </row>
    <row r="192" spans="1:8">
      <c r="A192" s="65">
        <f t="shared" si="22"/>
        <v>2027</v>
      </c>
      <c r="B192" s="65">
        <f t="shared" si="23"/>
        <v>7</v>
      </c>
      <c r="C192" s="65">
        <f t="shared" si="23"/>
        <v>30</v>
      </c>
      <c r="D192" s="67">
        <f>C192/SUM(C186:C197)</f>
        <v>8.1967213114754092E-2</v>
      </c>
      <c r="F192" s="68">
        <f t="shared" si="24"/>
        <v>133645.05256326753</v>
      </c>
      <c r="H192" s="69"/>
    </row>
    <row r="193" spans="1:8">
      <c r="A193" s="65">
        <f t="shared" si="22"/>
        <v>2027</v>
      </c>
      <c r="B193" s="65">
        <f t="shared" si="23"/>
        <v>8</v>
      </c>
      <c r="C193" s="65">
        <f t="shared" si="23"/>
        <v>31</v>
      </c>
      <c r="D193" s="67">
        <f>C193/SUM(C186:C197)</f>
        <v>8.4699453551912565E-2</v>
      </c>
      <c r="F193" s="68">
        <f t="shared" si="24"/>
        <v>138099.88764870979</v>
      </c>
      <c r="H193" s="69"/>
    </row>
    <row r="194" spans="1:8">
      <c r="A194" s="65">
        <f t="shared" si="22"/>
        <v>2027</v>
      </c>
      <c r="B194" s="65">
        <f t="shared" ref="B194:C209" si="25">B182</f>
        <v>9</v>
      </c>
      <c r="C194" s="65">
        <f t="shared" si="25"/>
        <v>31</v>
      </c>
      <c r="D194" s="67">
        <f>C194/SUM(C186:C197)</f>
        <v>8.4699453551912565E-2</v>
      </c>
      <c r="F194" s="68">
        <f t="shared" si="24"/>
        <v>138099.88764870979</v>
      </c>
      <c r="H194" s="69"/>
    </row>
    <row r="195" spans="1:8">
      <c r="A195" s="65">
        <f t="shared" si="22"/>
        <v>2027</v>
      </c>
      <c r="B195" s="65">
        <f t="shared" si="25"/>
        <v>10</v>
      </c>
      <c r="C195" s="65">
        <f t="shared" si="25"/>
        <v>30</v>
      </c>
      <c r="D195" s="67">
        <f>C195/SUM(C186:C197)</f>
        <v>8.1967213114754092E-2</v>
      </c>
      <c r="F195" s="68">
        <f t="shared" si="24"/>
        <v>133645.05256326753</v>
      </c>
      <c r="H195" s="69"/>
    </row>
    <row r="196" spans="1:8">
      <c r="A196" s="65">
        <f t="shared" si="22"/>
        <v>2027</v>
      </c>
      <c r="B196" s="65">
        <f t="shared" si="25"/>
        <v>11</v>
      </c>
      <c r="C196" s="65">
        <f t="shared" si="25"/>
        <v>31</v>
      </c>
      <c r="D196" s="67">
        <f>C196/SUM(C186:C197)</f>
        <v>8.4699453551912565E-2</v>
      </c>
      <c r="F196" s="68">
        <f t="shared" si="24"/>
        <v>138099.88764870979</v>
      </c>
      <c r="H196" s="69"/>
    </row>
    <row r="197" spans="1:8">
      <c r="A197" s="65">
        <f t="shared" si="22"/>
        <v>2027</v>
      </c>
      <c r="B197" s="65">
        <f t="shared" si="25"/>
        <v>12</v>
      </c>
      <c r="C197" s="65">
        <f t="shared" si="25"/>
        <v>30</v>
      </c>
      <c r="D197" s="67">
        <f>C197/SUM(C186:C197)</f>
        <v>8.1967213114754092E-2</v>
      </c>
      <c r="E197" s="64">
        <f>+FORECAST!F24</f>
        <v>1630469.6412718641</v>
      </c>
      <c r="F197" s="68">
        <f t="shared" si="24"/>
        <v>133645.05256326753</v>
      </c>
      <c r="H197" s="69"/>
    </row>
    <row r="198" spans="1:8">
      <c r="A198" s="65">
        <f t="shared" si="22"/>
        <v>2028</v>
      </c>
      <c r="B198" s="65">
        <f t="shared" si="25"/>
        <v>1</v>
      </c>
      <c r="C198" s="65">
        <f t="shared" si="25"/>
        <v>31</v>
      </c>
      <c r="D198" s="67">
        <f>C198/SUM(C198:C209)</f>
        <v>8.4699453551912565E-2</v>
      </c>
      <c r="F198" s="68">
        <f t="shared" ref="F198:F209" si="26">E$209*D198</f>
        <v>165718.66029022523</v>
      </c>
      <c r="H198" s="69"/>
    </row>
    <row r="199" spans="1:8">
      <c r="A199" s="65">
        <f t="shared" si="22"/>
        <v>2028</v>
      </c>
      <c r="B199" s="65">
        <f t="shared" si="25"/>
        <v>2</v>
      </c>
      <c r="C199" s="65">
        <f t="shared" si="25"/>
        <v>29</v>
      </c>
      <c r="D199" s="67">
        <f>C199/SUM(C198:C209)</f>
        <v>7.9234972677595633E-2</v>
      </c>
      <c r="F199" s="68">
        <f t="shared" si="26"/>
        <v>155027.13381988811</v>
      </c>
      <c r="H199" s="69"/>
    </row>
    <row r="200" spans="1:8">
      <c r="A200" s="65">
        <f t="shared" si="22"/>
        <v>2028</v>
      </c>
      <c r="B200" s="65">
        <f t="shared" si="25"/>
        <v>3</v>
      </c>
      <c r="C200" s="65">
        <f t="shared" si="25"/>
        <v>31</v>
      </c>
      <c r="D200" s="67">
        <f>C200/SUM(C198:C209)</f>
        <v>8.4699453551912565E-2</v>
      </c>
      <c r="F200" s="68">
        <f t="shared" si="26"/>
        <v>165718.66029022523</v>
      </c>
      <c r="H200" s="69"/>
    </row>
    <row r="201" spans="1:8">
      <c r="A201" s="65">
        <f t="shared" si="22"/>
        <v>2028</v>
      </c>
      <c r="B201" s="65">
        <f t="shared" si="25"/>
        <v>4</v>
      </c>
      <c r="C201" s="65">
        <f t="shared" si="25"/>
        <v>31</v>
      </c>
      <c r="D201" s="67">
        <f>C201/SUM(C198:C209)</f>
        <v>8.4699453551912565E-2</v>
      </c>
      <c r="F201" s="68">
        <f t="shared" si="26"/>
        <v>165718.66029022523</v>
      </c>
      <c r="H201" s="69"/>
    </row>
    <row r="202" spans="1:8">
      <c r="A202" s="65">
        <f t="shared" si="22"/>
        <v>2028</v>
      </c>
      <c r="B202" s="65">
        <f t="shared" si="25"/>
        <v>5</v>
      </c>
      <c r="C202" s="65">
        <f t="shared" si="25"/>
        <v>30</v>
      </c>
      <c r="D202" s="67">
        <f>C202/SUM(C198:C209)</f>
        <v>8.1967213114754092E-2</v>
      </c>
      <c r="F202" s="68">
        <f t="shared" si="26"/>
        <v>160372.89705505667</v>
      </c>
      <c r="H202" s="69"/>
    </row>
    <row r="203" spans="1:8">
      <c r="A203" s="65">
        <f t="shared" si="22"/>
        <v>2028</v>
      </c>
      <c r="B203" s="65">
        <f t="shared" si="25"/>
        <v>6</v>
      </c>
      <c r="C203" s="65">
        <f t="shared" si="25"/>
        <v>31</v>
      </c>
      <c r="D203" s="67">
        <f>C203/SUM(C198:C209)</f>
        <v>8.4699453551912565E-2</v>
      </c>
      <c r="F203" s="68">
        <f t="shared" si="26"/>
        <v>165718.66029022523</v>
      </c>
      <c r="H203" s="69"/>
    </row>
    <row r="204" spans="1:8">
      <c r="A204" s="65">
        <f t="shared" si="22"/>
        <v>2028</v>
      </c>
      <c r="B204" s="65">
        <f t="shared" si="25"/>
        <v>7</v>
      </c>
      <c r="C204" s="65">
        <f t="shared" si="25"/>
        <v>30</v>
      </c>
      <c r="D204" s="67">
        <f>C204/SUM(C198:C209)</f>
        <v>8.1967213114754092E-2</v>
      </c>
      <c r="F204" s="68">
        <f t="shared" si="26"/>
        <v>160372.89705505667</v>
      </c>
      <c r="H204" s="69"/>
    </row>
    <row r="205" spans="1:8">
      <c r="A205" s="65">
        <f t="shared" si="22"/>
        <v>2028</v>
      </c>
      <c r="B205" s="65">
        <f t="shared" si="25"/>
        <v>8</v>
      </c>
      <c r="C205" s="65">
        <f t="shared" si="25"/>
        <v>31</v>
      </c>
      <c r="D205" s="67">
        <f>C205/SUM(C198:C209)</f>
        <v>8.4699453551912565E-2</v>
      </c>
      <c r="F205" s="68">
        <f t="shared" si="26"/>
        <v>165718.66029022523</v>
      </c>
      <c r="H205" s="69"/>
    </row>
    <row r="206" spans="1:8">
      <c r="A206" s="65">
        <f t="shared" si="22"/>
        <v>2028</v>
      </c>
      <c r="B206" s="65">
        <f t="shared" si="25"/>
        <v>9</v>
      </c>
      <c r="C206" s="65">
        <f t="shared" si="25"/>
        <v>31</v>
      </c>
      <c r="D206" s="67">
        <f>C206/SUM(C198:C209)</f>
        <v>8.4699453551912565E-2</v>
      </c>
      <c r="F206" s="68">
        <f t="shared" si="26"/>
        <v>165718.66029022523</v>
      </c>
      <c r="H206" s="69"/>
    </row>
    <row r="207" spans="1:8">
      <c r="A207" s="65">
        <f t="shared" si="22"/>
        <v>2028</v>
      </c>
      <c r="B207" s="65">
        <f t="shared" si="25"/>
        <v>10</v>
      </c>
      <c r="C207" s="65">
        <f t="shared" si="25"/>
        <v>30</v>
      </c>
      <c r="D207" s="67">
        <f>C207/SUM(C198:C209)</f>
        <v>8.1967213114754092E-2</v>
      </c>
      <c r="F207" s="68">
        <f t="shared" si="26"/>
        <v>160372.89705505667</v>
      </c>
      <c r="H207" s="69"/>
    </row>
    <row r="208" spans="1:8">
      <c r="A208" s="65">
        <f t="shared" si="22"/>
        <v>2028</v>
      </c>
      <c r="B208" s="65">
        <f t="shared" si="25"/>
        <v>11</v>
      </c>
      <c r="C208" s="65">
        <f t="shared" si="25"/>
        <v>31</v>
      </c>
      <c r="D208" s="67">
        <f>C208/SUM(C198:C209)</f>
        <v>8.4699453551912565E-2</v>
      </c>
      <c r="F208" s="68">
        <f t="shared" si="26"/>
        <v>165718.66029022523</v>
      </c>
      <c r="H208" s="69"/>
    </row>
    <row r="209" spans="1:8">
      <c r="A209" s="65">
        <f t="shared" si="22"/>
        <v>2028</v>
      </c>
      <c r="B209" s="65">
        <f t="shared" si="25"/>
        <v>12</v>
      </c>
      <c r="C209" s="65">
        <f t="shared" si="25"/>
        <v>30</v>
      </c>
      <c r="D209" s="67">
        <f>C209/SUM(C198:C209)</f>
        <v>8.1967213114754092E-2</v>
      </c>
      <c r="E209" s="64">
        <f>+FORECAST!F25</f>
        <v>1956549.3440716914</v>
      </c>
      <c r="F209" s="68">
        <f t="shared" si="26"/>
        <v>160372.89705505667</v>
      </c>
      <c r="H209" s="69"/>
    </row>
    <row r="210" spans="1:8">
      <c r="A210" s="65">
        <f t="shared" si="22"/>
        <v>2029</v>
      </c>
      <c r="B210" s="65">
        <f t="shared" ref="B210:C225" si="27">B198</f>
        <v>1</v>
      </c>
      <c r="C210" s="65">
        <f t="shared" si="27"/>
        <v>31</v>
      </c>
      <c r="D210" s="67">
        <f>C210/SUM(C210:C221)</f>
        <v>8.4699453551912565E-2</v>
      </c>
      <c r="F210" s="68">
        <f t="shared" ref="F210:F221" si="28">E$221*D210</f>
        <v>198861.78990415702</v>
      </c>
      <c r="H210" s="69"/>
    </row>
    <row r="211" spans="1:8">
      <c r="A211" s="65">
        <f t="shared" si="22"/>
        <v>2029</v>
      </c>
      <c r="B211" s="65">
        <f t="shared" si="27"/>
        <v>2</v>
      </c>
      <c r="C211" s="65">
        <f t="shared" si="27"/>
        <v>29</v>
      </c>
      <c r="D211" s="67">
        <f>C211/SUM(C210:C221)</f>
        <v>7.9234972677595633E-2</v>
      </c>
      <c r="F211" s="68">
        <f t="shared" si="28"/>
        <v>186031.99700711464</v>
      </c>
      <c r="H211" s="69"/>
    </row>
    <row r="212" spans="1:8">
      <c r="A212" s="65">
        <f t="shared" si="22"/>
        <v>2029</v>
      </c>
      <c r="B212" s="65">
        <f t="shared" si="27"/>
        <v>3</v>
      </c>
      <c r="C212" s="65">
        <f t="shared" si="27"/>
        <v>31</v>
      </c>
      <c r="D212" s="67">
        <f>C212/SUM(C210:C221)</f>
        <v>8.4699453551912565E-2</v>
      </c>
      <c r="F212" s="68">
        <f t="shared" si="28"/>
        <v>198861.78990415702</v>
      </c>
      <c r="H212" s="69"/>
    </row>
    <row r="213" spans="1:8">
      <c r="A213" s="65">
        <f t="shared" si="22"/>
        <v>2029</v>
      </c>
      <c r="B213" s="65">
        <f t="shared" si="27"/>
        <v>4</v>
      </c>
      <c r="C213" s="65">
        <f t="shared" si="27"/>
        <v>31</v>
      </c>
      <c r="D213" s="67">
        <f>C213/SUM(C210:C221)</f>
        <v>8.4699453551912565E-2</v>
      </c>
      <c r="F213" s="68">
        <f t="shared" si="28"/>
        <v>198861.78990415702</v>
      </c>
      <c r="H213" s="69"/>
    </row>
    <row r="214" spans="1:8">
      <c r="A214" s="65">
        <f t="shared" si="22"/>
        <v>2029</v>
      </c>
      <c r="B214" s="65">
        <f t="shared" si="27"/>
        <v>5</v>
      </c>
      <c r="C214" s="65">
        <f t="shared" si="27"/>
        <v>30</v>
      </c>
      <c r="D214" s="67">
        <f>C214/SUM(C210:C221)</f>
        <v>8.1967213114754092E-2</v>
      </c>
      <c r="F214" s="68">
        <f t="shared" si="28"/>
        <v>192446.89345563581</v>
      </c>
      <c r="H214" s="69"/>
    </row>
    <row r="215" spans="1:8">
      <c r="A215" s="65">
        <f t="shared" si="22"/>
        <v>2029</v>
      </c>
      <c r="B215" s="65">
        <f t="shared" si="27"/>
        <v>6</v>
      </c>
      <c r="C215" s="65">
        <f t="shared" si="27"/>
        <v>31</v>
      </c>
      <c r="D215" s="67">
        <f>C215/SUM(C210:C221)</f>
        <v>8.4699453551912565E-2</v>
      </c>
      <c r="F215" s="68">
        <f t="shared" si="28"/>
        <v>198861.78990415702</v>
      </c>
      <c r="H215" s="69"/>
    </row>
    <row r="216" spans="1:8">
      <c r="A216" s="65">
        <f t="shared" si="22"/>
        <v>2029</v>
      </c>
      <c r="B216" s="65">
        <f t="shared" si="27"/>
        <v>7</v>
      </c>
      <c r="C216" s="65">
        <f t="shared" si="27"/>
        <v>30</v>
      </c>
      <c r="D216" s="67">
        <f>C216/SUM(C210:C221)</f>
        <v>8.1967213114754092E-2</v>
      </c>
      <c r="F216" s="68">
        <f t="shared" si="28"/>
        <v>192446.89345563581</v>
      </c>
      <c r="H216" s="69"/>
    </row>
    <row r="217" spans="1:8">
      <c r="A217" s="65">
        <f t="shared" si="22"/>
        <v>2029</v>
      </c>
      <c r="B217" s="65">
        <f t="shared" si="27"/>
        <v>8</v>
      </c>
      <c r="C217" s="65">
        <f t="shared" si="27"/>
        <v>31</v>
      </c>
      <c r="D217" s="67">
        <f>C217/SUM(C210:C221)</f>
        <v>8.4699453551912565E-2</v>
      </c>
      <c r="F217" s="68">
        <f t="shared" si="28"/>
        <v>198861.78990415702</v>
      </c>
      <c r="H217" s="69"/>
    </row>
    <row r="218" spans="1:8">
      <c r="A218" s="65">
        <f t="shared" si="22"/>
        <v>2029</v>
      </c>
      <c r="B218" s="65">
        <f t="shared" si="27"/>
        <v>9</v>
      </c>
      <c r="C218" s="65">
        <f t="shared" si="27"/>
        <v>31</v>
      </c>
      <c r="D218" s="67">
        <f>C218/SUM(C210:C221)</f>
        <v>8.4699453551912565E-2</v>
      </c>
      <c r="F218" s="68">
        <f t="shared" si="28"/>
        <v>198861.78990415702</v>
      </c>
      <c r="H218" s="69"/>
    </row>
    <row r="219" spans="1:8">
      <c r="A219" s="65">
        <f t="shared" si="22"/>
        <v>2029</v>
      </c>
      <c r="B219" s="65">
        <f t="shared" si="27"/>
        <v>10</v>
      </c>
      <c r="C219" s="65">
        <f t="shared" si="27"/>
        <v>30</v>
      </c>
      <c r="D219" s="67">
        <f>C219/SUM(C210:C221)</f>
        <v>8.1967213114754092E-2</v>
      </c>
      <c r="F219" s="68">
        <f t="shared" si="28"/>
        <v>192446.89345563581</v>
      </c>
      <c r="H219" s="69"/>
    </row>
    <row r="220" spans="1:8">
      <c r="A220" s="65">
        <f t="shared" si="22"/>
        <v>2029</v>
      </c>
      <c r="B220" s="65">
        <f t="shared" si="27"/>
        <v>11</v>
      </c>
      <c r="C220" s="65">
        <f t="shared" si="27"/>
        <v>31</v>
      </c>
      <c r="D220" s="67">
        <f>C220/SUM(C210:C221)</f>
        <v>8.4699453551912565E-2</v>
      </c>
      <c r="F220" s="68">
        <f t="shared" si="28"/>
        <v>198861.78990415702</v>
      </c>
      <c r="H220" s="69"/>
    </row>
    <row r="221" spans="1:8">
      <c r="A221" s="65">
        <f t="shared" si="22"/>
        <v>2029</v>
      </c>
      <c r="B221" s="65">
        <f t="shared" si="27"/>
        <v>12</v>
      </c>
      <c r="C221" s="65">
        <f t="shared" si="27"/>
        <v>30</v>
      </c>
      <c r="D221" s="67">
        <f>C221/SUM(C210:C221)</f>
        <v>8.1967213114754092E-2</v>
      </c>
      <c r="E221" s="64">
        <f>+FORECAST!F26</f>
        <v>2347852.1001587571</v>
      </c>
      <c r="F221" s="68">
        <f t="shared" si="28"/>
        <v>192446.89345563581</v>
      </c>
      <c r="H221" s="69"/>
    </row>
    <row r="222" spans="1:8">
      <c r="A222" s="65">
        <f t="shared" si="22"/>
        <v>2030</v>
      </c>
      <c r="B222" s="65">
        <f t="shared" si="27"/>
        <v>1</v>
      </c>
      <c r="C222" s="65">
        <f t="shared" si="27"/>
        <v>31</v>
      </c>
      <c r="D222" s="67">
        <f>C222/SUM(C222:C233)</f>
        <v>8.4699453551912565E-2</v>
      </c>
      <c r="F222" s="68">
        <f t="shared" ref="F222:F233" si="29">E$233*D222</f>
        <v>238634.75032910169</v>
      </c>
      <c r="H222" s="69"/>
    </row>
    <row r="223" spans="1:8">
      <c r="A223" s="65">
        <f t="shared" si="22"/>
        <v>2030</v>
      </c>
      <c r="B223" s="65">
        <f t="shared" si="27"/>
        <v>2</v>
      </c>
      <c r="C223" s="65">
        <f t="shared" si="27"/>
        <v>29</v>
      </c>
      <c r="D223" s="67">
        <f>C223/SUM(C222:C233)</f>
        <v>7.9234972677595633E-2</v>
      </c>
      <c r="F223" s="68">
        <f t="shared" si="29"/>
        <v>223238.9599852887</v>
      </c>
      <c r="H223" s="69"/>
    </row>
    <row r="224" spans="1:8">
      <c r="A224" s="65">
        <f t="shared" si="22"/>
        <v>2030</v>
      </c>
      <c r="B224" s="65">
        <f t="shared" si="27"/>
        <v>3</v>
      </c>
      <c r="C224" s="65">
        <f t="shared" si="27"/>
        <v>31</v>
      </c>
      <c r="D224" s="67">
        <f>C224/SUM(C222:C233)</f>
        <v>8.4699453551912565E-2</v>
      </c>
      <c r="F224" s="68">
        <f t="shared" si="29"/>
        <v>238634.75032910169</v>
      </c>
      <c r="H224" s="69"/>
    </row>
    <row r="225" spans="1:8">
      <c r="A225" s="65">
        <f t="shared" si="22"/>
        <v>2030</v>
      </c>
      <c r="B225" s="65">
        <f t="shared" si="27"/>
        <v>4</v>
      </c>
      <c r="C225" s="65">
        <f t="shared" si="27"/>
        <v>31</v>
      </c>
      <c r="D225" s="67">
        <f>C225/SUM(C222:C233)</f>
        <v>8.4699453551912565E-2</v>
      </c>
      <c r="F225" s="68">
        <f t="shared" si="29"/>
        <v>238634.75032910169</v>
      </c>
      <c r="H225" s="69"/>
    </row>
    <row r="226" spans="1:8">
      <c r="A226" s="65">
        <f t="shared" si="22"/>
        <v>2030</v>
      </c>
      <c r="B226" s="65">
        <f t="shared" ref="B226:C233" si="30">B214</f>
        <v>5</v>
      </c>
      <c r="C226" s="65">
        <f t="shared" si="30"/>
        <v>30</v>
      </c>
      <c r="D226" s="67">
        <f>C226/SUM(C222:C233)</f>
        <v>8.1967213114754092E-2</v>
      </c>
      <c r="F226" s="68">
        <f t="shared" si="29"/>
        <v>230936.85515719518</v>
      </c>
      <c r="H226" s="69"/>
    </row>
    <row r="227" spans="1:8">
      <c r="A227" s="65">
        <f t="shared" si="22"/>
        <v>2030</v>
      </c>
      <c r="B227" s="65">
        <f t="shared" si="30"/>
        <v>6</v>
      </c>
      <c r="C227" s="65">
        <f t="shared" si="30"/>
        <v>31</v>
      </c>
      <c r="D227" s="67">
        <f>C227/SUM(C222:C233)</f>
        <v>8.4699453551912565E-2</v>
      </c>
      <c r="F227" s="68">
        <f t="shared" si="29"/>
        <v>238634.75032910169</v>
      </c>
      <c r="H227" s="69"/>
    </row>
    <row r="228" spans="1:8">
      <c r="A228" s="65">
        <f t="shared" si="22"/>
        <v>2030</v>
      </c>
      <c r="B228" s="65">
        <f t="shared" si="30"/>
        <v>7</v>
      </c>
      <c r="C228" s="65">
        <f t="shared" si="30"/>
        <v>30</v>
      </c>
      <c r="D228" s="67">
        <f>C228/SUM(C222:C233)</f>
        <v>8.1967213114754092E-2</v>
      </c>
      <c r="F228" s="68">
        <f t="shared" si="29"/>
        <v>230936.85515719518</v>
      </c>
      <c r="H228" s="69"/>
    </row>
    <row r="229" spans="1:8">
      <c r="A229" s="65">
        <f t="shared" si="22"/>
        <v>2030</v>
      </c>
      <c r="B229" s="65">
        <f t="shared" si="30"/>
        <v>8</v>
      </c>
      <c r="C229" s="65">
        <f t="shared" si="30"/>
        <v>31</v>
      </c>
      <c r="D229" s="67">
        <f>C229/SUM(C222:C233)</f>
        <v>8.4699453551912565E-2</v>
      </c>
      <c r="F229" s="68">
        <f t="shared" si="29"/>
        <v>238634.75032910169</v>
      </c>
      <c r="H229" s="69"/>
    </row>
    <row r="230" spans="1:8">
      <c r="A230" s="65">
        <f t="shared" si="22"/>
        <v>2030</v>
      </c>
      <c r="B230" s="65">
        <f t="shared" si="30"/>
        <v>9</v>
      </c>
      <c r="C230" s="65">
        <f t="shared" si="30"/>
        <v>31</v>
      </c>
      <c r="D230" s="67">
        <f>C230/SUM(C222:C233)</f>
        <v>8.4699453551912565E-2</v>
      </c>
      <c r="F230" s="68">
        <f t="shared" si="29"/>
        <v>238634.75032910169</v>
      </c>
      <c r="H230" s="69"/>
    </row>
    <row r="231" spans="1:8">
      <c r="A231" s="65">
        <f t="shared" si="22"/>
        <v>2030</v>
      </c>
      <c r="B231" s="65">
        <f t="shared" si="30"/>
        <v>10</v>
      </c>
      <c r="C231" s="65">
        <f t="shared" si="30"/>
        <v>30</v>
      </c>
      <c r="D231" s="67">
        <f>C231/SUM(C222:C233)</f>
        <v>8.1967213114754092E-2</v>
      </c>
      <c r="F231" s="68">
        <f t="shared" si="29"/>
        <v>230936.85515719518</v>
      </c>
      <c r="H231" s="69"/>
    </row>
    <row r="232" spans="1:8">
      <c r="A232" s="65">
        <f t="shared" si="22"/>
        <v>2030</v>
      </c>
      <c r="B232" s="65">
        <f t="shared" si="30"/>
        <v>11</v>
      </c>
      <c r="C232" s="65">
        <f t="shared" si="30"/>
        <v>31</v>
      </c>
      <c r="D232" s="67">
        <f>C232/SUM(C222:C233)</f>
        <v>8.4699453551912565E-2</v>
      </c>
      <c r="F232" s="68">
        <f t="shared" si="29"/>
        <v>238634.75032910169</v>
      </c>
      <c r="H232" s="69"/>
    </row>
    <row r="233" spans="1:8">
      <c r="A233" s="65">
        <f t="shared" si="22"/>
        <v>2030</v>
      </c>
      <c r="B233" s="65">
        <f t="shared" si="30"/>
        <v>12</v>
      </c>
      <c r="C233" s="65">
        <f t="shared" si="30"/>
        <v>30</v>
      </c>
      <c r="D233" s="67">
        <f>C233/SUM(C222:C233)</f>
        <v>8.1967213114754092E-2</v>
      </c>
      <c r="E233" s="64">
        <f>+FORECAST!F27</f>
        <v>2817429.6329177814</v>
      </c>
      <c r="F233" s="68">
        <f t="shared" si="29"/>
        <v>230936.85515719518</v>
      </c>
      <c r="H233" s="69"/>
    </row>
    <row r="234" spans="1:8">
      <c r="D234" s="67"/>
    </row>
    <row r="235" spans="1:8">
      <c r="A235" s="62"/>
      <c r="B235" s="62"/>
      <c r="C235" s="62"/>
      <c r="D235" s="67"/>
      <c r="E235" s="64">
        <f>SUM(E6:E233)</f>
        <v>15158482.131522916</v>
      </c>
      <c r="F235" s="64">
        <f>SUM(F6:F233)</f>
        <v>15158482.131522911</v>
      </c>
    </row>
    <row r="236" spans="1:8">
      <c r="A236" s="62"/>
      <c r="B236" s="62"/>
      <c r="C236" s="62"/>
      <c r="D236" s="67"/>
    </row>
    <row r="237" spans="1:8" ht="14.4">
      <c r="A237" s="62"/>
      <c r="B237" s="62"/>
      <c r="C237" s="62"/>
      <c r="D237" s="67"/>
      <c r="E237" s="64">
        <f>SUM(FORECAST!F8:F27)</f>
        <v>15158482.131522916</v>
      </c>
      <c r="F237" s="73" t="s">
        <v>116</v>
      </c>
    </row>
    <row r="238" spans="1:8">
      <c r="A238" s="62"/>
      <c r="B238" s="62"/>
      <c r="C238" s="62"/>
      <c r="D238" s="67"/>
    </row>
    <row r="239" spans="1:8">
      <c r="A239" s="62"/>
      <c r="B239" s="62"/>
      <c r="C239" s="62"/>
      <c r="D239" s="67"/>
    </row>
    <row r="240" spans="1:8">
      <c r="A240" s="62"/>
      <c r="B240" s="62"/>
      <c r="C240" s="62"/>
      <c r="D240" s="67"/>
    </row>
    <row r="241" spans="1:5">
      <c r="A241" s="62"/>
      <c r="B241" s="62"/>
      <c r="C241" s="62"/>
      <c r="D241" s="67"/>
    </row>
    <row r="242" spans="1:5">
      <c r="A242" s="62"/>
      <c r="B242" s="62"/>
      <c r="C242" s="62"/>
      <c r="D242" s="67"/>
    </row>
    <row r="243" spans="1:5">
      <c r="A243" s="62"/>
      <c r="B243" s="62"/>
      <c r="C243" s="62"/>
      <c r="D243" s="67"/>
    </row>
    <row r="244" spans="1:5">
      <c r="A244" s="62"/>
      <c r="B244" s="62"/>
      <c r="C244" s="62"/>
      <c r="D244" s="67"/>
    </row>
    <row r="245" spans="1:5">
      <c r="A245" s="62"/>
      <c r="B245" s="62"/>
      <c r="C245" s="62"/>
      <c r="D245" s="67"/>
    </row>
    <row r="246" spans="1:5">
      <c r="A246" s="62"/>
      <c r="B246" s="62"/>
      <c r="C246" s="62"/>
      <c r="D246" s="67"/>
    </row>
    <row r="247" spans="1:5">
      <c r="A247" s="62"/>
      <c r="B247" s="62"/>
      <c r="C247" s="62"/>
      <c r="D247" s="67"/>
    </row>
    <row r="248" spans="1:5">
      <c r="A248" s="62"/>
      <c r="B248" s="62"/>
      <c r="C248" s="62"/>
      <c r="D248" s="67"/>
    </row>
    <row r="249" spans="1:5">
      <c r="A249" s="62"/>
      <c r="B249" s="62"/>
      <c r="C249" s="62"/>
      <c r="D249" s="67"/>
    </row>
    <row r="250" spans="1:5">
      <c r="A250" s="62"/>
      <c r="B250" s="62"/>
      <c r="C250" s="62"/>
      <c r="D250" s="67"/>
      <c r="E250" s="62"/>
    </row>
    <row r="251" spans="1:5">
      <c r="A251" s="62"/>
      <c r="B251" s="62"/>
      <c r="C251" s="62"/>
      <c r="D251" s="67"/>
      <c r="E251" s="62"/>
    </row>
    <row r="252" spans="1:5">
      <c r="A252" s="62"/>
      <c r="B252" s="62"/>
      <c r="C252" s="62"/>
      <c r="D252" s="67"/>
      <c r="E252" s="62"/>
    </row>
    <row r="253" spans="1:5">
      <c r="A253" s="62"/>
      <c r="B253" s="62"/>
      <c r="C253" s="62"/>
      <c r="D253" s="67"/>
      <c r="E253" s="62"/>
    </row>
    <row r="254" spans="1:5">
      <c r="A254" s="62"/>
      <c r="B254" s="62"/>
      <c r="C254" s="62"/>
      <c r="D254" s="67"/>
      <c r="E254" s="62"/>
    </row>
    <row r="255" spans="1:5">
      <c r="A255" s="62"/>
      <c r="B255" s="62"/>
      <c r="C255" s="62"/>
      <c r="D255" s="67"/>
      <c r="E255" s="62"/>
    </row>
    <row r="256" spans="1:5">
      <c r="A256" s="62"/>
      <c r="B256" s="62"/>
      <c r="C256" s="62"/>
      <c r="D256" s="67"/>
      <c r="E256" s="62"/>
    </row>
    <row r="257" spans="1:5">
      <c r="A257" s="62"/>
      <c r="B257" s="62"/>
      <c r="C257" s="62"/>
      <c r="D257" s="67"/>
      <c r="E257" s="62"/>
    </row>
    <row r="258" spans="1:5">
      <c r="A258" s="62"/>
      <c r="B258" s="62"/>
      <c r="C258" s="62"/>
      <c r="D258" s="67"/>
      <c r="E258" s="62"/>
    </row>
    <row r="259" spans="1:5">
      <c r="A259" s="62"/>
      <c r="B259" s="62"/>
      <c r="C259" s="62"/>
      <c r="D259" s="67"/>
      <c r="E259" s="62"/>
    </row>
    <row r="260" spans="1:5">
      <c r="A260" s="62"/>
      <c r="B260" s="62"/>
      <c r="C260" s="62"/>
      <c r="D260" s="67"/>
      <c r="E260" s="62"/>
    </row>
    <row r="261" spans="1:5">
      <c r="A261" s="62"/>
      <c r="B261" s="62"/>
      <c r="C261" s="62"/>
      <c r="D261" s="67"/>
      <c r="E261" s="62"/>
    </row>
    <row r="262" spans="1:5">
      <c r="A262" s="62"/>
      <c r="B262" s="62"/>
      <c r="C262" s="62"/>
      <c r="D262" s="67"/>
      <c r="E262" s="62"/>
    </row>
    <row r="263" spans="1:5">
      <c r="A263" s="62"/>
      <c r="B263" s="62"/>
      <c r="C263" s="62"/>
      <c r="D263" s="67"/>
      <c r="E263" s="62"/>
    </row>
    <row r="264" spans="1:5">
      <c r="A264" s="62"/>
      <c r="B264" s="62"/>
      <c r="C264" s="62"/>
      <c r="D264" s="67"/>
      <c r="E264" s="62"/>
    </row>
    <row r="265" spans="1:5" ht="409.6">
      <c r="A265" s="62"/>
      <c r="B265" s="62"/>
      <c r="C265" s="62"/>
      <c r="D265" s="67"/>
      <c r="E265" s="62"/>
    </row>
    <row r="266" spans="1:5" ht="409.6">
      <c r="A266" s="62"/>
      <c r="B266" s="62"/>
      <c r="C266" s="62"/>
      <c r="D266" s="67"/>
      <c r="E266" s="62"/>
    </row>
    <row r="267" spans="1:5">
      <c r="A267" s="62"/>
      <c r="B267" s="62"/>
      <c r="C267" s="62"/>
      <c r="D267" s="67"/>
      <c r="E267" s="62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3" tint="-0.499984740745262"/>
  </sheetPr>
  <dimension ref="A1:AQ53"/>
  <sheetViews>
    <sheetView zoomScale="75" zoomScaleNormal="75" zoomScaleSheetLayoutView="100" workbookViewId="0">
      <selection activeCell="B2" sqref="B1:B2"/>
    </sheetView>
  </sheetViews>
  <sheetFormatPr defaultColWidth="13.6640625" defaultRowHeight="13.2"/>
  <cols>
    <col min="1" max="1" width="3.44140625" style="79" customWidth="1"/>
    <col min="2" max="6" width="13.6640625" style="79"/>
    <col min="7" max="7" width="18.109375" style="79" customWidth="1"/>
    <col min="8" max="9" width="3.109375" style="79" customWidth="1"/>
    <col min="10" max="10" width="8.109375" style="126" customWidth="1"/>
    <col min="11" max="11" width="16" style="127" customWidth="1"/>
    <col min="12" max="12" width="16.109375" style="127" customWidth="1"/>
    <col min="13" max="13" width="15.5546875" style="127" customWidth="1"/>
    <col min="14" max="14" width="22" style="127" customWidth="1"/>
    <col min="15" max="15" width="18.6640625" style="128" customWidth="1"/>
    <col min="16" max="16" width="14.6640625" style="128" customWidth="1"/>
    <col min="17" max="18" width="13" style="128" customWidth="1"/>
    <col min="19" max="20" width="15.44140625" style="128" customWidth="1"/>
    <col min="21" max="22" width="3.109375" style="146" customWidth="1"/>
    <col min="23" max="23" width="6" style="79" customWidth="1"/>
    <col min="24" max="24" width="19" style="79" customWidth="1"/>
    <col min="25" max="25" width="14.33203125" style="79" customWidth="1"/>
    <col min="26" max="26" width="13.44140625" style="79" customWidth="1"/>
    <col min="27" max="27" width="11.5546875" style="79" customWidth="1"/>
    <col min="28" max="28" width="16.109375" style="79" customWidth="1"/>
    <col min="29" max="29" width="12.5546875" style="79" customWidth="1"/>
    <col min="30" max="32" width="16.44140625" style="79" customWidth="1"/>
    <col min="33" max="33" width="17.33203125" style="79" customWidth="1"/>
    <col min="34" max="34" width="3.44140625" style="79" customWidth="1"/>
    <col min="35" max="35" width="7" style="79" customWidth="1"/>
    <col min="36" max="36" width="10.109375" style="79" customWidth="1"/>
    <col min="37" max="37" width="13" style="79" customWidth="1"/>
    <col min="38" max="38" width="3" style="79" customWidth="1"/>
    <col min="39" max="39" width="9.33203125" style="79" customWidth="1"/>
    <col min="40" max="40" width="9.44140625" style="79" customWidth="1"/>
    <col min="41" max="41" width="13" style="79" bestFit="1" customWidth="1"/>
    <col min="42" max="16384" width="13.6640625" style="79"/>
  </cols>
  <sheetData>
    <row r="1" spans="1:43" ht="14.4">
      <c r="B1" s="453" t="s">
        <v>310</v>
      </c>
    </row>
    <row r="2" spans="1:43" ht="14.4">
      <c r="B2" s="453" t="s">
        <v>290</v>
      </c>
    </row>
    <row r="4" spans="1:43" ht="14.4">
      <c r="A4" s="74"/>
      <c r="B4" s="75"/>
      <c r="C4" s="76"/>
      <c r="D4" s="76"/>
      <c r="E4" s="76"/>
      <c r="F4" s="76"/>
      <c r="G4" s="76"/>
      <c r="H4" s="77"/>
      <c r="I4" s="77"/>
      <c r="J4" s="75"/>
      <c r="K4" s="76"/>
      <c r="L4" s="76"/>
      <c r="M4" s="76"/>
      <c r="N4" s="76"/>
      <c r="O4" s="77"/>
      <c r="P4" s="77"/>
      <c r="Q4" s="77"/>
      <c r="R4" s="77"/>
      <c r="S4" s="77"/>
      <c r="T4" s="77"/>
      <c r="U4" s="78"/>
      <c r="V4" s="78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</row>
    <row r="5" spans="1:43" ht="18" customHeight="1" thickBot="1">
      <c r="A5" s="74"/>
      <c r="B5" s="446" t="s">
        <v>117</v>
      </c>
      <c r="C5" s="446"/>
      <c r="D5" s="80" t="s">
        <v>65</v>
      </c>
      <c r="E5" s="81">
        <v>2014</v>
      </c>
      <c r="F5" s="81"/>
      <c r="G5" s="82"/>
      <c r="H5" s="83"/>
      <c r="I5" s="83"/>
      <c r="J5" s="446" t="s">
        <v>118</v>
      </c>
      <c r="K5" s="446"/>
      <c r="L5" s="80" t="s">
        <v>65</v>
      </c>
      <c r="M5" s="81">
        <v>2014</v>
      </c>
      <c r="N5" s="82"/>
      <c r="O5" s="82"/>
      <c r="P5" s="80" t="s">
        <v>119</v>
      </c>
      <c r="Q5" s="84">
        <v>41518</v>
      </c>
      <c r="R5" s="84"/>
      <c r="S5" s="84"/>
      <c r="T5" s="82"/>
      <c r="U5" s="85"/>
      <c r="V5" s="85"/>
      <c r="W5" s="446" t="s">
        <v>120</v>
      </c>
      <c r="X5" s="446"/>
      <c r="Y5" s="80" t="s">
        <v>65</v>
      </c>
      <c r="Z5" s="81">
        <v>2014</v>
      </c>
      <c r="AA5" s="82"/>
      <c r="AB5" s="82"/>
      <c r="AC5" s="80" t="s">
        <v>119</v>
      </c>
      <c r="AD5" s="84">
        <v>41518</v>
      </c>
      <c r="AE5" s="84"/>
      <c r="AF5" s="84"/>
      <c r="AG5" s="82"/>
      <c r="AH5" s="74"/>
    </row>
    <row r="6" spans="1:43" ht="15" thickTop="1">
      <c r="A6" s="74"/>
      <c r="B6" s="447"/>
      <c r="C6" s="448"/>
      <c r="D6" s="448"/>
      <c r="E6" s="448"/>
      <c r="F6" s="448"/>
      <c r="G6" s="448"/>
      <c r="H6" s="448"/>
      <c r="I6" s="86"/>
      <c r="J6" s="447"/>
      <c r="K6" s="448"/>
      <c r="L6" s="448"/>
      <c r="M6" s="448"/>
      <c r="N6" s="448"/>
      <c r="O6" s="448"/>
      <c r="P6" s="86"/>
      <c r="Q6" s="86"/>
      <c r="R6" s="86"/>
      <c r="S6" s="86"/>
      <c r="T6" s="86"/>
      <c r="U6" s="78"/>
      <c r="V6" s="78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</row>
    <row r="7" spans="1:43" ht="52.8" thickBot="1">
      <c r="A7" s="74"/>
      <c r="B7" s="87" t="s">
        <v>65</v>
      </c>
      <c r="C7" s="88" t="s">
        <v>121</v>
      </c>
      <c r="D7" s="88" t="s">
        <v>122</v>
      </c>
      <c r="E7" s="88" t="s">
        <v>123</v>
      </c>
      <c r="F7" s="88" t="s">
        <v>124</v>
      </c>
      <c r="G7" s="88" t="s">
        <v>125</v>
      </c>
      <c r="H7" s="89"/>
      <c r="I7" s="89"/>
      <c r="J7" s="90" t="s">
        <v>65</v>
      </c>
      <c r="K7" s="88" t="s">
        <v>126</v>
      </c>
      <c r="L7" s="88" t="s">
        <v>127</v>
      </c>
      <c r="M7" s="88" t="s">
        <v>128</v>
      </c>
      <c r="N7" s="88" t="s">
        <v>129</v>
      </c>
      <c r="O7" s="88" t="s">
        <v>130</v>
      </c>
      <c r="P7" s="88" t="s">
        <v>131</v>
      </c>
      <c r="Q7" s="88" t="s">
        <v>132</v>
      </c>
      <c r="R7" s="88" t="s">
        <v>133</v>
      </c>
      <c r="S7" s="88" t="s">
        <v>124</v>
      </c>
      <c r="T7" s="88" t="s">
        <v>125</v>
      </c>
      <c r="U7" s="91"/>
      <c r="V7" s="91"/>
      <c r="W7" s="92" t="s">
        <v>65</v>
      </c>
      <c r="X7" s="88" t="s">
        <v>126</v>
      </c>
      <c r="Y7" s="88" t="s">
        <v>127</v>
      </c>
      <c r="Z7" s="88" t="s">
        <v>128</v>
      </c>
      <c r="AA7" s="88" t="s">
        <v>129</v>
      </c>
      <c r="AB7" s="88" t="s">
        <v>130</v>
      </c>
      <c r="AC7" s="88" t="s">
        <v>131</v>
      </c>
      <c r="AD7" s="88" t="s">
        <v>134</v>
      </c>
      <c r="AE7" s="88" t="s">
        <v>135</v>
      </c>
      <c r="AF7" s="88" t="s">
        <v>124</v>
      </c>
      <c r="AG7" s="88" t="s">
        <v>125</v>
      </c>
      <c r="AH7" s="74"/>
    </row>
    <row r="8" spans="1:43" ht="15" thickTop="1">
      <c r="A8" s="74"/>
      <c r="B8" s="93" t="s">
        <v>136</v>
      </c>
      <c r="C8" s="94">
        <f>O8</f>
        <v>259</v>
      </c>
      <c r="D8" s="94">
        <f>AB8</f>
        <v>0</v>
      </c>
      <c r="E8" s="95">
        <f>C8+D8</f>
        <v>259</v>
      </c>
      <c r="F8" s="96" t="str">
        <f>IF(S8+AF8=0,"",S8+AF8)</f>
        <v/>
      </c>
      <c r="G8" s="97" t="str">
        <f>IF(F8="","",T8+AG8)</f>
        <v/>
      </c>
      <c r="H8" s="98"/>
      <c r="I8" s="98"/>
      <c r="J8" s="93" t="s">
        <v>136</v>
      </c>
      <c r="K8" s="99">
        <v>23974</v>
      </c>
      <c r="L8" s="99">
        <v>18200</v>
      </c>
      <c r="M8" s="100">
        <f>522+40</f>
        <v>562</v>
      </c>
      <c r="N8" s="100">
        <v>517</v>
      </c>
      <c r="O8" s="101">
        <v>259</v>
      </c>
      <c r="P8" s="94">
        <v>224</v>
      </c>
      <c r="Q8" s="102">
        <f>O8/K8</f>
        <v>1.0803370317844332E-2</v>
      </c>
      <c r="R8" s="94"/>
      <c r="S8" s="94"/>
      <c r="T8" s="103" t="str">
        <f>IF(S8=0,"",S8*$N$36)</f>
        <v/>
      </c>
      <c r="U8" s="104"/>
      <c r="V8" s="104"/>
      <c r="W8" s="105" t="s">
        <v>137</v>
      </c>
      <c r="X8" s="106"/>
      <c r="Y8" s="106">
        <f>X8</f>
        <v>0</v>
      </c>
      <c r="Z8" s="100">
        <f t="shared" ref="Z8:Z27" si="0">X8*Q8*2</f>
        <v>0</v>
      </c>
      <c r="AA8" s="100">
        <f>Z8</f>
        <v>0</v>
      </c>
      <c r="AB8" s="101">
        <f>X8*Q8</f>
        <v>0</v>
      </c>
      <c r="AC8" s="94">
        <f>AB8</f>
        <v>0</v>
      </c>
      <c r="AD8" s="107">
        <v>46.329401999999995</v>
      </c>
      <c r="AE8" s="108">
        <f t="shared" ref="AE8:AE27" si="1">AB8-AD8</f>
        <v>-46.329401999999995</v>
      </c>
      <c r="AF8" s="107"/>
      <c r="AG8" s="109" t="str">
        <f>IF(AF8=0,"",$Y$43*AF8)</f>
        <v/>
      </c>
      <c r="AH8" s="74"/>
      <c r="AJ8" s="110"/>
      <c r="AQ8" s="111"/>
    </row>
    <row r="9" spans="1:43" ht="14.4">
      <c r="A9" s="74"/>
      <c r="B9" s="93" t="s">
        <v>138</v>
      </c>
      <c r="C9" s="94">
        <f t="shared" ref="C9:C26" si="2">O9</f>
        <v>1314</v>
      </c>
      <c r="D9" s="94">
        <f t="shared" ref="D9:D27" si="3">AB9</f>
        <v>0</v>
      </c>
      <c r="E9" s="95">
        <f t="shared" ref="E9:E26" si="4">C9+D9</f>
        <v>1314</v>
      </c>
      <c r="F9" s="96">
        <f t="shared" ref="F9:F27" si="5">IF(S9+AF9=0,"",S9+AF9)</f>
        <v>5771.3069999999998</v>
      </c>
      <c r="G9" s="112">
        <f>T9</f>
        <v>311650.57799999998</v>
      </c>
      <c r="H9" s="98"/>
      <c r="I9" s="98"/>
      <c r="J9" s="93" t="s">
        <v>138</v>
      </c>
      <c r="K9" s="99">
        <v>78350</v>
      </c>
      <c r="L9" s="99">
        <f>SUM(K9-K8)</f>
        <v>54376</v>
      </c>
      <c r="M9" s="100">
        <v>2539</v>
      </c>
      <c r="N9" s="100">
        <f>M9-M8</f>
        <v>1977</v>
      </c>
      <c r="O9" s="101">
        <v>1314</v>
      </c>
      <c r="P9" s="94">
        <f t="shared" ref="P9:P27" si="6">+O9-O8</f>
        <v>1055</v>
      </c>
      <c r="Q9" s="113">
        <f>O9/K9</f>
        <v>1.6770899808551371E-2</v>
      </c>
      <c r="R9" s="114">
        <f t="shared" ref="R9:R27" si="7">K9/K8</f>
        <v>3.2681238007841831</v>
      </c>
      <c r="S9" s="94">
        <f>(O9*$N$35*$N$32)/1000</f>
        <v>5771.3069999999998</v>
      </c>
      <c r="T9" s="115">
        <f>IF(S9=0,"",S9*$N$36)*1000</f>
        <v>311650.57799999998</v>
      </c>
      <c r="U9" s="104"/>
      <c r="V9" s="104"/>
      <c r="W9" s="116" t="s">
        <v>139</v>
      </c>
      <c r="X9" s="106"/>
      <c r="Y9" s="106">
        <f>X9-X8</f>
        <v>0</v>
      </c>
      <c r="Z9" s="100">
        <f t="shared" si="0"/>
        <v>0</v>
      </c>
      <c r="AA9" s="100">
        <f>Z9-Z8</f>
        <v>0</v>
      </c>
      <c r="AB9" s="101">
        <f t="shared" ref="AB9:AB27" si="8">ROUND(X9*Q9,0)</f>
        <v>0</v>
      </c>
      <c r="AC9" s="94">
        <f>AB9-AB8</f>
        <v>0</v>
      </c>
      <c r="AD9" s="107">
        <v>166.31573999999995</v>
      </c>
      <c r="AE9" s="108">
        <f t="shared" si="1"/>
        <v>-166.31573999999995</v>
      </c>
      <c r="AF9" s="107"/>
      <c r="AG9" s="109" t="str">
        <f t="shared" ref="AG9" si="9">IF(AF9=0,"",$Y$43*AF9)</f>
        <v/>
      </c>
      <c r="AH9" s="74"/>
      <c r="AJ9" s="110"/>
      <c r="AQ9" s="111"/>
    </row>
    <row r="10" spans="1:43" ht="14.4">
      <c r="A10" s="74"/>
      <c r="B10" s="116" t="s">
        <v>140</v>
      </c>
      <c r="C10" s="94">
        <f t="shared" si="2"/>
        <v>4586</v>
      </c>
      <c r="D10" s="94">
        <f t="shared" si="3"/>
        <v>17</v>
      </c>
      <c r="E10" s="95">
        <f t="shared" si="4"/>
        <v>4603</v>
      </c>
      <c r="F10" s="96">
        <f t="shared" si="5"/>
        <v>20747.058151515153</v>
      </c>
      <c r="G10" s="112">
        <f t="shared" ref="G10:G27" si="10">IF(F10="","",T10+AG10)</f>
        <v>1095656.0645454549</v>
      </c>
      <c r="H10" s="98"/>
      <c r="I10" s="98"/>
      <c r="J10" s="93" t="s">
        <v>140</v>
      </c>
      <c r="K10" s="99">
        <v>172503</v>
      </c>
      <c r="L10" s="99">
        <f t="shared" ref="L10:L27" si="11">SUM(K10-K9)</f>
        <v>94153</v>
      </c>
      <c r="M10" s="100">
        <v>6377</v>
      </c>
      <c r="N10" s="100">
        <f t="shared" ref="N10:N27" si="12">M10-M9</f>
        <v>3838</v>
      </c>
      <c r="O10" s="101">
        <v>4586</v>
      </c>
      <c r="P10" s="94">
        <f t="shared" si="6"/>
        <v>3272</v>
      </c>
      <c r="Q10" s="113">
        <f t="shared" ref="Q10:Q27" si="13">O10/K10</f>
        <v>2.6585044897769895E-2</v>
      </c>
      <c r="R10" s="114">
        <f t="shared" si="7"/>
        <v>2.2016975111678367</v>
      </c>
      <c r="S10" s="94">
        <f t="shared" ref="S10:S27" si="14">(O10*$N$35*$N$32)/1000</f>
        <v>20142.476333333336</v>
      </c>
      <c r="T10" s="115">
        <f t="shared" ref="T10:T27" si="15">IF(S10=0,"",S10*$N$36)*1000</f>
        <v>1087693.7220000003</v>
      </c>
      <c r="U10" s="104"/>
      <c r="V10" s="104"/>
      <c r="W10" s="117">
        <v>2013</v>
      </c>
      <c r="X10" s="106">
        <v>645</v>
      </c>
      <c r="Y10" s="106">
        <f t="shared" ref="Y10:Y27" si="16">X10-X9</f>
        <v>645</v>
      </c>
      <c r="Z10" s="100">
        <f t="shared" si="0"/>
        <v>34.294707918123166</v>
      </c>
      <c r="AA10" s="100">
        <f t="shared" ref="AA10:AA27" si="17">Z10-Z9</f>
        <v>34.294707918123166</v>
      </c>
      <c r="AB10" s="101">
        <f t="shared" si="8"/>
        <v>17</v>
      </c>
      <c r="AC10" s="94">
        <f t="shared" ref="AC10:AC27" si="18">AB10-AB9</f>
        <v>17</v>
      </c>
      <c r="AD10" s="107">
        <v>419.61001384407393</v>
      </c>
      <c r="AE10" s="108">
        <f t="shared" si="1"/>
        <v>-402.61001384407393</v>
      </c>
      <c r="AF10" s="107">
        <f>(((AB10*$Y$32)*($Y$38/$Y$41)*$Y$35)+((AB10*$Y$33)*($Y$39/$Y$42)*$Y$36))/1000</f>
        <v>604.58181818181833</v>
      </c>
      <c r="AG10" s="118">
        <f>IF(AF10=0,"",$Y$43*AF10)*1000</f>
        <v>7962.3425454545468</v>
      </c>
      <c r="AH10" s="74"/>
      <c r="AQ10" s="111"/>
    </row>
    <row r="11" spans="1:43" ht="14.4">
      <c r="A11" s="74"/>
      <c r="B11" s="116" t="s">
        <v>141</v>
      </c>
      <c r="C11" s="94">
        <f t="shared" si="2"/>
        <v>7460</v>
      </c>
      <c r="D11" s="94">
        <f t="shared" si="3"/>
        <v>28</v>
      </c>
      <c r="E11" s="95">
        <f t="shared" si="4"/>
        <v>7488</v>
      </c>
      <c r="F11" s="96">
        <f t="shared" si="5"/>
        <v>33761.345151515154</v>
      </c>
      <c r="G11" s="112">
        <f t="shared" si="10"/>
        <v>1782454.8665454544</v>
      </c>
      <c r="H11" s="98"/>
      <c r="I11" s="98"/>
      <c r="J11" s="93" t="s">
        <v>141</v>
      </c>
      <c r="K11" s="99">
        <v>288057</v>
      </c>
      <c r="L11" s="99">
        <f t="shared" si="11"/>
        <v>115554</v>
      </c>
      <c r="M11" s="100">
        <v>10068</v>
      </c>
      <c r="N11" s="100">
        <f t="shared" si="12"/>
        <v>3691</v>
      </c>
      <c r="O11" s="101">
        <v>7460</v>
      </c>
      <c r="P11" s="94">
        <f t="shared" si="6"/>
        <v>2874</v>
      </c>
      <c r="Q11" s="113">
        <f t="shared" si="13"/>
        <v>2.5897652200779706E-2</v>
      </c>
      <c r="R11" s="114">
        <f t="shared" si="7"/>
        <v>1.6698666110154605</v>
      </c>
      <c r="S11" s="94">
        <f t="shared" si="14"/>
        <v>32765.563333333335</v>
      </c>
      <c r="T11" s="115">
        <f t="shared" si="15"/>
        <v>1769340.42</v>
      </c>
      <c r="U11" s="104"/>
      <c r="V11" s="104"/>
      <c r="W11" s="117">
        <v>2014</v>
      </c>
      <c r="X11" s="106">
        <f t="shared" ref="X11:X27" si="19">ROUND(X10*R11,0)</f>
        <v>1077</v>
      </c>
      <c r="Y11" s="106">
        <f t="shared" si="16"/>
        <v>432</v>
      </c>
      <c r="Z11" s="100">
        <f t="shared" si="0"/>
        <v>55.783542840479484</v>
      </c>
      <c r="AA11" s="100">
        <f t="shared" si="17"/>
        <v>21.488834922356318</v>
      </c>
      <c r="AB11" s="101">
        <f t="shared" si="8"/>
        <v>28</v>
      </c>
      <c r="AC11" s="94">
        <f t="shared" si="18"/>
        <v>11</v>
      </c>
      <c r="AD11" s="107">
        <v>913.85954735316068</v>
      </c>
      <c r="AE11" s="108">
        <f t="shared" si="1"/>
        <v>-885.85954735316068</v>
      </c>
      <c r="AF11" s="107">
        <f t="shared" ref="AF11:AF27" si="20">(((AB11*$Y$32)*($Y$38/$Y$41)*$Y$35)+((AB11*$Y$33)*($Y$39/$Y$42)*$Y$36))/1000</f>
        <v>995.78181818181838</v>
      </c>
      <c r="AG11" s="118">
        <f t="shared" ref="AG11:AG27" si="21">IF(AF11=0,"",$Y$43*AF11)*1000</f>
        <v>13114.446545454548</v>
      </c>
      <c r="AH11" s="74"/>
      <c r="AQ11" s="111"/>
    </row>
    <row r="12" spans="1:43" ht="14.4">
      <c r="A12" s="74"/>
      <c r="B12" s="119">
        <v>2015</v>
      </c>
      <c r="C12" s="94">
        <f t="shared" si="2"/>
        <v>10426.802399999999</v>
      </c>
      <c r="D12" s="94">
        <f t="shared" si="3"/>
        <v>39</v>
      </c>
      <c r="E12" s="95">
        <f t="shared" si="4"/>
        <v>10465.802399999999</v>
      </c>
      <c r="F12" s="96">
        <f t="shared" si="5"/>
        <v>47183.235759381816</v>
      </c>
      <c r="G12" s="112">
        <f t="shared" si="10"/>
        <v>2491264.2633702541</v>
      </c>
      <c r="H12" s="98"/>
      <c r="I12" s="98"/>
      <c r="J12" s="119">
        <v>2015</v>
      </c>
      <c r="K12" s="99">
        <v>413762</v>
      </c>
      <c r="L12" s="99">
        <f t="shared" si="11"/>
        <v>125705</v>
      </c>
      <c r="M12" s="100">
        <f t="shared" ref="M12:M27" si="22">SUM(K12*0.036)</f>
        <v>14895.431999999999</v>
      </c>
      <c r="N12" s="100">
        <f t="shared" si="12"/>
        <v>4827.4319999999989</v>
      </c>
      <c r="O12" s="101">
        <f>SUM(M12*0.7)</f>
        <v>10426.802399999999</v>
      </c>
      <c r="P12" s="94">
        <f t="shared" si="6"/>
        <v>2966.8023999999987</v>
      </c>
      <c r="Q12" s="113">
        <f t="shared" si="13"/>
        <v>2.5199999999999997E-2</v>
      </c>
      <c r="R12" s="114">
        <f t="shared" si="7"/>
        <v>1.4363893257237283</v>
      </c>
      <c r="S12" s="94">
        <f t="shared" si="14"/>
        <v>45796.253941199997</v>
      </c>
      <c r="T12" s="115">
        <f t="shared" si="15"/>
        <v>2472997.7128247996</v>
      </c>
      <c r="U12" s="104"/>
      <c r="V12" s="104"/>
      <c r="W12" s="119">
        <v>2015</v>
      </c>
      <c r="X12" s="106">
        <f t="shared" si="19"/>
        <v>1547</v>
      </c>
      <c r="Y12" s="106">
        <f t="shared" si="16"/>
        <v>470</v>
      </c>
      <c r="Z12" s="100">
        <f t="shared" si="0"/>
        <v>77.968799999999987</v>
      </c>
      <c r="AA12" s="100">
        <f t="shared" si="17"/>
        <v>22.185257159520503</v>
      </c>
      <c r="AB12" s="101">
        <f t="shared" si="8"/>
        <v>39</v>
      </c>
      <c r="AC12" s="94">
        <f t="shared" si="18"/>
        <v>11</v>
      </c>
      <c r="AD12" s="107">
        <v>1805.1798101461145</v>
      </c>
      <c r="AE12" s="108">
        <f t="shared" si="1"/>
        <v>-1766.1798101461145</v>
      </c>
      <c r="AF12" s="107">
        <f t="shared" si="20"/>
        <v>1386.9818181818184</v>
      </c>
      <c r="AG12" s="118">
        <f t="shared" si="21"/>
        <v>18266.550545454549</v>
      </c>
      <c r="AH12" s="74"/>
      <c r="AQ12" s="111"/>
    </row>
    <row r="13" spans="1:43" ht="14.4">
      <c r="A13" s="74"/>
      <c r="B13" s="119">
        <v>2016</v>
      </c>
      <c r="C13" s="94">
        <f t="shared" si="2"/>
        <v>15416.402399999997</v>
      </c>
      <c r="D13" s="94">
        <f t="shared" si="3"/>
        <v>58</v>
      </c>
      <c r="E13" s="95">
        <f t="shared" si="4"/>
        <v>15474.402399999997</v>
      </c>
      <c r="F13" s="96">
        <f t="shared" si="5"/>
        <v>69774.099650290882</v>
      </c>
      <c r="G13" s="112">
        <f t="shared" si="10"/>
        <v>3683581.711297526</v>
      </c>
      <c r="H13" s="98"/>
      <c r="I13" s="98"/>
      <c r="J13" s="119">
        <v>2016</v>
      </c>
      <c r="K13" s="99">
        <v>611762</v>
      </c>
      <c r="L13" s="99">
        <f t="shared" si="11"/>
        <v>198000</v>
      </c>
      <c r="M13" s="100">
        <f t="shared" si="22"/>
        <v>22023.431999999997</v>
      </c>
      <c r="N13" s="100">
        <f t="shared" si="12"/>
        <v>7127.9999999999982</v>
      </c>
      <c r="O13" s="101">
        <f t="shared" ref="O13:O26" si="23">SUM(M13*0.7)</f>
        <v>15416.402399999997</v>
      </c>
      <c r="P13" s="94">
        <f t="shared" si="6"/>
        <v>4989.5999999999985</v>
      </c>
      <c r="Q13" s="113">
        <f t="shared" si="13"/>
        <v>2.5199999999999997E-2</v>
      </c>
      <c r="R13" s="114">
        <f t="shared" si="7"/>
        <v>1.4785359699537415</v>
      </c>
      <c r="S13" s="94">
        <f t="shared" si="14"/>
        <v>67711.408741199979</v>
      </c>
      <c r="T13" s="115">
        <f t="shared" si="15"/>
        <v>3656416.072024799</v>
      </c>
      <c r="U13" s="104"/>
      <c r="V13" s="104"/>
      <c r="W13" s="119">
        <v>2016</v>
      </c>
      <c r="X13" s="106">
        <f t="shared" si="19"/>
        <v>2287</v>
      </c>
      <c r="Y13" s="106">
        <f t="shared" si="16"/>
        <v>740</v>
      </c>
      <c r="Z13" s="100">
        <f t="shared" si="0"/>
        <v>115.26479999999998</v>
      </c>
      <c r="AA13" s="100">
        <f t="shared" si="17"/>
        <v>37.295999999999992</v>
      </c>
      <c r="AB13" s="101">
        <f t="shared" si="8"/>
        <v>58</v>
      </c>
      <c r="AC13" s="94">
        <f t="shared" si="18"/>
        <v>19</v>
      </c>
      <c r="AD13" s="107">
        <v>2945.3630199097643</v>
      </c>
      <c r="AE13" s="108">
        <f t="shared" si="1"/>
        <v>-2887.3630199097643</v>
      </c>
      <c r="AF13" s="107">
        <f t="shared" si="20"/>
        <v>2062.6909090909098</v>
      </c>
      <c r="AG13" s="118">
        <f t="shared" si="21"/>
        <v>27165.63927272728</v>
      </c>
      <c r="AH13" s="74"/>
      <c r="AQ13" s="111"/>
    </row>
    <row r="14" spans="1:43" ht="14.4">
      <c r="A14" s="74"/>
      <c r="B14" s="119">
        <v>2017</v>
      </c>
      <c r="C14" s="94">
        <f t="shared" si="2"/>
        <v>23595.037199999995</v>
      </c>
      <c r="D14" s="94">
        <f t="shared" si="3"/>
        <v>88</v>
      </c>
      <c r="E14" s="95">
        <f t="shared" si="4"/>
        <v>23683.037199999995</v>
      </c>
      <c r="F14" s="96">
        <f t="shared" si="5"/>
        <v>106762.93588859997</v>
      </c>
      <c r="G14" s="112">
        <f t="shared" si="10"/>
        <v>5637416.9699843982</v>
      </c>
      <c r="H14" s="98"/>
      <c r="I14" s="98"/>
      <c r="J14" s="119">
        <v>2017</v>
      </c>
      <c r="K14" s="99">
        <v>936311</v>
      </c>
      <c r="L14" s="99">
        <f t="shared" si="11"/>
        <v>324549</v>
      </c>
      <c r="M14" s="100">
        <f t="shared" si="22"/>
        <v>33707.195999999996</v>
      </c>
      <c r="N14" s="100">
        <f t="shared" si="12"/>
        <v>11683.763999999999</v>
      </c>
      <c r="O14" s="101">
        <f t="shared" si="23"/>
        <v>23595.037199999995</v>
      </c>
      <c r="P14" s="94">
        <f t="shared" si="6"/>
        <v>8178.634799999998</v>
      </c>
      <c r="Q14" s="113">
        <f t="shared" si="13"/>
        <v>2.5199999999999993E-2</v>
      </c>
      <c r="R14" s="114">
        <f t="shared" si="7"/>
        <v>1.5305151349707893</v>
      </c>
      <c r="S14" s="94">
        <f t="shared" si="14"/>
        <v>103633.33588859996</v>
      </c>
      <c r="T14" s="115">
        <f t="shared" si="15"/>
        <v>5596200.1379843978</v>
      </c>
      <c r="U14" s="104"/>
      <c r="V14" s="104"/>
      <c r="W14" s="119">
        <v>2017</v>
      </c>
      <c r="X14" s="106">
        <f t="shared" si="19"/>
        <v>3500</v>
      </c>
      <c r="Y14" s="106">
        <f t="shared" si="16"/>
        <v>1213</v>
      </c>
      <c r="Z14" s="100">
        <f t="shared" si="0"/>
        <v>176.39999999999995</v>
      </c>
      <c r="AA14" s="100">
        <f t="shared" si="17"/>
        <v>61.135199999999969</v>
      </c>
      <c r="AB14" s="101">
        <f t="shared" si="8"/>
        <v>88</v>
      </c>
      <c r="AC14" s="94">
        <f t="shared" si="18"/>
        <v>30</v>
      </c>
      <c r="AD14" s="107">
        <v>4217.4096999097646</v>
      </c>
      <c r="AE14" s="108">
        <f t="shared" si="1"/>
        <v>-4129.4096999097646</v>
      </c>
      <c r="AF14" s="107">
        <f t="shared" si="20"/>
        <v>3129.6000000000004</v>
      </c>
      <c r="AG14" s="118">
        <f t="shared" si="21"/>
        <v>41216.832000000002</v>
      </c>
      <c r="AH14" s="74"/>
      <c r="AQ14" s="111"/>
    </row>
    <row r="15" spans="1:43" ht="14.4">
      <c r="A15" s="74"/>
      <c r="B15" s="119">
        <v>2018</v>
      </c>
      <c r="C15" s="94">
        <f t="shared" si="2"/>
        <v>40881.707999999991</v>
      </c>
      <c r="D15" s="94">
        <f t="shared" si="3"/>
        <v>153</v>
      </c>
      <c r="E15" s="95">
        <f t="shared" si="4"/>
        <v>41034.707999999991</v>
      </c>
      <c r="F15" s="96">
        <f t="shared" si="5"/>
        <v>185000.5115176363</v>
      </c>
      <c r="G15" s="112">
        <f t="shared" si="10"/>
        <v>9767861.9412250873</v>
      </c>
      <c r="H15" s="98"/>
      <c r="I15" s="98"/>
      <c r="J15" s="119">
        <v>2018</v>
      </c>
      <c r="K15" s="99">
        <v>1622290</v>
      </c>
      <c r="L15" s="99">
        <f t="shared" si="11"/>
        <v>685979</v>
      </c>
      <c r="M15" s="100">
        <f>SUM(K15*0.036)</f>
        <v>58402.439999999995</v>
      </c>
      <c r="N15" s="100">
        <f t="shared" si="12"/>
        <v>24695.243999999999</v>
      </c>
      <c r="O15" s="101">
        <f t="shared" si="23"/>
        <v>40881.707999999991</v>
      </c>
      <c r="P15" s="94">
        <f t="shared" si="6"/>
        <v>17286.670799999996</v>
      </c>
      <c r="Q15" s="113">
        <f t="shared" si="13"/>
        <v>2.5199999999999993E-2</v>
      </c>
      <c r="R15" s="114">
        <f t="shared" si="7"/>
        <v>1.7326401163715901</v>
      </c>
      <c r="S15" s="94">
        <f t="shared" si="14"/>
        <v>179559.27515399994</v>
      </c>
      <c r="T15" s="115">
        <f t="shared" si="15"/>
        <v>9696200.8583159968</v>
      </c>
      <c r="U15" s="104"/>
      <c r="V15" s="104"/>
      <c r="W15" s="119">
        <v>2018</v>
      </c>
      <c r="X15" s="106">
        <f t="shared" si="19"/>
        <v>6064</v>
      </c>
      <c r="Y15" s="106">
        <f t="shared" si="16"/>
        <v>2564</v>
      </c>
      <c r="Z15" s="100">
        <f t="shared" si="0"/>
        <v>305.62559999999991</v>
      </c>
      <c r="AA15" s="100">
        <f t="shared" si="17"/>
        <v>129.22559999999996</v>
      </c>
      <c r="AB15" s="101">
        <f t="shared" si="8"/>
        <v>153</v>
      </c>
      <c r="AC15" s="94">
        <f t="shared" si="18"/>
        <v>65</v>
      </c>
      <c r="AD15" s="107">
        <v>5872.5131865764306</v>
      </c>
      <c r="AE15" s="108">
        <f t="shared" si="1"/>
        <v>-5719.5131865764306</v>
      </c>
      <c r="AF15" s="107">
        <f t="shared" si="20"/>
        <v>5441.2363636363643</v>
      </c>
      <c r="AG15" s="118">
        <f t="shared" si="21"/>
        <v>71661.082909090925</v>
      </c>
      <c r="AH15" s="74"/>
      <c r="AQ15" s="111"/>
    </row>
    <row r="16" spans="1:43" ht="14.4">
      <c r="A16" s="74"/>
      <c r="B16" s="119">
        <v>2019</v>
      </c>
      <c r="C16" s="94">
        <f t="shared" si="2"/>
        <v>61322.561999999991</v>
      </c>
      <c r="D16" s="94">
        <f t="shared" si="3"/>
        <v>229</v>
      </c>
      <c r="E16" s="95">
        <f t="shared" si="4"/>
        <v>61551.561999999991</v>
      </c>
      <c r="F16" s="96">
        <f t="shared" si="5"/>
        <v>277482.98545827268</v>
      </c>
      <c r="G16" s="112">
        <f t="shared" si="10"/>
        <v>14651558.725292178</v>
      </c>
      <c r="H16" s="98"/>
      <c r="I16" s="98"/>
      <c r="J16" s="119">
        <v>2019</v>
      </c>
      <c r="K16" s="99">
        <v>2433435</v>
      </c>
      <c r="L16" s="99">
        <f t="shared" si="11"/>
        <v>811145</v>
      </c>
      <c r="M16" s="100">
        <f>SUM(K16*0.036)</f>
        <v>87603.659999999989</v>
      </c>
      <c r="N16" s="100">
        <f t="shared" si="12"/>
        <v>29201.219999999994</v>
      </c>
      <c r="O16" s="101">
        <f t="shared" si="23"/>
        <v>61322.561999999991</v>
      </c>
      <c r="P16" s="94">
        <f t="shared" si="6"/>
        <v>20440.853999999999</v>
      </c>
      <c r="Q16" s="113">
        <f t="shared" si="13"/>
        <v>2.5199999999999997E-2</v>
      </c>
      <c r="R16" s="114">
        <f t="shared" si="7"/>
        <v>1.5</v>
      </c>
      <c r="S16" s="94">
        <f t="shared" si="14"/>
        <v>269338.91273099993</v>
      </c>
      <c r="T16" s="115">
        <f t="shared" si="15"/>
        <v>14544301.287473995</v>
      </c>
      <c r="U16" s="104"/>
      <c r="V16" s="104"/>
      <c r="W16" s="119">
        <v>2019</v>
      </c>
      <c r="X16" s="106">
        <f t="shared" si="19"/>
        <v>9096</v>
      </c>
      <c r="Y16" s="106">
        <f t="shared" si="16"/>
        <v>3032</v>
      </c>
      <c r="Z16" s="100">
        <f t="shared" si="0"/>
        <v>458.43839999999994</v>
      </c>
      <c r="AA16" s="100">
        <f t="shared" si="17"/>
        <v>152.81280000000004</v>
      </c>
      <c r="AB16" s="101">
        <f t="shared" si="8"/>
        <v>229</v>
      </c>
      <c r="AC16" s="94">
        <f t="shared" si="18"/>
        <v>76</v>
      </c>
      <c r="AD16" s="107">
        <v>7851.0666032430972</v>
      </c>
      <c r="AE16" s="108">
        <f t="shared" si="1"/>
        <v>-7622.0666032430972</v>
      </c>
      <c r="AF16" s="107">
        <f t="shared" si="20"/>
        <v>8144.0727272727272</v>
      </c>
      <c r="AG16" s="118">
        <f t="shared" si="21"/>
        <v>107257.43781818182</v>
      </c>
      <c r="AH16" s="74"/>
      <c r="AQ16" s="111"/>
    </row>
    <row r="17" spans="1:43" ht="14.4">
      <c r="A17" s="74"/>
      <c r="B17" s="119">
        <v>2020</v>
      </c>
      <c r="C17" s="94">
        <f t="shared" si="2"/>
        <v>82785.458699999988</v>
      </c>
      <c r="D17" s="94">
        <f t="shared" si="3"/>
        <v>309</v>
      </c>
      <c r="E17" s="95">
        <f t="shared" si="4"/>
        <v>83094.458699999988</v>
      </c>
      <c r="F17" s="96">
        <f t="shared" si="5"/>
        <v>374596.69582321361</v>
      </c>
      <c r="G17" s="112">
        <f t="shared" si="10"/>
        <v>19779534.023180805</v>
      </c>
      <c r="H17" s="98"/>
      <c r="I17" s="98"/>
      <c r="J17" s="119">
        <v>2020</v>
      </c>
      <c r="K17" s="99">
        <v>3285137.25</v>
      </c>
      <c r="L17" s="99">
        <f t="shared" si="11"/>
        <v>851702.25</v>
      </c>
      <c r="M17" s="100">
        <f>SUM(K17*0.036)</f>
        <v>118264.94099999999</v>
      </c>
      <c r="N17" s="100">
        <f t="shared" si="12"/>
        <v>30661.281000000003</v>
      </c>
      <c r="O17" s="101">
        <f t="shared" si="23"/>
        <v>82785.458699999988</v>
      </c>
      <c r="P17" s="94">
        <f t="shared" si="6"/>
        <v>21462.896699999998</v>
      </c>
      <c r="Q17" s="113">
        <f t="shared" si="13"/>
        <v>2.5199999999999997E-2</v>
      </c>
      <c r="R17" s="114">
        <f t="shared" si="7"/>
        <v>1.35</v>
      </c>
      <c r="S17" s="94">
        <f t="shared" si="14"/>
        <v>363607.53218684997</v>
      </c>
      <c r="T17" s="115">
        <f t="shared" si="15"/>
        <v>19634806.738089897</v>
      </c>
      <c r="U17" s="104"/>
      <c r="V17" s="104"/>
      <c r="W17" s="119">
        <v>2020</v>
      </c>
      <c r="X17" s="106">
        <f t="shared" si="19"/>
        <v>12280</v>
      </c>
      <c r="Y17" s="106">
        <f t="shared" si="16"/>
        <v>3184</v>
      </c>
      <c r="Z17" s="100">
        <f t="shared" si="0"/>
        <v>618.91199999999992</v>
      </c>
      <c r="AA17" s="100">
        <f t="shared" si="17"/>
        <v>160.47359999999998</v>
      </c>
      <c r="AB17" s="101">
        <f t="shared" si="8"/>
        <v>309</v>
      </c>
      <c r="AC17" s="94">
        <f t="shared" si="18"/>
        <v>80</v>
      </c>
      <c r="AD17" s="107">
        <v>10286.229003243097</v>
      </c>
      <c r="AE17" s="108">
        <f t="shared" si="1"/>
        <v>-9977.2290032430974</v>
      </c>
      <c r="AF17" s="107">
        <f t="shared" si="20"/>
        <v>10989.163636363637</v>
      </c>
      <c r="AG17" s="118">
        <f t="shared" si="21"/>
        <v>144727.28509090911</v>
      </c>
      <c r="AH17" s="74"/>
      <c r="AQ17" s="111"/>
    </row>
    <row r="18" spans="1:43" ht="14.4">
      <c r="A18" s="74"/>
      <c r="B18" s="119">
        <v>2021</v>
      </c>
      <c r="C18" s="94">
        <f t="shared" si="2"/>
        <v>107621.09630999999</v>
      </c>
      <c r="D18" s="94">
        <f t="shared" si="3"/>
        <v>402</v>
      </c>
      <c r="E18" s="95">
        <f t="shared" si="4"/>
        <v>108023.09630999999</v>
      </c>
      <c r="F18" s="96">
        <f t="shared" si="5"/>
        <v>486986.37366108678</v>
      </c>
      <c r="G18" s="112">
        <f t="shared" si="10"/>
        <v>25713534.742062323</v>
      </c>
      <c r="H18" s="98"/>
      <c r="I18" s="98"/>
      <c r="J18" s="119">
        <v>2021</v>
      </c>
      <c r="K18" s="99">
        <v>4270678.4249999998</v>
      </c>
      <c r="L18" s="99">
        <f t="shared" si="11"/>
        <v>985541.17499999981</v>
      </c>
      <c r="M18" s="100">
        <f>SUM(K18*0.036)</f>
        <v>153744.42329999999</v>
      </c>
      <c r="N18" s="100">
        <f t="shared" si="12"/>
        <v>35479.482300000003</v>
      </c>
      <c r="O18" s="101">
        <f t="shared" si="23"/>
        <v>107621.09630999999</v>
      </c>
      <c r="P18" s="94">
        <f t="shared" si="6"/>
        <v>24835.637610000005</v>
      </c>
      <c r="Q18" s="113">
        <f t="shared" si="13"/>
        <v>2.52E-2</v>
      </c>
      <c r="R18" s="114">
        <f t="shared" si="7"/>
        <v>1.3</v>
      </c>
      <c r="S18" s="94">
        <f t="shared" si="14"/>
        <v>472689.79184290493</v>
      </c>
      <c r="T18" s="115">
        <f t="shared" si="15"/>
        <v>25525248.759516869</v>
      </c>
      <c r="U18" s="104"/>
      <c r="V18" s="104"/>
      <c r="W18" s="119">
        <v>2021</v>
      </c>
      <c r="X18" s="106">
        <f t="shared" si="19"/>
        <v>15964</v>
      </c>
      <c r="Y18" s="106">
        <f t="shared" si="16"/>
        <v>3684</v>
      </c>
      <c r="Z18" s="100">
        <f t="shared" si="0"/>
        <v>804.5856</v>
      </c>
      <c r="AA18" s="100">
        <f t="shared" si="17"/>
        <v>185.67360000000008</v>
      </c>
      <c r="AB18" s="101">
        <f t="shared" si="8"/>
        <v>402</v>
      </c>
      <c r="AC18" s="94">
        <f t="shared" si="18"/>
        <v>93</v>
      </c>
      <c r="AD18" s="107">
        <v>13208.423883243096</v>
      </c>
      <c r="AE18" s="108">
        <f t="shared" si="1"/>
        <v>-12806.423883243096</v>
      </c>
      <c r="AF18" s="107">
        <f t="shared" si="20"/>
        <v>14296.581818181819</v>
      </c>
      <c r="AG18" s="118">
        <f t="shared" si="21"/>
        <v>188285.98254545455</v>
      </c>
      <c r="AH18" s="74"/>
      <c r="AQ18" s="111"/>
    </row>
    <row r="19" spans="1:43" ht="14.4">
      <c r="A19" s="74"/>
      <c r="B19" s="119">
        <v>2022</v>
      </c>
      <c r="C19" s="94">
        <f t="shared" si="2"/>
        <v>134526.37038749998</v>
      </c>
      <c r="D19" s="94">
        <f t="shared" si="3"/>
        <v>503</v>
      </c>
      <c r="E19" s="95">
        <f t="shared" si="4"/>
        <v>135029.37038749998</v>
      </c>
      <c r="F19" s="96">
        <f t="shared" si="5"/>
        <v>608750.74889454036</v>
      </c>
      <c r="G19" s="112">
        <f t="shared" si="10"/>
        <v>32142152.614123359</v>
      </c>
      <c r="H19" s="98"/>
      <c r="I19" s="98"/>
      <c r="J19" s="119">
        <v>2022</v>
      </c>
      <c r="K19" s="99">
        <v>5338348.03125</v>
      </c>
      <c r="L19" s="99">
        <f t="shared" si="11"/>
        <v>1067669.6062500002</v>
      </c>
      <c r="M19" s="100">
        <f>SUM(K19*0.036)</f>
        <v>192180.52912499997</v>
      </c>
      <c r="N19" s="100">
        <f t="shared" si="12"/>
        <v>38436.105824999977</v>
      </c>
      <c r="O19" s="101">
        <f t="shared" si="23"/>
        <v>134526.37038749998</v>
      </c>
      <c r="P19" s="94">
        <f t="shared" si="6"/>
        <v>26905.274077499984</v>
      </c>
      <c r="Q19" s="113">
        <f t="shared" si="13"/>
        <v>2.5199999999999997E-2</v>
      </c>
      <c r="R19" s="114">
        <f t="shared" si="7"/>
        <v>1.25</v>
      </c>
      <c r="S19" s="94">
        <f t="shared" si="14"/>
        <v>590862.23980363121</v>
      </c>
      <c r="T19" s="115">
        <f t="shared" si="15"/>
        <v>31906560.949396085</v>
      </c>
      <c r="U19" s="104"/>
      <c r="V19" s="104"/>
      <c r="W19" s="119">
        <v>2022</v>
      </c>
      <c r="X19" s="106">
        <f t="shared" si="19"/>
        <v>19955</v>
      </c>
      <c r="Y19" s="106">
        <f t="shared" si="16"/>
        <v>3991</v>
      </c>
      <c r="Z19" s="100">
        <f t="shared" si="0"/>
        <v>1005.7319999999999</v>
      </c>
      <c r="AA19" s="100">
        <f t="shared" si="17"/>
        <v>201.14639999999986</v>
      </c>
      <c r="AB19" s="101">
        <f t="shared" si="8"/>
        <v>503</v>
      </c>
      <c r="AC19" s="94">
        <f t="shared" si="18"/>
        <v>101</v>
      </c>
      <c r="AD19" s="107">
        <v>16715.057739243097</v>
      </c>
      <c r="AE19" s="108">
        <f t="shared" si="1"/>
        <v>-16212.057739243097</v>
      </c>
      <c r="AF19" s="107">
        <f t="shared" si="20"/>
        <v>17888.509090909094</v>
      </c>
      <c r="AG19" s="118">
        <f t="shared" si="21"/>
        <v>235591.66472727276</v>
      </c>
      <c r="AH19" s="74"/>
      <c r="AQ19" s="111"/>
    </row>
    <row r="20" spans="1:43" ht="14.4">
      <c r="A20" s="74"/>
      <c r="B20" s="119">
        <v>2023</v>
      </c>
      <c r="C20" s="94">
        <f t="shared" si="2"/>
        <v>166812.69928049998</v>
      </c>
      <c r="D20" s="94">
        <f t="shared" si="3"/>
        <v>624</v>
      </c>
      <c r="E20" s="95">
        <f t="shared" si="4"/>
        <v>167436.69928049998</v>
      </c>
      <c r="F20" s="96">
        <f t="shared" si="5"/>
        <v>754860.88644741173</v>
      </c>
      <c r="G20" s="112">
        <f t="shared" si="10"/>
        <v>39856400.385978408</v>
      </c>
      <c r="H20" s="98"/>
      <c r="I20" s="98"/>
      <c r="J20" s="119">
        <v>2023</v>
      </c>
      <c r="K20" s="99">
        <v>6619551.5587499999</v>
      </c>
      <c r="L20" s="99">
        <f t="shared" si="11"/>
        <v>1281203.5274999999</v>
      </c>
      <c r="M20" s="100">
        <f t="shared" si="22"/>
        <v>238303.85611499997</v>
      </c>
      <c r="N20" s="100">
        <f t="shared" si="12"/>
        <v>46123.326990000001</v>
      </c>
      <c r="O20" s="101">
        <f t="shared" si="23"/>
        <v>166812.69928049998</v>
      </c>
      <c r="P20" s="94">
        <f t="shared" si="6"/>
        <v>32286.328892999998</v>
      </c>
      <c r="Q20" s="113">
        <f t="shared" si="13"/>
        <v>2.5199999999999997E-2</v>
      </c>
      <c r="R20" s="114">
        <f t="shared" si="7"/>
        <v>1.24</v>
      </c>
      <c r="S20" s="94">
        <f t="shared" si="14"/>
        <v>732669.17735650262</v>
      </c>
      <c r="T20" s="115">
        <f t="shared" si="15"/>
        <v>39564135.577251136</v>
      </c>
      <c r="U20" s="104"/>
      <c r="V20" s="104"/>
      <c r="W20" s="119">
        <v>2023</v>
      </c>
      <c r="X20" s="106">
        <f t="shared" si="19"/>
        <v>24744</v>
      </c>
      <c r="Y20" s="106">
        <f t="shared" si="16"/>
        <v>4789</v>
      </c>
      <c r="Z20" s="100">
        <f t="shared" si="0"/>
        <v>1247.0975999999998</v>
      </c>
      <c r="AA20" s="100">
        <f t="shared" si="17"/>
        <v>241.36559999999997</v>
      </c>
      <c r="AB20" s="101">
        <f t="shared" si="8"/>
        <v>624</v>
      </c>
      <c r="AC20" s="94">
        <f t="shared" si="18"/>
        <v>121</v>
      </c>
      <c r="AD20" s="107">
        <v>20923.018366443099</v>
      </c>
      <c r="AE20" s="108">
        <f t="shared" si="1"/>
        <v>-20299.018366443099</v>
      </c>
      <c r="AF20" s="107">
        <f t="shared" si="20"/>
        <v>22191.709090909095</v>
      </c>
      <c r="AG20" s="118">
        <f t="shared" si="21"/>
        <v>292264.80872727279</v>
      </c>
      <c r="AH20" s="74"/>
      <c r="AQ20" s="111"/>
    </row>
    <row r="21" spans="1:43" ht="14.4">
      <c r="A21" s="74"/>
      <c r="B21" s="119">
        <v>2024</v>
      </c>
      <c r="C21" s="94">
        <f t="shared" si="2"/>
        <v>208515.87410062499</v>
      </c>
      <c r="D21" s="94">
        <f t="shared" si="3"/>
        <v>779</v>
      </c>
      <c r="E21" s="95">
        <f t="shared" si="4"/>
        <v>209294.87410062499</v>
      </c>
      <c r="F21" s="96">
        <f t="shared" si="5"/>
        <v>943540.544422901</v>
      </c>
      <c r="G21" s="112">
        <f t="shared" si="10"/>
        <v>49820032.109382108</v>
      </c>
      <c r="H21" s="98"/>
      <c r="I21" s="98"/>
      <c r="J21" s="119">
        <v>2024</v>
      </c>
      <c r="K21" s="99">
        <v>8274439.4484374998</v>
      </c>
      <c r="L21" s="99">
        <f t="shared" si="11"/>
        <v>1654887.8896875</v>
      </c>
      <c r="M21" s="100">
        <f t="shared" si="22"/>
        <v>297879.82014375</v>
      </c>
      <c r="N21" s="100">
        <f t="shared" si="12"/>
        <v>59575.964028750022</v>
      </c>
      <c r="O21" s="101">
        <f t="shared" si="23"/>
        <v>208515.87410062499</v>
      </c>
      <c r="P21" s="94">
        <f t="shared" si="6"/>
        <v>41703.174820125016</v>
      </c>
      <c r="Q21" s="113">
        <f t="shared" si="13"/>
        <v>2.52E-2</v>
      </c>
      <c r="R21" s="114">
        <f t="shared" si="7"/>
        <v>1.25</v>
      </c>
      <c r="S21" s="94">
        <f t="shared" si="14"/>
        <v>915836.47169562825</v>
      </c>
      <c r="T21" s="115">
        <f t="shared" si="15"/>
        <v>49455169.471563928</v>
      </c>
      <c r="U21" s="104"/>
      <c r="V21" s="104"/>
      <c r="W21" s="119">
        <v>2024</v>
      </c>
      <c r="X21" s="106">
        <f t="shared" si="19"/>
        <v>30930</v>
      </c>
      <c r="Y21" s="106">
        <f t="shared" si="16"/>
        <v>6186</v>
      </c>
      <c r="Z21" s="100">
        <f t="shared" si="0"/>
        <v>1558.8720000000001</v>
      </c>
      <c r="AA21" s="100">
        <f t="shared" si="17"/>
        <v>311.77440000000024</v>
      </c>
      <c r="AB21" s="101">
        <f t="shared" si="8"/>
        <v>779</v>
      </c>
      <c r="AC21" s="94">
        <f t="shared" si="18"/>
        <v>155</v>
      </c>
      <c r="AD21" s="107">
        <v>25972.571119083099</v>
      </c>
      <c r="AE21" s="108">
        <f t="shared" si="1"/>
        <v>-25193.571119083099</v>
      </c>
      <c r="AF21" s="107">
        <f t="shared" si="20"/>
        <v>27704.072727272731</v>
      </c>
      <c r="AG21" s="118">
        <f t="shared" si="21"/>
        <v>364862.63781818183</v>
      </c>
      <c r="AH21" s="74"/>
      <c r="AQ21" s="111"/>
    </row>
    <row r="22" spans="1:43" ht="14.4">
      <c r="A22" s="74"/>
      <c r="B22" s="119">
        <v>2025</v>
      </c>
      <c r="C22" s="94">
        <f t="shared" si="2"/>
        <v>250219.04892074995</v>
      </c>
      <c r="D22" s="94">
        <f t="shared" si="3"/>
        <v>935</v>
      </c>
      <c r="E22" s="95">
        <f t="shared" si="4"/>
        <v>251154.04892074995</v>
      </c>
      <c r="F22" s="96">
        <f t="shared" si="5"/>
        <v>1132255.7660347538</v>
      </c>
      <c r="G22" s="112">
        <f t="shared" si="10"/>
        <v>59784132.205876708</v>
      </c>
      <c r="H22" s="98"/>
      <c r="I22" s="98"/>
      <c r="J22" s="119">
        <v>2025</v>
      </c>
      <c r="K22" s="99">
        <v>9929327.3381249998</v>
      </c>
      <c r="L22" s="99">
        <f t="shared" si="11"/>
        <v>1654887.8896875</v>
      </c>
      <c r="M22" s="100">
        <f t="shared" si="22"/>
        <v>357455.78417249996</v>
      </c>
      <c r="N22" s="100">
        <f t="shared" si="12"/>
        <v>59575.964028749964</v>
      </c>
      <c r="O22" s="101">
        <f t="shared" si="23"/>
        <v>250219.04892074995</v>
      </c>
      <c r="P22" s="94">
        <f t="shared" si="6"/>
        <v>41703.174820124957</v>
      </c>
      <c r="Q22" s="113">
        <f t="shared" si="13"/>
        <v>2.5199999999999997E-2</v>
      </c>
      <c r="R22" s="114">
        <f t="shared" si="7"/>
        <v>1.2</v>
      </c>
      <c r="S22" s="94">
        <f t="shared" si="14"/>
        <v>1099003.7660347538</v>
      </c>
      <c r="T22" s="115">
        <f t="shared" si="15"/>
        <v>59346203.365876704</v>
      </c>
      <c r="U22" s="104"/>
      <c r="V22" s="104"/>
      <c r="W22" s="119">
        <v>2025</v>
      </c>
      <c r="X22" s="106">
        <f t="shared" si="19"/>
        <v>37116</v>
      </c>
      <c r="Y22" s="106">
        <f t="shared" si="16"/>
        <v>6186</v>
      </c>
      <c r="Z22" s="100">
        <f t="shared" si="0"/>
        <v>1870.6463999999999</v>
      </c>
      <c r="AA22" s="100">
        <f t="shared" si="17"/>
        <v>311.77439999999979</v>
      </c>
      <c r="AB22" s="101">
        <f t="shared" si="8"/>
        <v>935</v>
      </c>
      <c r="AC22" s="94">
        <f t="shared" si="18"/>
        <v>156</v>
      </c>
      <c r="AD22" s="107">
        <v>32032.034422251094</v>
      </c>
      <c r="AE22" s="108">
        <f t="shared" si="1"/>
        <v>-31097.034422251094</v>
      </c>
      <c r="AF22" s="107">
        <f t="shared" si="20"/>
        <v>33252</v>
      </c>
      <c r="AG22" s="118">
        <f t="shared" si="21"/>
        <v>437928.83999999997</v>
      </c>
      <c r="AH22" s="74"/>
      <c r="AQ22" s="111"/>
    </row>
    <row r="23" spans="1:43" ht="14.4">
      <c r="A23" s="74"/>
      <c r="B23" s="119">
        <v>2026</v>
      </c>
      <c r="C23" s="94">
        <f t="shared" si="2"/>
        <v>300262.8587048999</v>
      </c>
      <c r="D23" s="94">
        <f t="shared" si="3"/>
        <v>1122</v>
      </c>
      <c r="E23" s="95">
        <f t="shared" si="4"/>
        <v>301384.8587048999</v>
      </c>
      <c r="F23" s="96">
        <f t="shared" si="5"/>
        <v>1358706.9192417043</v>
      </c>
      <c r="G23" s="112">
        <f t="shared" si="10"/>
        <v>71740958.647052035</v>
      </c>
      <c r="H23" s="98"/>
      <c r="I23" s="98"/>
      <c r="J23" s="119">
        <v>2026</v>
      </c>
      <c r="K23" s="99">
        <v>11915192.805749999</v>
      </c>
      <c r="L23" s="99">
        <f t="shared" si="11"/>
        <v>1985865.4676249996</v>
      </c>
      <c r="M23" s="100">
        <f t="shared" si="22"/>
        <v>428946.94100699993</v>
      </c>
      <c r="N23" s="100">
        <f t="shared" si="12"/>
        <v>71491.156834499969</v>
      </c>
      <c r="O23" s="101">
        <f t="shared" si="23"/>
        <v>300262.8587048999</v>
      </c>
      <c r="P23" s="94">
        <f t="shared" si="6"/>
        <v>50043.809784149955</v>
      </c>
      <c r="Q23" s="113">
        <f t="shared" si="13"/>
        <v>2.5199999999999993E-2</v>
      </c>
      <c r="R23" s="114">
        <f t="shared" si="7"/>
        <v>1.2</v>
      </c>
      <c r="S23" s="94">
        <f t="shared" si="14"/>
        <v>1318804.5192417044</v>
      </c>
      <c r="T23" s="115">
        <f t="shared" si="15"/>
        <v>71215444.039052039</v>
      </c>
      <c r="U23" s="104"/>
      <c r="V23" s="104"/>
      <c r="W23" s="119">
        <v>2026</v>
      </c>
      <c r="X23" s="106">
        <f t="shared" si="19"/>
        <v>44539</v>
      </c>
      <c r="Y23" s="106">
        <f t="shared" si="16"/>
        <v>7423</v>
      </c>
      <c r="Z23" s="100">
        <f t="shared" si="0"/>
        <v>2244.7655999999993</v>
      </c>
      <c r="AA23" s="100">
        <f t="shared" si="17"/>
        <v>374.11919999999941</v>
      </c>
      <c r="AB23" s="101">
        <f t="shared" si="8"/>
        <v>1122</v>
      </c>
      <c r="AC23" s="94">
        <f t="shared" si="18"/>
        <v>187</v>
      </c>
      <c r="AD23" s="107">
        <v>38091.497725419089</v>
      </c>
      <c r="AE23" s="108">
        <f t="shared" si="1"/>
        <v>-36969.497725419089</v>
      </c>
      <c r="AF23" s="107">
        <f t="shared" si="20"/>
        <v>39902.400000000001</v>
      </c>
      <c r="AG23" s="118">
        <f t="shared" si="21"/>
        <v>525514.60800000001</v>
      </c>
      <c r="AH23" s="74"/>
      <c r="AQ23" s="111"/>
    </row>
    <row r="24" spans="1:43" ht="14.4">
      <c r="A24" s="74"/>
      <c r="B24" s="119">
        <v>2027</v>
      </c>
      <c r="C24" s="94">
        <f t="shared" si="2"/>
        <v>360315.43044587993</v>
      </c>
      <c r="D24" s="94">
        <f t="shared" si="3"/>
        <v>1347</v>
      </c>
      <c r="E24" s="95">
        <f t="shared" si="4"/>
        <v>361662.43044587993</v>
      </c>
      <c r="F24" s="96">
        <f t="shared" si="5"/>
        <v>1630469.6412718641</v>
      </c>
      <c r="G24" s="112">
        <f t="shared" si="10"/>
        <v>86089431.400317028</v>
      </c>
      <c r="H24" s="98"/>
      <c r="I24" s="98"/>
      <c r="J24" s="119">
        <v>2027</v>
      </c>
      <c r="K24" s="99">
        <v>14298231.366899999</v>
      </c>
      <c r="L24" s="99">
        <f t="shared" si="11"/>
        <v>2383038.5611499995</v>
      </c>
      <c r="M24" s="100">
        <f t="shared" si="22"/>
        <v>514736.32920839993</v>
      </c>
      <c r="N24" s="100">
        <f t="shared" si="12"/>
        <v>85789.388201399997</v>
      </c>
      <c r="O24" s="101">
        <f t="shared" si="23"/>
        <v>360315.43044587993</v>
      </c>
      <c r="P24" s="94">
        <f t="shared" si="6"/>
        <v>60052.571740980027</v>
      </c>
      <c r="Q24" s="113">
        <f t="shared" si="13"/>
        <v>2.5199999999999997E-2</v>
      </c>
      <c r="R24" s="114">
        <f t="shared" si="7"/>
        <v>1.2</v>
      </c>
      <c r="S24" s="94">
        <f t="shared" si="14"/>
        <v>1582565.4230900458</v>
      </c>
      <c r="T24" s="115">
        <f t="shared" si="15"/>
        <v>85458532.84686248</v>
      </c>
      <c r="U24" s="104"/>
      <c r="V24" s="104"/>
      <c r="W24" s="119">
        <v>2027</v>
      </c>
      <c r="X24" s="106">
        <f t="shared" si="19"/>
        <v>53447</v>
      </c>
      <c r="Y24" s="106">
        <f t="shared" si="16"/>
        <v>8908</v>
      </c>
      <c r="Z24" s="100">
        <f t="shared" si="0"/>
        <v>2693.7287999999999</v>
      </c>
      <c r="AA24" s="100">
        <f t="shared" si="17"/>
        <v>448.9632000000006</v>
      </c>
      <c r="AB24" s="101">
        <f t="shared" si="8"/>
        <v>1347</v>
      </c>
      <c r="AC24" s="94">
        <f t="shared" si="18"/>
        <v>225</v>
      </c>
      <c r="AD24" s="107">
        <v>44150.961028587088</v>
      </c>
      <c r="AE24" s="108">
        <f t="shared" si="1"/>
        <v>-42803.961028587088</v>
      </c>
      <c r="AF24" s="107">
        <f t="shared" si="20"/>
        <v>47904.218181818185</v>
      </c>
      <c r="AG24" s="118">
        <f t="shared" si="21"/>
        <v>630898.55345454544</v>
      </c>
      <c r="AH24" s="74"/>
      <c r="AQ24" s="111"/>
    </row>
    <row r="25" spans="1:43" ht="14.4">
      <c r="A25" s="74"/>
      <c r="B25" s="119">
        <v>2028</v>
      </c>
      <c r="C25" s="94">
        <f t="shared" si="2"/>
        <v>432378.51653505594</v>
      </c>
      <c r="D25" s="94">
        <f t="shared" si="3"/>
        <v>1616</v>
      </c>
      <c r="E25" s="95">
        <f t="shared" si="4"/>
        <v>433994.51653505594</v>
      </c>
      <c r="F25" s="96">
        <f t="shared" si="5"/>
        <v>1956549.3440716914</v>
      </c>
      <c r="G25" s="112">
        <f t="shared" si="10"/>
        <v>103307130.33114406</v>
      </c>
      <c r="H25" s="98"/>
      <c r="I25" s="98"/>
      <c r="J25" s="119">
        <v>2028</v>
      </c>
      <c r="K25" s="99">
        <v>17157877.640280001</v>
      </c>
      <c r="L25" s="99">
        <f t="shared" si="11"/>
        <v>2859646.273380002</v>
      </c>
      <c r="M25" s="100">
        <f t="shared" si="22"/>
        <v>617683.59505007998</v>
      </c>
      <c r="N25" s="100">
        <f t="shared" si="12"/>
        <v>102947.26584168006</v>
      </c>
      <c r="O25" s="101">
        <f t="shared" si="23"/>
        <v>432378.51653505594</v>
      </c>
      <c r="P25" s="94">
        <f t="shared" si="6"/>
        <v>72063.086089176009</v>
      </c>
      <c r="Q25" s="113">
        <f t="shared" si="13"/>
        <v>2.5199999999999997E-2</v>
      </c>
      <c r="R25" s="114">
        <f t="shared" si="7"/>
        <v>1.2000000000000002</v>
      </c>
      <c r="S25" s="94">
        <f t="shared" si="14"/>
        <v>1899078.507708055</v>
      </c>
      <c r="T25" s="115">
        <f t="shared" si="15"/>
        <v>102550239.41623497</v>
      </c>
      <c r="U25" s="104"/>
      <c r="V25" s="104"/>
      <c r="W25" s="119">
        <v>2028</v>
      </c>
      <c r="X25" s="106">
        <f t="shared" si="19"/>
        <v>64136</v>
      </c>
      <c r="Y25" s="106">
        <f t="shared" si="16"/>
        <v>10689</v>
      </c>
      <c r="Z25" s="100">
        <f t="shared" si="0"/>
        <v>3232.4543999999996</v>
      </c>
      <c r="AA25" s="100">
        <f t="shared" si="17"/>
        <v>538.72559999999976</v>
      </c>
      <c r="AB25" s="101">
        <f t="shared" si="8"/>
        <v>1616</v>
      </c>
      <c r="AC25" s="94">
        <f t="shared" si="18"/>
        <v>269</v>
      </c>
      <c r="AD25" s="107">
        <v>50210.424331755086</v>
      </c>
      <c r="AE25" s="108">
        <f t="shared" si="1"/>
        <v>-48594.424331755086</v>
      </c>
      <c r="AF25" s="107">
        <f t="shared" si="20"/>
        <v>57470.836363636372</v>
      </c>
      <c r="AG25" s="118">
        <f t="shared" si="21"/>
        <v>756890.91490909096</v>
      </c>
      <c r="AH25" s="74"/>
      <c r="AQ25" s="111"/>
    </row>
    <row r="26" spans="1:43" ht="14.4">
      <c r="A26" s="74"/>
      <c r="B26" s="119">
        <v>2029</v>
      </c>
      <c r="C26" s="94">
        <f t="shared" si="2"/>
        <v>518854.2198420671</v>
      </c>
      <c r="D26" s="94">
        <f t="shared" si="3"/>
        <v>1939</v>
      </c>
      <c r="E26" s="95">
        <f t="shared" si="4"/>
        <v>520793.2198420671</v>
      </c>
      <c r="F26" s="96">
        <f t="shared" si="5"/>
        <v>2347852.1001587571</v>
      </c>
      <c r="G26" s="112">
        <f t="shared" si="10"/>
        <v>123968462.72275469</v>
      </c>
      <c r="H26" s="98"/>
      <c r="I26" s="98"/>
      <c r="J26" s="119">
        <v>2029</v>
      </c>
      <c r="K26" s="99">
        <v>20589453.168336</v>
      </c>
      <c r="L26" s="99">
        <f t="shared" si="11"/>
        <v>3431575.5280559994</v>
      </c>
      <c r="M26" s="100">
        <f t="shared" si="22"/>
        <v>741220.31406009593</v>
      </c>
      <c r="N26" s="100">
        <f t="shared" si="12"/>
        <v>123536.71901001595</v>
      </c>
      <c r="O26" s="101">
        <f t="shared" si="23"/>
        <v>518854.2198420671</v>
      </c>
      <c r="P26" s="94">
        <f t="shared" si="6"/>
        <v>86475.703307011165</v>
      </c>
      <c r="Q26" s="113">
        <f t="shared" si="13"/>
        <v>2.5199999999999997E-2</v>
      </c>
      <c r="R26" s="114">
        <f t="shared" si="7"/>
        <v>1.2</v>
      </c>
      <c r="S26" s="94">
        <f t="shared" si="14"/>
        <v>2278894.209249666</v>
      </c>
      <c r="T26" s="115">
        <f t="shared" si="15"/>
        <v>123060287.29948196</v>
      </c>
      <c r="U26" s="104"/>
      <c r="V26" s="104"/>
      <c r="W26" s="119">
        <v>2029</v>
      </c>
      <c r="X26" s="106">
        <f t="shared" si="19"/>
        <v>76963</v>
      </c>
      <c r="Y26" s="106">
        <f t="shared" si="16"/>
        <v>12827</v>
      </c>
      <c r="Z26" s="100">
        <f t="shared" si="0"/>
        <v>3878.9351999999994</v>
      </c>
      <c r="AA26" s="100">
        <f t="shared" si="17"/>
        <v>646.48079999999982</v>
      </c>
      <c r="AB26" s="101">
        <f t="shared" si="8"/>
        <v>1939</v>
      </c>
      <c r="AC26" s="94">
        <f t="shared" si="18"/>
        <v>323</v>
      </c>
      <c r="AD26" s="107">
        <v>56269.887634923085</v>
      </c>
      <c r="AE26" s="108">
        <f t="shared" si="1"/>
        <v>-54330.887634923085</v>
      </c>
      <c r="AF26" s="107">
        <f t="shared" si="20"/>
        <v>68957.8909090909</v>
      </c>
      <c r="AG26" s="118">
        <f t="shared" si="21"/>
        <v>908175.42327272717</v>
      </c>
      <c r="AH26" s="74"/>
      <c r="AQ26" s="111"/>
    </row>
    <row r="27" spans="1:43" ht="14.4">
      <c r="A27" s="74"/>
      <c r="B27" s="119">
        <v>2030</v>
      </c>
      <c r="C27" s="94">
        <f>O27</f>
        <v>622625.06381048064</v>
      </c>
      <c r="D27" s="94">
        <f t="shared" si="3"/>
        <v>2327</v>
      </c>
      <c r="E27" s="95">
        <f>C27+D27</f>
        <v>624952.06381048064</v>
      </c>
      <c r="F27" s="96">
        <f t="shared" si="5"/>
        <v>2817429.6329177814</v>
      </c>
      <c r="G27" s="112">
        <f t="shared" si="10"/>
        <v>148762248.9419238</v>
      </c>
      <c r="H27" s="98"/>
      <c r="I27" s="98"/>
      <c r="J27" s="119">
        <v>2030</v>
      </c>
      <c r="K27" s="99">
        <v>24707343.802003201</v>
      </c>
      <c r="L27" s="99">
        <f t="shared" si="11"/>
        <v>4117890.6336672008</v>
      </c>
      <c r="M27" s="100">
        <f t="shared" si="22"/>
        <v>889464.37687211519</v>
      </c>
      <c r="N27" s="100">
        <f t="shared" si="12"/>
        <v>148244.06281201926</v>
      </c>
      <c r="O27" s="101">
        <f>SUM(M27*0.7)</f>
        <v>622625.06381048064</v>
      </c>
      <c r="P27" s="94">
        <f t="shared" si="6"/>
        <v>103770.84396841354</v>
      </c>
      <c r="Q27" s="113">
        <f t="shared" si="13"/>
        <v>2.52E-2</v>
      </c>
      <c r="R27" s="114">
        <f t="shared" si="7"/>
        <v>1.2</v>
      </c>
      <c r="S27" s="94">
        <f t="shared" si="14"/>
        <v>2734673.0510995993</v>
      </c>
      <c r="T27" s="115">
        <f t="shared" si="15"/>
        <v>147672344.75937834</v>
      </c>
      <c r="U27" s="104"/>
      <c r="V27" s="104"/>
      <c r="W27" s="119">
        <v>2030</v>
      </c>
      <c r="X27" s="106">
        <f t="shared" si="19"/>
        <v>92356</v>
      </c>
      <c r="Y27" s="106">
        <f t="shared" si="16"/>
        <v>15393</v>
      </c>
      <c r="Z27" s="100">
        <f t="shared" si="0"/>
        <v>4654.7424000000001</v>
      </c>
      <c r="AA27" s="100">
        <f t="shared" si="17"/>
        <v>775.80720000000065</v>
      </c>
      <c r="AB27" s="101">
        <f t="shared" si="8"/>
        <v>2327</v>
      </c>
      <c r="AC27" s="94">
        <f t="shared" si="18"/>
        <v>388</v>
      </c>
      <c r="AD27" s="107">
        <v>62329.350938091091</v>
      </c>
      <c r="AE27" s="108">
        <f t="shared" si="1"/>
        <v>-60002.350938091091</v>
      </c>
      <c r="AF27" s="107">
        <f t="shared" si="20"/>
        <v>82756.581818181818</v>
      </c>
      <c r="AG27" s="118">
        <f t="shared" si="21"/>
        <v>1089904.1825454545</v>
      </c>
      <c r="AH27" s="74"/>
      <c r="AQ27" s="111"/>
    </row>
    <row r="28" spans="1:43" ht="14.4">
      <c r="A28" s="74"/>
      <c r="B28" s="449"/>
      <c r="C28" s="449"/>
      <c r="D28" s="449"/>
      <c r="E28" s="449"/>
      <c r="F28" s="449"/>
      <c r="G28" s="449"/>
      <c r="H28" s="449"/>
      <c r="I28" s="74"/>
      <c r="J28" s="449"/>
      <c r="K28" s="449"/>
      <c r="L28" s="449"/>
      <c r="M28" s="449"/>
      <c r="N28" s="449"/>
      <c r="O28" s="449"/>
      <c r="P28" s="74"/>
      <c r="Q28" s="74"/>
      <c r="R28" s="74"/>
      <c r="S28" s="74"/>
      <c r="T28" s="74"/>
      <c r="U28" s="120"/>
      <c r="V28" s="120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</row>
    <row r="29" spans="1:43" ht="15" thickBot="1">
      <c r="F29" s="110">
        <f>F17-F12</f>
        <v>327413.46006383176</v>
      </c>
      <c r="J29" s="443" t="s">
        <v>142</v>
      </c>
      <c r="K29" s="443"/>
      <c r="L29" s="443"/>
      <c r="M29" s="443"/>
      <c r="N29" s="443"/>
      <c r="O29" s="121"/>
      <c r="P29" s="121"/>
      <c r="Q29" s="121"/>
      <c r="R29" s="121"/>
      <c r="S29" s="121"/>
      <c r="T29" s="121"/>
      <c r="U29" s="122"/>
      <c r="V29" s="122"/>
    </row>
    <row r="30" spans="1:43" ht="20.399999999999999" thickBot="1">
      <c r="B30" s="123" t="s">
        <v>143</v>
      </c>
      <c r="C30" s="124"/>
      <c r="D30" s="124"/>
      <c r="E30" s="125"/>
      <c r="G30" s="79">
        <f>F12/E12</f>
        <v>4.5083247281051113</v>
      </c>
      <c r="U30" s="122"/>
      <c r="V30" s="122"/>
      <c r="X30" s="129" t="s">
        <v>144</v>
      </c>
      <c r="Y30" s="130"/>
    </row>
    <row r="31" spans="1:43" ht="21" thickTop="1" thickBot="1">
      <c r="B31" s="131" t="s">
        <v>145</v>
      </c>
      <c r="C31" s="132"/>
      <c r="D31" s="133">
        <v>6.6</v>
      </c>
      <c r="E31" s="134" t="s">
        <v>146</v>
      </c>
      <c r="G31" s="79">
        <f t="shared" ref="G31:G35" si="24">F13/E13</f>
        <v>4.5090012426128254</v>
      </c>
      <c r="M31" s="135">
        <v>41821</v>
      </c>
      <c r="N31" s="130" t="s">
        <v>147</v>
      </c>
      <c r="O31" s="79"/>
      <c r="R31" s="136"/>
      <c r="S31" s="136"/>
      <c r="T31" s="136"/>
      <c r="U31" s="122"/>
      <c r="V31" s="122"/>
      <c r="X31" s="137" t="s">
        <v>148</v>
      </c>
      <c r="Y31" s="138">
        <v>0</v>
      </c>
      <c r="Z31" s="79" t="s">
        <v>149</v>
      </c>
    </row>
    <row r="32" spans="1:43" ht="18.600000000000001" thickTop="1" thickBot="1">
      <c r="B32" s="139" t="s">
        <v>150</v>
      </c>
      <c r="C32" s="140"/>
      <c r="D32" s="141"/>
      <c r="E32" s="142"/>
      <c r="G32" s="79">
        <f t="shared" si="24"/>
        <v>4.5079917320992928</v>
      </c>
      <c r="M32" s="143" t="s">
        <v>151</v>
      </c>
      <c r="N32" s="144">
        <v>365</v>
      </c>
      <c r="O32" s="79"/>
      <c r="R32" s="136"/>
      <c r="S32" s="145"/>
      <c r="T32" s="136"/>
      <c r="X32" s="137" t="s">
        <v>152</v>
      </c>
      <c r="Y32" s="147">
        <v>0.8</v>
      </c>
      <c r="Z32" s="79" t="s">
        <v>153</v>
      </c>
      <c r="AA32" s="148"/>
      <c r="AB32" s="149"/>
      <c r="AC32" s="148"/>
      <c r="AD32" s="149"/>
      <c r="AE32" s="149"/>
      <c r="AF32" s="149"/>
      <c r="AG32" s="150"/>
    </row>
    <row r="33" spans="2:33" ht="15" thickTop="1">
      <c r="B33" s="151" t="s">
        <v>154</v>
      </c>
      <c r="C33" s="152" t="s">
        <v>155</v>
      </c>
      <c r="D33" s="153">
        <v>0.1</v>
      </c>
      <c r="E33" s="154"/>
      <c r="G33" s="79">
        <f t="shared" si="24"/>
        <v>4.5083910800007727</v>
      </c>
      <c r="M33" s="143" t="s">
        <v>156</v>
      </c>
      <c r="N33" s="155">
        <v>36.1</v>
      </c>
      <c r="O33" s="79" t="s">
        <v>157</v>
      </c>
      <c r="R33" s="136"/>
      <c r="S33" s="145"/>
      <c r="T33" s="136"/>
      <c r="X33" s="137" t="s">
        <v>158</v>
      </c>
      <c r="Y33" s="147">
        <v>0.2</v>
      </c>
      <c r="AA33" s="148"/>
      <c r="AB33" s="156"/>
      <c r="AC33" s="148"/>
      <c r="AD33" s="156"/>
      <c r="AE33" s="156"/>
      <c r="AF33" s="156"/>
    </row>
    <row r="34" spans="2:33" ht="14.4">
      <c r="B34" s="151" t="s">
        <v>159</v>
      </c>
      <c r="C34" s="152" t="s">
        <v>160</v>
      </c>
      <c r="D34" s="153">
        <v>0.2</v>
      </c>
      <c r="E34" s="154"/>
      <c r="G34" s="79">
        <f t="shared" si="24"/>
        <v>4.5081388098367468</v>
      </c>
      <c r="M34" s="143" t="s">
        <v>161</v>
      </c>
      <c r="N34" s="155">
        <v>3</v>
      </c>
      <c r="O34" s="79" t="s">
        <v>162</v>
      </c>
      <c r="R34" s="136"/>
      <c r="S34" s="145"/>
      <c r="T34" s="136"/>
      <c r="X34" s="137" t="s">
        <v>163</v>
      </c>
      <c r="Y34" s="157" t="s">
        <v>164</v>
      </c>
      <c r="AA34" s="148"/>
      <c r="AB34" s="156"/>
      <c r="AC34" s="148"/>
      <c r="AD34" s="156"/>
      <c r="AE34" s="156"/>
      <c r="AF34" s="156"/>
    </row>
    <row r="35" spans="2:33" ht="20.399999999999999" thickBot="1">
      <c r="B35" s="158"/>
      <c r="C35" s="159"/>
      <c r="D35" s="160"/>
      <c r="E35" s="161"/>
      <c r="G35" s="79">
        <f t="shared" si="24"/>
        <v>4.508082749243707</v>
      </c>
      <c r="M35" s="143" t="s">
        <v>165</v>
      </c>
      <c r="N35" s="162">
        <v>12.033333333333333</v>
      </c>
      <c r="O35" s="163"/>
      <c r="R35" s="136"/>
      <c r="S35" s="136"/>
      <c r="T35" s="136"/>
      <c r="X35" s="137" t="s">
        <v>166</v>
      </c>
      <c r="Y35" s="155">
        <v>250</v>
      </c>
      <c r="AA35" s="148"/>
      <c r="AB35" s="156"/>
      <c r="AC35" s="148"/>
      <c r="AD35" s="156"/>
      <c r="AE35" s="156"/>
      <c r="AF35" s="156"/>
    </row>
    <row r="36" spans="2:33" ht="18.600000000000001" thickTop="1" thickBot="1">
      <c r="B36" s="444" t="s">
        <v>167</v>
      </c>
      <c r="C36" s="445"/>
      <c r="D36" s="133">
        <v>6.6</v>
      </c>
      <c r="E36" s="134" t="s">
        <v>146</v>
      </c>
      <c r="M36" s="143" t="s">
        <v>168</v>
      </c>
      <c r="N36" s="164">
        <v>5.3999999999999999E-2</v>
      </c>
      <c r="O36" s="163"/>
      <c r="X36" s="137" t="s">
        <v>169</v>
      </c>
      <c r="Y36" s="165">
        <v>360</v>
      </c>
      <c r="Z36" s="79" t="s">
        <v>170</v>
      </c>
      <c r="AA36" s="148"/>
      <c r="AB36" s="128"/>
      <c r="AC36" s="148"/>
      <c r="AD36" s="128"/>
      <c r="AE36" s="128"/>
      <c r="AF36" s="128"/>
      <c r="AG36" s="150"/>
    </row>
    <row r="37" spans="2:33" ht="18.600000000000001" thickTop="1" thickBot="1">
      <c r="B37" s="139" t="s">
        <v>150</v>
      </c>
      <c r="C37" s="140"/>
      <c r="D37" s="141"/>
      <c r="E37" s="142"/>
      <c r="M37" s="163"/>
      <c r="N37" s="166"/>
      <c r="O37" s="150">
        <v>4121</v>
      </c>
      <c r="X37" s="137" t="s">
        <v>171</v>
      </c>
      <c r="Y37" s="165" t="s">
        <v>164</v>
      </c>
      <c r="AA37" s="148"/>
      <c r="AB37" s="128"/>
      <c r="AC37" s="148"/>
      <c r="AD37" s="128"/>
      <c r="AE37" s="128"/>
      <c r="AF37" s="128"/>
      <c r="AG37" s="150"/>
    </row>
    <row r="38" spans="2:33" ht="15" thickTop="1">
      <c r="B38" s="151" t="s">
        <v>154</v>
      </c>
      <c r="C38" s="152" t="s">
        <v>155</v>
      </c>
      <c r="D38" s="153">
        <v>0.1</v>
      </c>
      <c r="E38" s="154"/>
      <c r="O38" s="167">
        <f>O37-O9</f>
        <v>2807</v>
      </c>
      <c r="P38" s="150">
        <f>(O38/2)*N32*N35</f>
        <v>6164405.916666667</v>
      </c>
      <c r="X38" s="137" t="s">
        <v>172</v>
      </c>
      <c r="Y38" s="165">
        <v>80</v>
      </c>
      <c r="Z38" s="79" t="s">
        <v>173</v>
      </c>
    </row>
    <row r="39" spans="2:33" ht="15" thickBot="1">
      <c r="B39" s="168" t="s">
        <v>159</v>
      </c>
      <c r="C39" s="169" t="s">
        <v>160</v>
      </c>
      <c r="D39" s="170">
        <v>0.2</v>
      </c>
      <c r="E39" s="171"/>
      <c r="O39" s="167">
        <f>O37-O38</f>
        <v>1314</v>
      </c>
      <c r="P39" s="150">
        <f>O39*N32*N35</f>
        <v>5771307</v>
      </c>
      <c r="X39" s="137" t="s">
        <v>174</v>
      </c>
      <c r="Y39" s="165">
        <v>100</v>
      </c>
      <c r="Z39" s="172" t="s">
        <v>175</v>
      </c>
    </row>
    <row r="40" spans="2:33" ht="18.600000000000001" thickTop="1" thickBot="1">
      <c r="B40" s="444" t="s">
        <v>176</v>
      </c>
      <c r="C40" s="445"/>
      <c r="D40" s="133">
        <v>100</v>
      </c>
      <c r="E40" s="134" t="s">
        <v>146</v>
      </c>
      <c r="F40" s="79" t="s">
        <v>177</v>
      </c>
      <c r="O40" s="79" t="s">
        <v>178</v>
      </c>
      <c r="P40" s="110">
        <f>SUM(P38:P39)</f>
        <v>11935712.916666668</v>
      </c>
      <c r="Q40" s="173">
        <f>P40*0.054</f>
        <v>644528.49750000006</v>
      </c>
      <c r="R40" s="173"/>
      <c r="S40" s="79"/>
      <c r="T40" s="79"/>
      <c r="X40" s="137" t="s">
        <v>179</v>
      </c>
      <c r="Y40" s="174" t="s">
        <v>164</v>
      </c>
    </row>
    <row r="41" spans="2:33" ht="18.600000000000001" thickTop="1" thickBot="1">
      <c r="B41" s="139" t="s">
        <v>150</v>
      </c>
      <c r="C41" s="140"/>
      <c r="D41" s="141"/>
      <c r="E41" s="142"/>
      <c r="O41" s="79"/>
      <c r="P41" s="79"/>
      <c r="Q41" s="79"/>
      <c r="R41" s="79"/>
      <c r="S41" s="79"/>
      <c r="T41" s="79"/>
      <c r="X41" s="137" t="s">
        <v>180</v>
      </c>
      <c r="Y41" s="162">
        <f>100/120</f>
        <v>0.83333333333333337</v>
      </c>
      <c r="Z41" s="79" t="s">
        <v>181</v>
      </c>
    </row>
    <row r="42" spans="2:33" ht="15" thickTop="1">
      <c r="B42" s="151" t="s">
        <v>154</v>
      </c>
      <c r="C42" s="152" t="s">
        <v>155</v>
      </c>
      <c r="D42" s="153">
        <v>0.1</v>
      </c>
      <c r="E42" s="154"/>
      <c r="O42" s="79" t="s">
        <v>182</v>
      </c>
      <c r="P42" s="110">
        <f>E10</f>
        <v>4603</v>
      </c>
      <c r="Q42" s="175">
        <f>P42*N32*N35</f>
        <v>20217143.166666668</v>
      </c>
      <c r="R42" s="79"/>
      <c r="S42" s="79"/>
      <c r="T42" s="79"/>
      <c r="X42" s="137" t="s">
        <v>183</v>
      </c>
      <c r="Y42" s="162">
        <v>0.44</v>
      </c>
      <c r="Z42" s="79" t="s">
        <v>184</v>
      </c>
    </row>
    <row r="43" spans="2:33" ht="15" thickBot="1">
      <c r="B43" s="168" t="s">
        <v>159</v>
      </c>
      <c r="C43" s="169" t="s">
        <v>160</v>
      </c>
      <c r="D43" s="170">
        <v>0.2</v>
      </c>
      <c r="E43" s="171"/>
      <c r="O43" s="79"/>
      <c r="P43" s="176">
        <f>(E11-E10)/2</f>
        <v>1442.5</v>
      </c>
      <c r="Q43" s="175">
        <f>P43*N32*N35</f>
        <v>6335700.416666667</v>
      </c>
      <c r="R43" s="79"/>
      <c r="S43" s="79"/>
      <c r="T43" s="79"/>
      <c r="X43" s="143" t="s">
        <v>168</v>
      </c>
      <c r="Y43" s="164">
        <v>1.3169999999999999E-2</v>
      </c>
      <c r="Z43" s="177" t="s">
        <v>185</v>
      </c>
    </row>
    <row r="44" spans="2:33">
      <c r="O44" s="79"/>
      <c r="P44" s="176"/>
      <c r="Q44" s="110">
        <f>SUM(Q42:Q43)</f>
        <v>26552843.583333336</v>
      </c>
      <c r="R44" s="178">
        <f>Q44*0.054</f>
        <v>1433853.5535000002</v>
      </c>
      <c r="S44" s="79"/>
      <c r="T44" s="79"/>
    </row>
    <row r="45" spans="2:33">
      <c r="O45" s="79"/>
      <c r="P45" s="79"/>
      <c r="Q45" s="79"/>
      <c r="R45" s="79"/>
      <c r="S45" s="79"/>
      <c r="T45" s="79"/>
    </row>
    <row r="46" spans="2:33">
      <c r="O46" s="79"/>
      <c r="P46" s="79"/>
      <c r="Q46" s="79"/>
      <c r="R46" s="79"/>
      <c r="S46" s="79"/>
      <c r="T46" s="79"/>
    </row>
    <row r="47" spans="2:33">
      <c r="O47" s="79"/>
      <c r="P47" s="79"/>
      <c r="Q47" s="79"/>
      <c r="R47" s="79"/>
      <c r="S47" s="79"/>
      <c r="T47" s="79"/>
    </row>
    <row r="48" spans="2:33">
      <c r="O48" s="79"/>
      <c r="P48" s="79"/>
      <c r="Q48" s="79"/>
      <c r="R48" s="79"/>
      <c r="S48" s="79"/>
      <c r="T48" s="79"/>
    </row>
    <row r="49" spans="15:20">
      <c r="O49" s="79"/>
      <c r="P49" s="79"/>
      <c r="Q49" s="79"/>
      <c r="R49" s="79"/>
      <c r="S49" s="79"/>
      <c r="T49" s="79"/>
    </row>
    <row r="50" spans="15:20">
      <c r="O50" s="79"/>
      <c r="P50" s="79"/>
      <c r="Q50" s="79"/>
      <c r="R50" s="79"/>
      <c r="S50" s="79"/>
      <c r="T50" s="79"/>
    </row>
    <row r="51" spans="15:20">
      <c r="O51" s="79"/>
      <c r="P51" s="79"/>
      <c r="Q51" s="79"/>
      <c r="R51" s="79"/>
      <c r="S51" s="79"/>
      <c r="T51" s="79"/>
    </row>
    <row r="52" spans="15:20">
      <c r="O52" s="79"/>
      <c r="P52" s="79"/>
      <c r="Q52" s="79"/>
      <c r="R52" s="79"/>
      <c r="S52" s="79"/>
      <c r="T52" s="79"/>
    </row>
    <row r="53" spans="15:20">
      <c r="O53" s="79"/>
      <c r="P53" s="79"/>
      <c r="Q53" s="79"/>
      <c r="R53" s="79"/>
      <c r="S53" s="79"/>
      <c r="T53" s="79"/>
    </row>
  </sheetData>
  <mergeCells count="10">
    <mergeCell ref="W5:X5"/>
    <mergeCell ref="B6:H6"/>
    <mergeCell ref="J6:O6"/>
    <mergeCell ref="B28:H28"/>
    <mergeCell ref="J28:O28"/>
    <mergeCell ref="J29:N29"/>
    <mergeCell ref="B36:C36"/>
    <mergeCell ref="B40:C40"/>
    <mergeCell ref="B5:C5"/>
    <mergeCell ref="J5:K5"/>
  </mergeCells>
  <pageMargins left="0.25" right="0.25" top="1" bottom="1" header="0.5" footer="0.5"/>
  <pageSetup scale="70" orientation="landscape" r:id="rId1"/>
  <headerFooter alignWithMargins="0"/>
  <colBreaks count="2" manualBreakCount="2">
    <brk id="8" min="3" max="42" man="1"/>
    <brk id="21" min="3" max="42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0" tint="-0.34998626667073579"/>
    <pageSetUpPr fitToPage="1"/>
  </sheetPr>
  <dimension ref="A1:AD915"/>
  <sheetViews>
    <sheetView zoomScaleNormal="100" workbookViewId="0">
      <pane xSplit="1" ySplit="3" topLeftCell="B4" activePane="bottomRight" state="frozen"/>
      <selection activeCell="C14" sqref="C14"/>
      <selection pane="topRight" activeCell="C14" sqref="C14"/>
      <selection pane="bottomLeft" activeCell="C14" sqref="C14"/>
      <selection pane="bottomRight" activeCell="A2" sqref="A1:A2"/>
    </sheetView>
  </sheetViews>
  <sheetFormatPr defaultColWidth="9.109375" defaultRowHeight="13.2"/>
  <cols>
    <col min="1" max="1" width="8.44140625" style="181" bestFit="1" customWidth="1"/>
    <col min="2" max="2" width="13.33203125" style="181" bestFit="1" customWidth="1"/>
    <col min="3" max="3" width="14.44140625" style="181" bestFit="1" customWidth="1"/>
    <col min="4" max="4" width="12.6640625" style="181" bestFit="1" customWidth="1"/>
    <col min="5" max="5" width="14.88671875" style="181" bestFit="1" customWidth="1"/>
    <col min="6" max="6" width="14.6640625" style="181" customWidth="1"/>
    <col min="7" max="7" width="13.33203125" style="181" bestFit="1" customWidth="1"/>
    <col min="8" max="8" width="13.88671875" style="181" customWidth="1"/>
    <col min="9" max="9" width="20.44140625" style="181" bestFit="1" customWidth="1"/>
    <col min="10" max="10" width="6.33203125" style="181" bestFit="1" customWidth="1"/>
    <col min="11" max="11" width="16.88671875" style="181" bestFit="1" customWidth="1"/>
    <col min="12" max="12" width="11.109375" style="181" bestFit="1" customWidth="1"/>
    <col min="13" max="13" width="19.88671875" style="181" bestFit="1" customWidth="1"/>
    <col min="14" max="14" width="11.88671875" style="181" bestFit="1" customWidth="1"/>
    <col min="15" max="15" width="15" style="181" bestFit="1" customWidth="1"/>
    <col min="16" max="16" width="12.33203125" style="181" bestFit="1" customWidth="1"/>
    <col min="17" max="17" width="14" style="181" customWidth="1"/>
    <col min="18" max="18" width="10.109375" style="181" bestFit="1" customWidth="1"/>
    <col min="19" max="19" width="28" style="181" bestFit="1" customWidth="1"/>
    <col min="20" max="20" width="6.33203125" style="181" bestFit="1" customWidth="1"/>
    <col min="21" max="23" width="9.109375" style="181"/>
    <col min="24" max="24" width="16.44140625" style="181" customWidth="1"/>
    <col min="25" max="25" width="6.33203125" style="181" bestFit="1" customWidth="1"/>
    <col min="26" max="28" width="9.109375" style="181"/>
    <col min="29" max="29" width="13" style="181" customWidth="1"/>
    <col min="30" max="30" width="10.33203125" style="181" bestFit="1" customWidth="1"/>
    <col min="31" max="16384" width="9.109375" style="181"/>
  </cols>
  <sheetData>
    <row r="1" spans="1:30" ht="14.4">
      <c r="A1" s="453" t="s">
        <v>311</v>
      </c>
      <c r="B1" s="182"/>
    </row>
    <row r="2" spans="1:30" ht="14.4">
      <c r="A2" s="453" t="s">
        <v>290</v>
      </c>
      <c r="B2" s="182"/>
      <c r="I2" s="181" t="s">
        <v>186</v>
      </c>
      <c r="P2" s="183"/>
    </row>
    <row r="3" spans="1:30" ht="39.6">
      <c r="B3" s="184" t="s">
        <v>187</v>
      </c>
      <c r="C3" s="181" t="s">
        <v>188</v>
      </c>
      <c r="D3" s="181" t="s">
        <v>189</v>
      </c>
      <c r="E3" s="181" t="s">
        <v>45</v>
      </c>
      <c r="G3" s="181" t="s">
        <v>190</v>
      </c>
      <c r="K3" s="181" t="s">
        <v>191</v>
      </c>
      <c r="M3" s="181" t="s">
        <v>192</v>
      </c>
      <c r="N3" s="181" t="s">
        <v>193</v>
      </c>
      <c r="O3" s="181" t="s">
        <v>194</v>
      </c>
      <c r="P3" s="181" t="s">
        <v>18</v>
      </c>
      <c r="Q3" s="185" t="s">
        <v>195</v>
      </c>
      <c r="S3" s="185" t="s">
        <v>196</v>
      </c>
      <c r="W3" s="186" t="s">
        <v>197</v>
      </c>
      <c r="X3" s="185" t="s">
        <v>198</v>
      </c>
    </row>
    <row r="4" spans="1:30">
      <c r="A4" s="187">
        <v>33970</v>
      </c>
      <c r="B4" s="182">
        <v>5566130</v>
      </c>
      <c r="C4" s="182">
        <v>48594.37</v>
      </c>
      <c r="D4" s="182">
        <f t="shared" ref="D4:D67" si="0">B4-C4</f>
        <v>5517535.6299999999</v>
      </c>
      <c r="E4" s="188">
        <v>4932.9566082814708</v>
      </c>
      <c r="G4" s="182">
        <f t="shared" ref="G4:G67" si="1">B4-E4</f>
        <v>5561197.0433917185</v>
      </c>
      <c r="I4" s="182">
        <f t="shared" ref="I4:I67" si="2">G4-C4</f>
        <v>5512602.6733917184</v>
      </c>
      <c r="K4" s="182">
        <v>5013864.9335000003</v>
      </c>
      <c r="M4" s="188">
        <f t="shared" ref="M4:M67" si="3">K4*I4/D4</f>
        <v>5009382.2840319555</v>
      </c>
      <c r="N4" s="189">
        <f t="shared" ref="N4:N67" si="4">K4-M4</f>
        <v>4482.6494680447504</v>
      </c>
      <c r="O4" s="189">
        <f t="shared" ref="O4:O14" si="5">AVERAGE(M3:M4)</f>
        <v>5009382.2840319555</v>
      </c>
      <c r="Q4" s="185"/>
      <c r="S4" s="185"/>
      <c r="W4" s="186"/>
      <c r="X4" s="185"/>
      <c r="AA4" s="181" t="s">
        <v>66</v>
      </c>
    </row>
    <row r="5" spans="1:30">
      <c r="A5" s="187">
        <v>34001</v>
      </c>
      <c r="B5" s="182">
        <v>4873850</v>
      </c>
      <c r="C5" s="182">
        <v>41277.25</v>
      </c>
      <c r="D5" s="182">
        <f t="shared" si="0"/>
        <v>4832572.75</v>
      </c>
      <c r="E5" s="188">
        <v>-167810.19590269588</v>
      </c>
      <c r="G5" s="182">
        <f t="shared" si="1"/>
        <v>5041660.1959026959</v>
      </c>
      <c r="I5" s="182">
        <f t="shared" si="2"/>
        <v>5000382.9459026959</v>
      </c>
      <c r="K5" s="182">
        <v>4847301.2255000006</v>
      </c>
      <c r="M5" s="188">
        <f t="shared" si="3"/>
        <v>5015622.864993277</v>
      </c>
      <c r="N5" s="189">
        <f t="shared" si="4"/>
        <v>-168321.63949327637</v>
      </c>
      <c r="O5" s="189">
        <f t="shared" si="5"/>
        <v>5012502.5745126158</v>
      </c>
      <c r="Q5" s="185"/>
      <c r="S5" s="185"/>
      <c r="W5" s="186"/>
      <c r="X5" s="185"/>
      <c r="AA5" s="181" t="s">
        <v>67</v>
      </c>
    </row>
    <row r="6" spans="1:30">
      <c r="A6" s="187">
        <v>34029</v>
      </c>
      <c r="B6" s="182">
        <v>5578933</v>
      </c>
      <c r="C6" s="182">
        <v>59173.412450000003</v>
      </c>
      <c r="D6" s="182">
        <f t="shared" si="0"/>
        <v>5519759.5875500003</v>
      </c>
      <c r="E6" s="188">
        <v>-279519.1819657404</v>
      </c>
      <c r="G6" s="182">
        <f t="shared" si="1"/>
        <v>5858452.1819657404</v>
      </c>
      <c r="I6" s="182">
        <f t="shared" si="2"/>
        <v>5799278.7695157407</v>
      </c>
      <c r="K6" s="182">
        <v>4990599.7750000004</v>
      </c>
      <c r="M6" s="188">
        <f t="shared" si="3"/>
        <v>5243322.442446026</v>
      </c>
      <c r="N6" s="189">
        <f t="shared" si="4"/>
        <v>-252722.66744602565</v>
      </c>
      <c r="O6" s="189">
        <f t="shared" si="5"/>
        <v>5129472.6537196515</v>
      </c>
      <c r="Q6" s="185"/>
      <c r="S6" s="185"/>
      <c r="W6" s="186"/>
      <c r="X6" s="185"/>
      <c r="AA6" s="181" t="s">
        <v>68</v>
      </c>
    </row>
    <row r="7" spans="1:30">
      <c r="A7" s="187">
        <v>34060</v>
      </c>
      <c r="B7" s="182">
        <v>5323785</v>
      </c>
      <c r="C7" s="182">
        <v>53359.593929999995</v>
      </c>
      <c r="D7" s="182">
        <f t="shared" si="0"/>
        <v>5270425.4060699996</v>
      </c>
      <c r="E7" s="188">
        <v>-549419.07957485784</v>
      </c>
      <c r="G7" s="182">
        <f t="shared" si="1"/>
        <v>5873204.0795748578</v>
      </c>
      <c r="I7" s="182">
        <f t="shared" si="2"/>
        <v>5819844.4856448574</v>
      </c>
      <c r="K7" s="182">
        <v>5098901.7530000005</v>
      </c>
      <c r="M7" s="188">
        <f t="shared" si="3"/>
        <v>5630440.2327495571</v>
      </c>
      <c r="N7" s="189">
        <f t="shared" si="4"/>
        <v>-531538.47974955663</v>
      </c>
      <c r="O7" s="189">
        <f t="shared" si="5"/>
        <v>5436881.3375977911</v>
      </c>
      <c r="Q7" s="185"/>
      <c r="S7" s="185"/>
      <c r="W7" s="186"/>
      <c r="X7" s="185"/>
      <c r="AA7" s="181" t="s">
        <v>69</v>
      </c>
    </row>
    <row r="8" spans="1:30">
      <c r="A8" s="187">
        <v>34090</v>
      </c>
      <c r="B8" s="182">
        <v>6286193</v>
      </c>
      <c r="C8" s="182">
        <v>57535.888580000006</v>
      </c>
      <c r="D8" s="182">
        <f t="shared" si="0"/>
        <v>6228657.11142</v>
      </c>
      <c r="E8" s="188">
        <v>-392071.57137167919</v>
      </c>
      <c r="G8" s="182">
        <f t="shared" si="1"/>
        <v>6678264.5713716792</v>
      </c>
      <c r="I8" s="182">
        <f t="shared" si="2"/>
        <v>6620728.6827916792</v>
      </c>
      <c r="K8" s="182">
        <v>5628002.3310000002</v>
      </c>
      <c r="M8" s="188">
        <f t="shared" si="3"/>
        <v>5982264.8434688542</v>
      </c>
      <c r="N8" s="189">
        <f t="shared" si="4"/>
        <v>-354262.51246885397</v>
      </c>
      <c r="O8" s="189">
        <f t="shared" si="5"/>
        <v>5806352.5381092057</v>
      </c>
      <c r="Q8" s="185"/>
      <c r="S8" s="185"/>
      <c r="W8" s="186"/>
      <c r="X8" s="185"/>
      <c r="AA8" s="181" t="s">
        <v>70</v>
      </c>
    </row>
    <row r="9" spans="1:30">
      <c r="A9" s="187">
        <v>34121</v>
      </c>
      <c r="B9" s="182">
        <v>7233103</v>
      </c>
      <c r="C9" s="182">
        <v>93598.483420000004</v>
      </c>
      <c r="D9" s="182">
        <f t="shared" si="0"/>
        <v>7139504.5165799996</v>
      </c>
      <c r="E9" s="188">
        <v>121059.30421895534</v>
      </c>
      <c r="G9" s="182">
        <f t="shared" si="1"/>
        <v>7112043.6957810447</v>
      </c>
      <c r="I9" s="182">
        <f t="shared" si="2"/>
        <v>7018445.2123610443</v>
      </c>
      <c r="K9" s="182">
        <v>6519739.3019999992</v>
      </c>
      <c r="M9" s="188">
        <f t="shared" si="3"/>
        <v>6409188.8987113433</v>
      </c>
      <c r="N9" s="189">
        <f t="shared" si="4"/>
        <v>110550.40328865591</v>
      </c>
      <c r="O9" s="189">
        <f t="shared" si="5"/>
        <v>6195726.8710900992</v>
      </c>
      <c r="Q9" s="185"/>
      <c r="S9" s="185"/>
      <c r="W9" s="186"/>
      <c r="X9" s="185"/>
      <c r="AA9" s="181" t="s">
        <v>71</v>
      </c>
    </row>
    <row r="10" spans="1:30">
      <c r="A10" s="187">
        <v>34151</v>
      </c>
      <c r="B10" s="182">
        <v>7766365</v>
      </c>
      <c r="C10" s="182">
        <v>115333.22</v>
      </c>
      <c r="D10" s="182">
        <f t="shared" si="0"/>
        <v>7651031.7800000003</v>
      </c>
      <c r="E10" s="188">
        <v>99988.0769833792</v>
      </c>
      <c r="G10" s="182">
        <f t="shared" si="1"/>
        <v>7666376.9230166208</v>
      </c>
      <c r="I10" s="182">
        <f t="shared" si="2"/>
        <v>7551043.7030166211</v>
      </c>
      <c r="K10" s="182">
        <v>7060325.2549999999</v>
      </c>
      <c r="M10" s="188">
        <f t="shared" si="3"/>
        <v>6968056.8701045141</v>
      </c>
      <c r="N10" s="189">
        <f t="shared" si="4"/>
        <v>92268.384895485826</v>
      </c>
      <c r="O10" s="189">
        <f t="shared" si="5"/>
        <v>6688622.8844079282</v>
      </c>
      <c r="Q10" s="185"/>
      <c r="S10" s="185"/>
      <c r="W10" s="186"/>
      <c r="X10" s="185"/>
      <c r="AA10" s="181" t="s">
        <v>72</v>
      </c>
    </row>
    <row r="11" spans="1:30">
      <c r="A11" s="187">
        <v>34182</v>
      </c>
      <c r="B11" s="182">
        <v>7821139</v>
      </c>
      <c r="C11" s="182">
        <v>189468.5</v>
      </c>
      <c r="D11" s="182">
        <f t="shared" si="0"/>
        <v>7631670.5</v>
      </c>
      <c r="E11" s="188">
        <v>9611.2088227197528</v>
      </c>
      <c r="G11" s="182">
        <f t="shared" si="1"/>
        <v>7811527.7911772802</v>
      </c>
      <c r="I11" s="182">
        <f t="shared" si="2"/>
        <v>7622059.2911772802</v>
      </c>
      <c r="K11" s="182">
        <v>7171866.2650000006</v>
      </c>
      <c r="M11" s="188">
        <f t="shared" si="3"/>
        <v>7162834.1265813503</v>
      </c>
      <c r="N11" s="189">
        <f t="shared" si="4"/>
        <v>9032.1384186502546</v>
      </c>
      <c r="O11" s="189">
        <f t="shared" si="5"/>
        <v>7065445.4983429322</v>
      </c>
      <c r="Q11" s="185"/>
      <c r="S11" s="185"/>
      <c r="W11" s="186"/>
      <c r="X11" s="185"/>
      <c r="AA11" s="181" t="s">
        <v>73</v>
      </c>
    </row>
    <row r="12" spans="1:30">
      <c r="A12" s="187">
        <v>34213</v>
      </c>
      <c r="B12" s="182">
        <v>7362820</v>
      </c>
      <c r="C12" s="182">
        <v>121746.03193000001</v>
      </c>
      <c r="D12" s="182">
        <f t="shared" si="0"/>
        <v>7241073.9680700004</v>
      </c>
      <c r="E12" s="188">
        <v>101210.8215173427</v>
      </c>
      <c r="G12" s="182">
        <f t="shared" si="1"/>
        <v>7261609.1784826573</v>
      </c>
      <c r="I12" s="182">
        <f t="shared" si="2"/>
        <v>7139863.1465526577</v>
      </c>
      <c r="K12" s="182">
        <v>6747708.3509999998</v>
      </c>
      <c r="M12" s="188">
        <f t="shared" si="3"/>
        <v>6653393.4595107511</v>
      </c>
      <c r="N12" s="189">
        <f t="shared" si="4"/>
        <v>94314.891489248723</v>
      </c>
      <c r="O12" s="189">
        <f t="shared" si="5"/>
        <v>6908113.7930460507</v>
      </c>
      <c r="Q12" s="185"/>
      <c r="S12" s="185"/>
      <c r="W12" s="186"/>
      <c r="X12" s="185"/>
      <c r="AA12" s="181" t="s">
        <v>74</v>
      </c>
    </row>
    <row r="13" spans="1:30">
      <c r="A13" s="187">
        <v>34243</v>
      </c>
      <c r="B13" s="182">
        <v>6746092</v>
      </c>
      <c r="C13" s="182">
        <v>86840.450509999995</v>
      </c>
      <c r="D13" s="182">
        <f t="shared" si="0"/>
        <v>6659251.5494900001</v>
      </c>
      <c r="E13" s="188">
        <v>-60943.46940263547</v>
      </c>
      <c r="G13" s="182">
        <f t="shared" si="1"/>
        <v>6807035.4694026355</v>
      </c>
      <c r="I13" s="182">
        <f t="shared" si="2"/>
        <v>6720195.0188926356</v>
      </c>
      <c r="K13" s="182">
        <v>6148731.4024999999</v>
      </c>
      <c r="M13" s="188">
        <f t="shared" si="3"/>
        <v>6205002.7449036334</v>
      </c>
      <c r="N13" s="189">
        <f t="shared" si="4"/>
        <v>-56271.34240363352</v>
      </c>
      <c r="O13" s="189">
        <f t="shared" si="5"/>
        <v>6429198.1022071922</v>
      </c>
      <c r="Q13" s="185"/>
      <c r="S13" s="185"/>
      <c r="W13" s="186"/>
      <c r="X13" s="185"/>
      <c r="AA13" s="181" t="s">
        <v>75</v>
      </c>
    </row>
    <row r="14" spans="1:30">
      <c r="A14" s="187">
        <v>34274</v>
      </c>
      <c r="B14" s="182">
        <v>5844473</v>
      </c>
      <c r="C14" s="182">
        <v>73696.246620000005</v>
      </c>
      <c r="D14" s="182">
        <f t="shared" si="0"/>
        <v>5770776.7533799997</v>
      </c>
      <c r="E14" s="188">
        <v>288515.42279396951</v>
      </c>
      <c r="G14" s="182">
        <f t="shared" si="1"/>
        <v>5555957.5772060305</v>
      </c>
      <c r="I14" s="182">
        <f t="shared" si="2"/>
        <v>5482261.3305860301</v>
      </c>
      <c r="K14" s="182">
        <v>5706020.4069999997</v>
      </c>
      <c r="M14" s="188">
        <f t="shared" si="3"/>
        <v>5420742.5387767339</v>
      </c>
      <c r="N14" s="189">
        <f t="shared" si="4"/>
        <v>285277.86822326574</v>
      </c>
      <c r="O14" s="189">
        <f t="shared" si="5"/>
        <v>5812872.6418401841</v>
      </c>
      <c r="Q14" s="185"/>
      <c r="S14" s="185"/>
      <c r="W14" s="186"/>
      <c r="X14" s="185"/>
      <c r="AA14" s="181" t="s">
        <v>76</v>
      </c>
    </row>
    <row r="15" spans="1:30" ht="14.4">
      <c r="A15" s="187">
        <v>34304</v>
      </c>
      <c r="B15" s="182">
        <v>5671353</v>
      </c>
      <c r="C15" s="182">
        <v>99400.448699999994</v>
      </c>
      <c r="D15" s="182">
        <f t="shared" si="0"/>
        <v>5571952.5513000004</v>
      </c>
      <c r="E15" s="188">
        <v>-170011.29283628985</v>
      </c>
      <c r="F15" s="189">
        <f>SUM(E4:E14)</f>
        <v>-824445.7072729608</v>
      </c>
      <c r="G15" s="182">
        <f t="shared" si="1"/>
        <v>5841364.2928362899</v>
      </c>
      <c r="I15" s="182">
        <f t="shared" si="2"/>
        <v>5741963.8441362903</v>
      </c>
      <c r="K15" s="182">
        <v>5489194.0225000009</v>
      </c>
      <c r="M15" s="188">
        <f t="shared" si="3"/>
        <v>5656680.1889385013</v>
      </c>
      <c r="N15" s="189">
        <f t="shared" si="4"/>
        <v>-167486.1664385004</v>
      </c>
      <c r="O15" s="189">
        <f>AVERAGE(M14:M15)</f>
        <v>5538711.3638576176</v>
      </c>
      <c r="Q15" s="185"/>
      <c r="S15" s="190">
        <f t="shared" ref="S15:S78" si="6">SUM(O4:O15)</f>
        <v>71033282.542763218</v>
      </c>
      <c r="W15" s="182">
        <v>3355794.0833333335</v>
      </c>
      <c r="X15" s="183">
        <f t="shared" ref="X15:X78" si="7">S15/W15*1000</f>
        <v>21167.354366453073</v>
      </c>
      <c r="AA15" s="181" t="s">
        <v>77</v>
      </c>
      <c r="AB15" s="181">
        <f>YEAR(A15)</f>
        <v>1993</v>
      </c>
      <c r="AC15" s="182">
        <f>SUM(G4:G15)</f>
        <v>77068693.000109255</v>
      </c>
      <c r="AD15" s="191">
        <f t="shared" ref="AD15:AD78" si="8">AC15/W15*1000</f>
        <v>22965.858776279976</v>
      </c>
    </row>
    <row r="16" spans="1:30" ht="14.4">
      <c r="A16" s="187">
        <v>34335</v>
      </c>
      <c r="B16" s="182">
        <v>5676320</v>
      </c>
      <c r="C16" s="182">
        <v>69971.964380000005</v>
      </c>
      <c r="D16" s="182">
        <f t="shared" si="0"/>
        <v>5606348.0356200002</v>
      </c>
      <c r="E16" s="188">
        <v>-293394.82587482501</v>
      </c>
      <c r="F16" s="189">
        <f t="shared" ref="F16:F79" si="9">SUM(E5:E15)</f>
        <v>-999389.95671753213</v>
      </c>
      <c r="G16" s="182">
        <f t="shared" si="1"/>
        <v>5969714.825874825</v>
      </c>
      <c r="I16" s="182">
        <f t="shared" si="2"/>
        <v>5899742.8614948252</v>
      </c>
      <c r="K16" s="182">
        <v>5293444.6645000009</v>
      </c>
      <c r="M16" s="188">
        <f t="shared" si="3"/>
        <v>5570464.4402526934</v>
      </c>
      <c r="N16" s="189">
        <f t="shared" si="4"/>
        <v>-277019.77575269248</v>
      </c>
      <c r="O16" s="189">
        <f t="shared" ref="O16:O79" si="10">AVERAGE(M15:M16)</f>
        <v>5613572.3145955969</v>
      </c>
      <c r="Q16" s="185"/>
      <c r="S16" s="190">
        <f t="shared" si="6"/>
        <v>71637472.573326871</v>
      </c>
      <c r="W16" s="182">
        <v>3362224.1666666665</v>
      </c>
      <c r="X16" s="183">
        <f t="shared" si="7"/>
        <v>21306.572382515704</v>
      </c>
      <c r="AA16" s="181" t="s">
        <v>66</v>
      </c>
      <c r="AC16" s="182">
        <f t="shared" ref="AC16:AC79" si="11">SUM(G5:G15)</f>
        <v>71507495.956717536</v>
      </c>
      <c r="AD16" s="191">
        <f t="shared" si="8"/>
        <v>21267.91445545125</v>
      </c>
    </row>
    <row r="17" spans="1:30" ht="14.4">
      <c r="A17" s="187">
        <v>34366</v>
      </c>
      <c r="B17" s="182">
        <v>5312040</v>
      </c>
      <c r="C17" s="182">
        <v>73342.999880000003</v>
      </c>
      <c r="D17" s="182">
        <f t="shared" si="0"/>
        <v>5238697.00012</v>
      </c>
      <c r="E17" s="188">
        <v>45691.429696300067</v>
      </c>
      <c r="F17" s="189">
        <f t="shared" si="9"/>
        <v>-1124974.5866896613</v>
      </c>
      <c r="G17" s="182">
        <f t="shared" si="1"/>
        <v>5266348.5703036999</v>
      </c>
      <c r="I17" s="182">
        <f t="shared" si="2"/>
        <v>5193005.5704236999</v>
      </c>
      <c r="K17" s="182">
        <v>5235036.4615000002</v>
      </c>
      <c r="M17" s="188">
        <f t="shared" si="3"/>
        <v>5189376.9586822735</v>
      </c>
      <c r="N17" s="189">
        <f t="shared" si="4"/>
        <v>45659.502817726694</v>
      </c>
      <c r="O17" s="189">
        <f t="shared" si="10"/>
        <v>5379920.6994674839</v>
      </c>
      <c r="Q17" s="185"/>
      <c r="S17" s="190">
        <f t="shared" si="6"/>
        <v>72004890.698281735</v>
      </c>
      <c r="W17" s="182">
        <v>3368538.0833333335</v>
      </c>
      <c r="X17" s="183">
        <f t="shared" si="7"/>
        <v>21375.709259320403</v>
      </c>
      <c r="AA17" s="181" t="s">
        <v>67</v>
      </c>
      <c r="AC17" s="182">
        <f t="shared" si="11"/>
        <v>72435550.586689651</v>
      </c>
      <c r="AD17" s="191">
        <f t="shared" si="8"/>
        <v>21503.556971815833</v>
      </c>
    </row>
    <row r="18" spans="1:30" ht="14.4">
      <c r="A18" s="187">
        <v>34394</v>
      </c>
      <c r="B18" s="182">
        <v>6030971</v>
      </c>
      <c r="C18" s="182">
        <v>101608.82638000001</v>
      </c>
      <c r="D18" s="182">
        <f t="shared" si="0"/>
        <v>5929362.1736199996</v>
      </c>
      <c r="E18" s="188">
        <v>217382.54881473258</v>
      </c>
      <c r="F18" s="189">
        <f t="shared" si="9"/>
        <v>-799763.97502762079</v>
      </c>
      <c r="G18" s="182">
        <f t="shared" si="1"/>
        <v>5813588.4511852674</v>
      </c>
      <c r="I18" s="182">
        <f t="shared" si="2"/>
        <v>5711979.624805267</v>
      </c>
      <c r="K18" s="182">
        <v>5481283.7980000004</v>
      </c>
      <c r="M18" s="188">
        <f t="shared" si="3"/>
        <v>5280328.7192079956</v>
      </c>
      <c r="N18" s="189">
        <f t="shared" si="4"/>
        <v>200955.07879200485</v>
      </c>
      <c r="O18" s="189">
        <f t="shared" si="10"/>
        <v>5234852.8389451345</v>
      </c>
      <c r="Q18" s="185"/>
      <c r="S18" s="190">
        <f t="shared" si="6"/>
        <v>72110270.883507207</v>
      </c>
      <c r="W18" s="182">
        <v>3374950.25</v>
      </c>
      <c r="X18" s="183">
        <f t="shared" si="7"/>
        <v>21366.321143106394</v>
      </c>
      <c r="AA18" s="181" t="s">
        <v>68</v>
      </c>
      <c r="AC18" s="182">
        <f t="shared" si="11"/>
        <v>71843446.975027621</v>
      </c>
      <c r="AD18" s="191">
        <f t="shared" si="8"/>
        <v>21287.261041856134</v>
      </c>
    </row>
    <row r="19" spans="1:30" ht="14.4">
      <c r="A19" s="187">
        <v>34425</v>
      </c>
      <c r="B19" s="182">
        <v>6367421</v>
      </c>
      <c r="C19" s="182">
        <v>111920.86811</v>
      </c>
      <c r="D19" s="182">
        <f t="shared" si="0"/>
        <v>6255500.1318899998</v>
      </c>
      <c r="E19" s="188">
        <v>308721.11652926914</v>
      </c>
      <c r="F19" s="189">
        <f t="shared" si="9"/>
        <v>-32962.346638030373</v>
      </c>
      <c r="G19" s="182">
        <f t="shared" si="1"/>
        <v>6058699.8834707309</v>
      </c>
      <c r="I19" s="182">
        <f t="shared" si="2"/>
        <v>5946779.0153607307</v>
      </c>
      <c r="K19" s="182">
        <v>5811347.550999999</v>
      </c>
      <c r="M19" s="188">
        <f t="shared" si="3"/>
        <v>5524546.2294976208</v>
      </c>
      <c r="N19" s="189">
        <f t="shared" si="4"/>
        <v>286801.32150237821</v>
      </c>
      <c r="O19" s="189">
        <f t="shared" si="10"/>
        <v>5402437.4743528087</v>
      </c>
      <c r="Q19" s="185"/>
      <c r="S19" s="190">
        <f t="shared" si="6"/>
        <v>72075827.020262226</v>
      </c>
      <c r="W19" s="182">
        <v>3376519.0833333335</v>
      </c>
      <c r="X19" s="183">
        <f t="shared" si="7"/>
        <v>21346.192703613644</v>
      </c>
      <c r="AA19" s="181" t="s">
        <v>69</v>
      </c>
      <c r="AC19" s="182">
        <f t="shared" si="11"/>
        <v>71783831.346638039</v>
      </c>
      <c r="AD19" s="191">
        <f t="shared" si="8"/>
        <v>21259.714390766101</v>
      </c>
    </row>
    <row r="20" spans="1:30" ht="14.4">
      <c r="A20" s="187">
        <v>34455</v>
      </c>
      <c r="B20" s="182">
        <v>7225250</v>
      </c>
      <c r="C20" s="182">
        <v>127918.17406</v>
      </c>
      <c r="D20" s="182">
        <f t="shared" si="0"/>
        <v>7097331.8259399999</v>
      </c>
      <c r="E20" s="188">
        <v>367351.85926567391</v>
      </c>
      <c r="F20" s="189">
        <f t="shared" si="9"/>
        <v>667830.34126291797</v>
      </c>
      <c r="G20" s="182">
        <f t="shared" si="1"/>
        <v>6857898.1407343261</v>
      </c>
      <c r="I20" s="182">
        <f t="shared" si="2"/>
        <v>6729979.966674326</v>
      </c>
      <c r="K20" s="182">
        <v>6299933.8724999987</v>
      </c>
      <c r="M20" s="188">
        <f t="shared" si="3"/>
        <v>5973854.6531439051</v>
      </c>
      <c r="N20" s="189">
        <f t="shared" si="4"/>
        <v>326079.21935609356</v>
      </c>
      <c r="O20" s="189">
        <f t="shared" si="10"/>
        <v>5749200.441320763</v>
      </c>
      <c r="Q20" s="185"/>
      <c r="S20" s="190">
        <f t="shared" si="6"/>
        <v>72018674.92347379</v>
      </c>
      <c r="W20" s="182">
        <v>3382188.4166666665</v>
      </c>
      <c r="X20" s="183">
        <f t="shared" si="7"/>
        <v>21293.513563165761</v>
      </c>
      <c r="AA20" s="181" t="s">
        <v>70</v>
      </c>
      <c r="AC20" s="182">
        <f t="shared" si="11"/>
        <v>71164266.658737093</v>
      </c>
      <c r="AD20" s="191">
        <f t="shared" si="8"/>
        <v>21040.893614340213</v>
      </c>
    </row>
    <row r="21" spans="1:30" ht="14.4">
      <c r="A21" s="187">
        <v>34486</v>
      </c>
      <c r="B21" s="182">
        <v>7615036</v>
      </c>
      <c r="C21" s="182">
        <v>159773.47640000001</v>
      </c>
      <c r="D21" s="182">
        <f t="shared" si="0"/>
        <v>7455262.5236</v>
      </c>
      <c r="E21" s="188">
        <v>152198.99001079239</v>
      </c>
      <c r="F21" s="189">
        <f t="shared" si="9"/>
        <v>914122.89630963653</v>
      </c>
      <c r="G21" s="182">
        <f t="shared" si="1"/>
        <v>7462837.0099892076</v>
      </c>
      <c r="I21" s="182">
        <f t="shared" si="2"/>
        <v>7303063.5335892076</v>
      </c>
      <c r="K21" s="182">
        <v>6975602.720999999</v>
      </c>
      <c r="M21" s="188">
        <f t="shared" si="3"/>
        <v>6833195.9733513501</v>
      </c>
      <c r="N21" s="189">
        <f t="shared" si="4"/>
        <v>142406.74764864892</v>
      </c>
      <c r="O21" s="189">
        <f t="shared" si="10"/>
        <v>6403525.3132476276</v>
      </c>
      <c r="Q21" s="185"/>
      <c r="S21" s="190">
        <f t="shared" si="6"/>
        <v>72226473.365631312</v>
      </c>
      <c r="W21" s="182">
        <v>3388136.3333333335</v>
      </c>
      <c r="X21" s="183">
        <f t="shared" si="7"/>
        <v>21317.46372040853</v>
      </c>
      <c r="AA21" s="181" t="s">
        <v>71</v>
      </c>
      <c r="AC21" s="182">
        <f t="shared" si="11"/>
        <v>70910121.103690371</v>
      </c>
      <c r="AD21" s="191">
        <f t="shared" si="8"/>
        <v>20928.945628916656</v>
      </c>
    </row>
    <row r="22" spans="1:30" ht="14.4">
      <c r="A22" s="187">
        <v>34516</v>
      </c>
      <c r="B22" s="182">
        <v>7955195</v>
      </c>
      <c r="C22" s="182">
        <v>156723.33225000001</v>
      </c>
      <c r="D22" s="182">
        <f t="shared" si="0"/>
        <v>7798471.66775</v>
      </c>
      <c r="E22" s="188">
        <v>-178894.39133768342</v>
      </c>
      <c r="F22" s="189">
        <f t="shared" si="9"/>
        <v>966333.80933704972</v>
      </c>
      <c r="G22" s="182">
        <f t="shared" si="1"/>
        <v>8134089.3913376834</v>
      </c>
      <c r="I22" s="182">
        <f t="shared" si="2"/>
        <v>7977366.0590876834</v>
      </c>
      <c r="K22" s="182">
        <v>7130580.2849999992</v>
      </c>
      <c r="M22" s="188">
        <f t="shared" si="3"/>
        <v>7294153.4662997136</v>
      </c>
      <c r="N22" s="189">
        <f t="shared" si="4"/>
        <v>-163573.18129971437</v>
      </c>
      <c r="O22" s="189">
        <f t="shared" si="10"/>
        <v>7063674.7198255323</v>
      </c>
      <c r="Q22" s="185"/>
      <c r="S22" s="190">
        <f t="shared" si="6"/>
        <v>72601525.201048926</v>
      </c>
      <c r="W22" s="182">
        <v>3393555.4166666665</v>
      </c>
      <c r="X22" s="183">
        <f t="shared" si="7"/>
        <v>21393.941246541384</v>
      </c>
      <c r="AA22" s="181" t="s">
        <v>72</v>
      </c>
      <c r="AC22" s="182">
        <f t="shared" si="11"/>
        <v>70706581.19066295</v>
      </c>
      <c r="AD22" s="191">
        <f t="shared" si="8"/>
        <v>20835.546354541271</v>
      </c>
    </row>
    <row r="23" spans="1:30" ht="14.4">
      <c r="A23" s="187">
        <v>34547</v>
      </c>
      <c r="B23" s="182">
        <v>7832923</v>
      </c>
      <c r="C23" s="182">
        <v>162974.97699</v>
      </c>
      <c r="D23" s="182">
        <f t="shared" si="0"/>
        <v>7669948.0230099997</v>
      </c>
      <c r="E23" s="188">
        <v>-464397.77820036933</v>
      </c>
      <c r="F23" s="189">
        <f t="shared" si="9"/>
        <v>777828.20917664655</v>
      </c>
      <c r="G23" s="182">
        <f t="shared" si="1"/>
        <v>8297320.7782003693</v>
      </c>
      <c r="I23" s="182">
        <f t="shared" si="2"/>
        <v>8134345.801210369</v>
      </c>
      <c r="K23" s="182">
        <v>7006600.1044999994</v>
      </c>
      <c r="M23" s="188">
        <f t="shared" si="3"/>
        <v>7430833.6862018127</v>
      </c>
      <c r="N23" s="189">
        <f t="shared" si="4"/>
        <v>-424233.58170181327</v>
      </c>
      <c r="O23" s="189">
        <f t="shared" si="10"/>
        <v>7362493.5762507636</v>
      </c>
      <c r="Q23" s="185"/>
      <c r="S23" s="190">
        <f t="shared" si="6"/>
        <v>72898573.278956741</v>
      </c>
      <c r="W23" s="182">
        <v>3399051.25</v>
      </c>
      <c r="X23" s="183">
        <f t="shared" si="7"/>
        <v>21446.74143379178</v>
      </c>
      <c r="AA23" s="181" t="s">
        <v>73</v>
      </c>
      <c r="AC23" s="182">
        <f t="shared" si="11"/>
        <v>71029142.790823355</v>
      </c>
      <c r="AD23" s="191">
        <f t="shared" si="8"/>
        <v>20896.755466933118</v>
      </c>
    </row>
    <row r="24" spans="1:30" ht="14.4">
      <c r="A24" s="187">
        <v>34578</v>
      </c>
      <c r="B24" s="182">
        <v>7282000</v>
      </c>
      <c r="C24" s="182">
        <v>139616.41554000002</v>
      </c>
      <c r="D24" s="182">
        <f t="shared" si="0"/>
        <v>7142383.5844599996</v>
      </c>
      <c r="E24" s="188">
        <v>-301619.91843787953</v>
      </c>
      <c r="F24" s="189">
        <f t="shared" si="9"/>
        <v>212219.60945893452</v>
      </c>
      <c r="G24" s="182">
        <f t="shared" si="1"/>
        <v>7583619.9184378795</v>
      </c>
      <c r="I24" s="182">
        <f t="shared" si="2"/>
        <v>7444003.5028978791</v>
      </c>
      <c r="K24" s="182">
        <v>6811559.2544999998</v>
      </c>
      <c r="M24" s="188">
        <f t="shared" si="3"/>
        <v>7099208.5976754548</v>
      </c>
      <c r="N24" s="189">
        <f t="shared" si="4"/>
        <v>-287649.343175455</v>
      </c>
      <c r="O24" s="189">
        <f t="shared" si="10"/>
        <v>7265021.1419386342</v>
      </c>
      <c r="Q24" s="185"/>
      <c r="S24" s="190">
        <f t="shared" si="6"/>
        <v>73255480.62784934</v>
      </c>
      <c r="W24" s="182">
        <v>3404670.8333333335</v>
      </c>
      <c r="X24" s="183">
        <f t="shared" si="7"/>
        <v>21516.171228843516</v>
      </c>
      <c r="AA24" s="181" t="s">
        <v>74</v>
      </c>
      <c r="AC24" s="182">
        <f t="shared" si="11"/>
        <v>72064854.390541077</v>
      </c>
      <c r="AD24" s="191">
        <f t="shared" si="8"/>
        <v>21166.467455529666</v>
      </c>
    </row>
    <row r="25" spans="1:30" ht="14.4">
      <c r="A25" s="187">
        <v>34608</v>
      </c>
      <c r="B25" s="182">
        <v>7047848</v>
      </c>
      <c r="C25" s="182">
        <v>123738.67508</v>
      </c>
      <c r="D25" s="182">
        <f t="shared" si="0"/>
        <v>6924109.3249199996</v>
      </c>
      <c r="E25" s="188">
        <v>-96018.163310309872</v>
      </c>
      <c r="F25" s="189">
        <f t="shared" si="9"/>
        <v>-28456.839576309547</v>
      </c>
      <c r="G25" s="182">
        <f t="shared" si="1"/>
        <v>7143866.1633103099</v>
      </c>
      <c r="I25" s="182">
        <f t="shared" si="2"/>
        <v>7020127.4882303094</v>
      </c>
      <c r="K25" s="182">
        <v>6444284.2000000002</v>
      </c>
      <c r="M25" s="188">
        <f t="shared" si="3"/>
        <v>6533648.52163292</v>
      </c>
      <c r="N25" s="189">
        <f t="shared" si="4"/>
        <v>-89364.321632919833</v>
      </c>
      <c r="O25" s="189">
        <f t="shared" si="10"/>
        <v>6816428.5596541874</v>
      </c>
      <c r="Q25" s="185"/>
      <c r="S25" s="190">
        <f t="shared" si="6"/>
        <v>73642711.085296333</v>
      </c>
      <c r="W25" s="182">
        <v>3410415</v>
      </c>
      <c r="X25" s="183">
        <f t="shared" si="7"/>
        <v>21593.475012658677</v>
      </c>
      <c r="AA25" s="181" t="s">
        <v>75</v>
      </c>
      <c r="AC25" s="182">
        <f t="shared" si="11"/>
        <v>72841438.839576319</v>
      </c>
      <c r="AD25" s="191">
        <f t="shared" si="8"/>
        <v>21358.526407952206</v>
      </c>
    </row>
    <row r="26" spans="1:30" ht="14.4">
      <c r="A26" s="187">
        <v>34639</v>
      </c>
      <c r="B26" s="182">
        <v>6271620</v>
      </c>
      <c r="C26" s="182">
        <v>114914.9164</v>
      </c>
      <c r="D26" s="182">
        <f t="shared" si="0"/>
        <v>6156705.0835999995</v>
      </c>
      <c r="E26" s="188">
        <v>408440.1989371907</v>
      </c>
      <c r="F26" s="189">
        <f t="shared" si="9"/>
        <v>-412990.42568058893</v>
      </c>
      <c r="G26" s="182">
        <f t="shared" si="1"/>
        <v>5863179.8010628093</v>
      </c>
      <c r="I26" s="182">
        <f t="shared" si="2"/>
        <v>5748264.8846628089</v>
      </c>
      <c r="K26" s="182">
        <v>6132034.8015000001</v>
      </c>
      <c r="M26" s="188">
        <f t="shared" si="3"/>
        <v>5725231.2466430338</v>
      </c>
      <c r="N26" s="189">
        <f t="shared" si="4"/>
        <v>406803.55485696625</v>
      </c>
      <c r="O26" s="189">
        <f t="shared" si="10"/>
        <v>6129439.8841379769</v>
      </c>
      <c r="Q26" s="185"/>
      <c r="S26" s="190">
        <f t="shared" si="6"/>
        <v>73959278.327594116</v>
      </c>
      <c r="W26" s="182">
        <v>3416217.1666666665</v>
      </c>
      <c r="X26" s="183">
        <f t="shared" si="7"/>
        <v>21649.466272004895</v>
      </c>
      <c r="AA26" s="181" t="s">
        <v>76</v>
      </c>
      <c r="AC26" s="182">
        <f t="shared" si="11"/>
        <v>74429347.425680593</v>
      </c>
      <c r="AD26" s="191">
        <f t="shared" si="8"/>
        <v>21787.065574143271</v>
      </c>
    </row>
    <row r="27" spans="1:30" ht="14.4">
      <c r="A27" s="187">
        <v>34669</v>
      </c>
      <c r="B27" s="182">
        <v>6056683</v>
      </c>
      <c r="C27" s="182">
        <v>88596.173060000001</v>
      </c>
      <c r="D27" s="182">
        <f t="shared" si="0"/>
        <v>5968086.8269400001</v>
      </c>
      <c r="E27" s="188">
        <v>-45211.736389701255</v>
      </c>
      <c r="F27" s="189">
        <f t="shared" si="9"/>
        <v>165461.06609289162</v>
      </c>
      <c r="G27" s="182">
        <f t="shared" si="1"/>
        <v>6101894.7363897013</v>
      </c>
      <c r="I27" s="182">
        <f t="shared" si="2"/>
        <v>6013298.5633297013</v>
      </c>
      <c r="K27" s="182">
        <v>5745992.3495000005</v>
      </c>
      <c r="M27" s="188">
        <f t="shared" si="3"/>
        <v>5789521.5907687694</v>
      </c>
      <c r="N27" s="189">
        <f t="shared" si="4"/>
        <v>-43529.241268768907</v>
      </c>
      <c r="O27" s="189">
        <f t="shared" si="10"/>
        <v>5757376.4187059011</v>
      </c>
      <c r="Q27" s="185"/>
      <c r="S27" s="190">
        <f t="shared" si="6"/>
        <v>74177943.3824424</v>
      </c>
      <c r="W27" s="182">
        <v>3422186.6666666665</v>
      </c>
      <c r="X27" s="183">
        <f t="shared" si="7"/>
        <v>21675.598267319063</v>
      </c>
      <c r="Y27" s="192">
        <f t="shared" ref="Y27" si="12">X27/X15-1</f>
        <v>2.4010742772440086E-2</v>
      </c>
      <c r="AA27" s="181" t="s">
        <v>77</v>
      </c>
      <c r="AB27" s="181">
        <f>YEAR(A27)</f>
        <v>1994</v>
      </c>
      <c r="AC27" s="182">
        <f>SUM(G16:G27)</f>
        <v>80553057.670296803</v>
      </c>
      <c r="AD27" s="191">
        <f t="shared" si="8"/>
        <v>23538.475693016007</v>
      </c>
    </row>
    <row r="28" spans="1:30" ht="14.4">
      <c r="A28" s="187">
        <v>34700</v>
      </c>
      <c r="B28" s="182">
        <v>6015009</v>
      </c>
      <c r="C28" s="182">
        <v>98357.114319999993</v>
      </c>
      <c r="D28" s="182">
        <f t="shared" si="0"/>
        <v>5916651.8856800003</v>
      </c>
      <c r="E28" s="188">
        <v>-147844.27226778865</v>
      </c>
      <c r="F28" s="189">
        <f t="shared" si="9"/>
        <v>413644.15557801537</v>
      </c>
      <c r="G28" s="182">
        <f t="shared" si="1"/>
        <v>6162853.2722677886</v>
      </c>
      <c r="I28" s="182">
        <f t="shared" si="2"/>
        <v>6064496.1579477889</v>
      </c>
      <c r="K28" s="182">
        <v>5561348.1749999998</v>
      </c>
      <c r="M28" s="188">
        <f t="shared" si="3"/>
        <v>5700314.1797011821</v>
      </c>
      <c r="N28" s="189">
        <f t="shared" si="4"/>
        <v>-138966.00470118225</v>
      </c>
      <c r="O28" s="189">
        <f t="shared" si="10"/>
        <v>5744917.8852349762</v>
      </c>
      <c r="Q28" s="185"/>
      <c r="S28" s="190">
        <f t="shared" si="6"/>
        <v>74309288.953081787</v>
      </c>
      <c r="W28" s="182">
        <v>3428148</v>
      </c>
      <c r="X28" s="183">
        <f t="shared" si="7"/>
        <v>21676.219624439138</v>
      </c>
      <c r="AA28" s="181" t="s">
        <v>66</v>
      </c>
      <c r="AC28" s="182">
        <f t="shared" si="11"/>
        <v>74583342.844421998</v>
      </c>
      <c r="AD28" s="191">
        <f t="shared" si="8"/>
        <v>21756.161882282209</v>
      </c>
    </row>
    <row r="29" spans="1:30" ht="14.4">
      <c r="A29" s="187">
        <v>34731</v>
      </c>
      <c r="B29" s="182">
        <v>5665745</v>
      </c>
      <c r="C29" s="182">
        <v>102162.26906999999</v>
      </c>
      <c r="D29" s="182">
        <f t="shared" si="0"/>
        <v>5563582.7309299996</v>
      </c>
      <c r="E29" s="188">
        <v>8456.3719323398545</v>
      </c>
      <c r="F29" s="189">
        <f t="shared" si="9"/>
        <v>220108.45361392666</v>
      </c>
      <c r="G29" s="182">
        <f t="shared" si="1"/>
        <v>5657288.6280676601</v>
      </c>
      <c r="I29" s="182">
        <f t="shared" si="2"/>
        <v>5555126.3589976598</v>
      </c>
      <c r="K29" s="182">
        <v>5425186.4194999998</v>
      </c>
      <c r="M29" s="188">
        <f t="shared" si="3"/>
        <v>5416940.4031496868</v>
      </c>
      <c r="N29" s="189">
        <f t="shared" si="4"/>
        <v>8246.0163503130898</v>
      </c>
      <c r="O29" s="189">
        <f t="shared" si="10"/>
        <v>5558627.2914254349</v>
      </c>
      <c r="Q29" s="185"/>
      <c r="S29" s="190">
        <f t="shared" si="6"/>
        <v>74487995.545039743</v>
      </c>
      <c r="W29" s="182">
        <v>3433992.5833333335</v>
      </c>
      <c r="X29" s="183">
        <f t="shared" si="7"/>
        <v>21691.367624543665</v>
      </c>
      <c r="AA29" s="181" t="s">
        <v>67</v>
      </c>
      <c r="AC29" s="182">
        <f t="shared" si="11"/>
        <v>75479847.546386078</v>
      </c>
      <c r="AD29" s="191">
        <f t="shared" si="8"/>
        <v>21980.201096741665</v>
      </c>
    </row>
    <row r="30" spans="1:30" ht="14.4">
      <c r="A30" s="187">
        <v>34759</v>
      </c>
      <c r="B30" s="182">
        <v>6008700</v>
      </c>
      <c r="C30" s="182">
        <v>92868.412209999995</v>
      </c>
      <c r="D30" s="182">
        <f t="shared" si="0"/>
        <v>5915831.5877900003</v>
      </c>
      <c r="E30" s="188">
        <v>-177112.22541885357</v>
      </c>
      <c r="F30" s="189">
        <f t="shared" si="9"/>
        <v>11182.27673153393</v>
      </c>
      <c r="G30" s="182">
        <f t="shared" si="1"/>
        <v>6185812.2254188536</v>
      </c>
      <c r="I30" s="182">
        <f t="shared" si="2"/>
        <v>6092943.8132088538</v>
      </c>
      <c r="K30" s="182">
        <v>5336792.8849999998</v>
      </c>
      <c r="M30" s="188">
        <f t="shared" si="3"/>
        <v>5496569.4524081601</v>
      </c>
      <c r="N30" s="189">
        <f t="shared" si="4"/>
        <v>-159776.56740816031</v>
      </c>
      <c r="O30" s="189">
        <f t="shared" si="10"/>
        <v>5456754.9277789239</v>
      </c>
      <c r="Q30" s="185"/>
      <c r="S30" s="190">
        <f t="shared" si="6"/>
        <v>74709897.633873537</v>
      </c>
      <c r="W30" s="182">
        <v>3439537.1666666665</v>
      </c>
      <c r="X30" s="183">
        <f t="shared" si="7"/>
        <v>21720.915929591942</v>
      </c>
      <c r="AA30" s="181" t="s">
        <v>68</v>
      </c>
      <c r="AC30" s="182">
        <f t="shared" si="11"/>
        <v>75323547.723268464</v>
      </c>
      <c r="AD30" s="191">
        <f t="shared" si="8"/>
        <v>21899.326587671745</v>
      </c>
    </row>
    <row r="31" spans="1:30" ht="14.4">
      <c r="A31" s="187">
        <v>34790</v>
      </c>
      <c r="B31" s="182">
        <v>6411519</v>
      </c>
      <c r="C31" s="182">
        <v>103857.14849000001</v>
      </c>
      <c r="D31" s="182">
        <f t="shared" si="0"/>
        <v>6307661.8515100004</v>
      </c>
      <c r="E31" s="188">
        <v>81095.99532860145</v>
      </c>
      <c r="F31" s="189">
        <f t="shared" si="9"/>
        <v>-474651.06521658879</v>
      </c>
      <c r="G31" s="182">
        <f t="shared" si="1"/>
        <v>6330423.0046713986</v>
      </c>
      <c r="I31" s="182">
        <f t="shared" si="2"/>
        <v>6226565.856181399</v>
      </c>
      <c r="K31" s="182">
        <v>5880921.7015000004</v>
      </c>
      <c r="M31" s="188">
        <f t="shared" si="3"/>
        <v>5805312.1951472545</v>
      </c>
      <c r="N31" s="189">
        <f t="shared" si="4"/>
        <v>75609.506352745928</v>
      </c>
      <c r="O31" s="189">
        <f t="shared" si="10"/>
        <v>5650940.8237777073</v>
      </c>
      <c r="Q31" s="185"/>
      <c r="S31" s="190">
        <f t="shared" si="6"/>
        <v>74958400.983298436</v>
      </c>
      <c r="W31" s="182">
        <v>3444791.25</v>
      </c>
      <c r="X31" s="183">
        <f t="shared" si="7"/>
        <v>21759.92550587744</v>
      </c>
      <c r="AA31" s="181" t="s">
        <v>69</v>
      </c>
      <c r="AC31" s="182">
        <f t="shared" si="11"/>
        <v>75450660.065216586</v>
      </c>
      <c r="AD31" s="191">
        <f t="shared" si="8"/>
        <v>21902.825044976697</v>
      </c>
    </row>
    <row r="32" spans="1:30" ht="14.4">
      <c r="A32" s="187">
        <v>34820</v>
      </c>
      <c r="B32" s="182">
        <v>8093416</v>
      </c>
      <c r="C32" s="182">
        <v>156079.57813000001</v>
      </c>
      <c r="D32" s="182">
        <f t="shared" si="0"/>
        <v>7937336.4218699997</v>
      </c>
      <c r="E32" s="188">
        <v>918095.1224305965</v>
      </c>
      <c r="F32" s="189">
        <f t="shared" si="9"/>
        <v>-760906.92915366124</v>
      </c>
      <c r="G32" s="182">
        <f t="shared" si="1"/>
        <v>7175320.8775694035</v>
      </c>
      <c r="I32" s="182">
        <f t="shared" si="2"/>
        <v>7019241.2994394032</v>
      </c>
      <c r="K32" s="182">
        <v>6855239.0010000002</v>
      </c>
      <c r="M32" s="188">
        <f t="shared" si="3"/>
        <v>6062307.8266865751</v>
      </c>
      <c r="N32" s="189">
        <f t="shared" si="4"/>
        <v>792931.17431342509</v>
      </c>
      <c r="O32" s="189">
        <f t="shared" si="10"/>
        <v>5933810.0109169148</v>
      </c>
      <c r="Q32" s="185"/>
      <c r="S32" s="190">
        <f t="shared" si="6"/>
        <v>75143010.552894592</v>
      </c>
      <c r="W32" s="182">
        <v>3450104.4166666665</v>
      </c>
      <c r="X32" s="183">
        <f t="shared" si="7"/>
        <v>21779.923584311211</v>
      </c>
      <c r="AA32" s="181" t="s">
        <v>70</v>
      </c>
      <c r="AC32" s="182">
        <f t="shared" si="11"/>
        <v>74923184.929153651</v>
      </c>
      <c r="AD32" s="191">
        <f t="shared" si="8"/>
        <v>21716.20794061097</v>
      </c>
    </row>
    <row r="33" spans="1:30" ht="14.4">
      <c r="A33" s="187">
        <v>34851</v>
      </c>
      <c r="B33" s="182">
        <v>7631343</v>
      </c>
      <c r="C33" s="182">
        <v>142380.75735</v>
      </c>
      <c r="D33" s="182">
        <f t="shared" si="0"/>
        <v>7488962.2426500004</v>
      </c>
      <c r="E33" s="188">
        <v>-169765.86458998919</v>
      </c>
      <c r="F33" s="189">
        <f t="shared" si="9"/>
        <v>4989.2032661428675</v>
      </c>
      <c r="G33" s="182">
        <f t="shared" si="1"/>
        <v>7801108.8645899892</v>
      </c>
      <c r="I33" s="182">
        <f t="shared" si="2"/>
        <v>7658728.1072399896</v>
      </c>
      <c r="K33" s="182">
        <v>7318497.5564999999</v>
      </c>
      <c r="M33" s="188">
        <f t="shared" si="3"/>
        <v>7484399.1894529937</v>
      </c>
      <c r="N33" s="189">
        <f t="shared" si="4"/>
        <v>-165901.63295299374</v>
      </c>
      <c r="O33" s="189">
        <f t="shared" si="10"/>
        <v>6773353.5080697844</v>
      </c>
      <c r="Q33" s="185"/>
      <c r="S33" s="190">
        <f t="shared" si="6"/>
        <v>75512838.74771674</v>
      </c>
      <c r="W33" s="182">
        <v>3455883</v>
      </c>
      <c r="X33" s="183">
        <f t="shared" si="7"/>
        <v>21850.519461369709</v>
      </c>
      <c r="AA33" s="181" t="s">
        <v>71</v>
      </c>
      <c r="AC33" s="182">
        <f t="shared" si="11"/>
        <v>74635668.796733856</v>
      </c>
      <c r="AD33" s="191">
        <f t="shared" si="8"/>
        <v>21596.700118821689</v>
      </c>
    </row>
    <row r="34" spans="1:30" ht="14.4">
      <c r="A34" s="187">
        <v>34881</v>
      </c>
      <c r="B34" s="182">
        <v>8257163</v>
      </c>
      <c r="C34" s="182">
        <v>164400.1746</v>
      </c>
      <c r="D34" s="182">
        <f t="shared" si="0"/>
        <v>8092762.8254000004</v>
      </c>
      <c r="E34" s="188">
        <v>-24906.973265087232</v>
      </c>
      <c r="F34" s="189">
        <f t="shared" si="9"/>
        <v>14117.730013837107</v>
      </c>
      <c r="G34" s="182">
        <f t="shared" si="1"/>
        <v>8282069.9732650872</v>
      </c>
      <c r="I34" s="182">
        <f t="shared" si="2"/>
        <v>8117669.7986650877</v>
      </c>
      <c r="K34" s="182">
        <v>7253803.568500001</v>
      </c>
      <c r="M34" s="188">
        <f t="shared" si="3"/>
        <v>7276128.4895991059</v>
      </c>
      <c r="N34" s="189">
        <f t="shared" si="4"/>
        <v>-22324.921099104919</v>
      </c>
      <c r="O34" s="189">
        <f t="shared" si="10"/>
        <v>7380263.8395260498</v>
      </c>
      <c r="Q34" s="185"/>
      <c r="S34" s="190">
        <f t="shared" si="6"/>
        <v>75829427.867417246</v>
      </c>
      <c r="W34" s="182">
        <v>3461834.3333333335</v>
      </c>
      <c r="X34" s="183">
        <f t="shared" si="7"/>
        <v>21904.406902800154</v>
      </c>
      <c r="AA34" s="181" t="s">
        <v>72</v>
      </c>
      <c r="AC34" s="182">
        <f t="shared" si="11"/>
        <v>74302688.269986168</v>
      </c>
      <c r="AD34" s="191">
        <f t="shared" si="8"/>
        <v>21463.386492686823</v>
      </c>
    </row>
    <row r="35" spans="1:30" ht="14.4">
      <c r="A35" s="187">
        <v>34912</v>
      </c>
      <c r="B35" s="182">
        <v>8392514</v>
      </c>
      <c r="C35" s="182">
        <v>166699.63621</v>
      </c>
      <c r="D35" s="182">
        <f t="shared" si="0"/>
        <v>8225814.3637899999</v>
      </c>
      <c r="E35" s="188">
        <v>-78125.740334140137</v>
      </c>
      <c r="F35" s="189">
        <f t="shared" si="9"/>
        <v>453608.5349491192</v>
      </c>
      <c r="G35" s="182">
        <f t="shared" si="1"/>
        <v>8470639.7403341401</v>
      </c>
      <c r="I35" s="182">
        <f t="shared" si="2"/>
        <v>8303940.10412414</v>
      </c>
      <c r="K35" s="182">
        <v>7354505.4584999997</v>
      </c>
      <c r="M35" s="188">
        <f t="shared" si="3"/>
        <v>7424355.8293357519</v>
      </c>
      <c r="N35" s="189">
        <f t="shared" si="4"/>
        <v>-69850.370835752226</v>
      </c>
      <c r="O35" s="189">
        <f t="shared" si="10"/>
        <v>7350242.1594674289</v>
      </c>
      <c r="Q35" s="185"/>
      <c r="S35" s="190">
        <f t="shared" si="6"/>
        <v>75817176.450633913</v>
      </c>
      <c r="W35" s="182">
        <v>3467288.4166666665</v>
      </c>
      <c r="X35" s="183">
        <f t="shared" si="7"/>
        <v>21866.417597738226</v>
      </c>
      <c r="AA35" s="181" t="s">
        <v>73</v>
      </c>
      <c r="AC35" s="182">
        <f t="shared" si="11"/>
        <v>74287437.465050876</v>
      </c>
      <c r="AD35" s="191">
        <f t="shared" si="8"/>
        <v>21425.225864673899</v>
      </c>
    </row>
    <row r="36" spans="1:30" ht="14.4">
      <c r="A36" s="187">
        <v>34943</v>
      </c>
      <c r="B36" s="182">
        <v>7942138</v>
      </c>
      <c r="C36" s="182">
        <v>150486.54526000001</v>
      </c>
      <c r="D36" s="182">
        <f t="shared" si="0"/>
        <v>7791651.45474</v>
      </c>
      <c r="E36" s="188">
        <v>88513.938414828852</v>
      </c>
      <c r="F36" s="189">
        <f t="shared" si="9"/>
        <v>677102.7130528586</v>
      </c>
      <c r="G36" s="182">
        <f t="shared" si="1"/>
        <v>7853624.0615851711</v>
      </c>
      <c r="I36" s="182">
        <f t="shared" si="2"/>
        <v>7703137.5163251711</v>
      </c>
      <c r="K36" s="182">
        <v>7382302.120000001</v>
      </c>
      <c r="M36" s="188">
        <f t="shared" si="3"/>
        <v>7298438.4308957057</v>
      </c>
      <c r="N36" s="189">
        <f t="shared" si="4"/>
        <v>83863.689104295336</v>
      </c>
      <c r="O36" s="189">
        <f t="shared" si="10"/>
        <v>7361397.1301157288</v>
      </c>
      <c r="Q36" s="185"/>
      <c r="S36" s="190">
        <f t="shared" si="6"/>
        <v>75913552.438811019</v>
      </c>
      <c r="W36" s="182">
        <v>3472941.4166666665</v>
      </c>
      <c r="X36" s="183">
        <f t="shared" si="7"/>
        <v>21858.575579334978</v>
      </c>
      <c r="AA36" s="181" t="s">
        <v>74</v>
      </c>
      <c r="AC36" s="182">
        <f t="shared" si="11"/>
        <v>75174457.286947146</v>
      </c>
      <c r="AD36" s="191">
        <f t="shared" si="8"/>
        <v>21645.760255610556</v>
      </c>
    </row>
    <row r="37" spans="1:30" ht="14.4">
      <c r="A37" s="187">
        <v>34973</v>
      </c>
      <c r="B37" s="182">
        <v>7698083</v>
      </c>
      <c r="C37" s="182">
        <v>128554.08576</v>
      </c>
      <c r="D37" s="182">
        <f t="shared" si="0"/>
        <v>7569528.9142399998</v>
      </c>
      <c r="E37" s="188">
        <v>436304.57989507355</v>
      </c>
      <c r="F37" s="189">
        <f t="shared" si="9"/>
        <v>861634.81477799732</v>
      </c>
      <c r="G37" s="182">
        <f t="shared" si="1"/>
        <v>7261778.4201049265</v>
      </c>
      <c r="I37" s="182">
        <f t="shared" si="2"/>
        <v>7133224.3343449263</v>
      </c>
      <c r="K37" s="182">
        <v>6897417.2385000009</v>
      </c>
      <c r="M37" s="188">
        <f t="shared" si="3"/>
        <v>6499852.9032950103</v>
      </c>
      <c r="N37" s="189">
        <f t="shared" si="4"/>
        <v>397564.33520499058</v>
      </c>
      <c r="O37" s="189">
        <f t="shared" si="10"/>
        <v>6899145.6670953576</v>
      </c>
      <c r="Q37" s="185"/>
      <c r="S37" s="190">
        <f t="shared" si="6"/>
        <v>75996269.546252176</v>
      </c>
      <c r="W37" s="182">
        <v>3478632.5833333335</v>
      </c>
      <c r="X37" s="183">
        <f t="shared" si="7"/>
        <v>21846.592799240152</v>
      </c>
      <c r="AA37" s="181" t="s">
        <v>75</v>
      </c>
      <c r="AC37" s="182">
        <f t="shared" si="11"/>
        <v>75884215.185222015</v>
      </c>
      <c r="AD37" s="191">
        <f t="shared" si="8"/>
        <v>21814.380612886518</v>
      </c>
    </row>
    <row r="38" spans="1:30" ht="14.4">
      <c r="A38" s="187">
        <v>35004</v>
      </c>
      <c r="B38" s="182">
        <v>5996824</v>
      </c>
      <c r="C38" s="182">
        <v>85255.020950000006</v>
      </c>
      <c r="D38" s="182">
        <f t="shared" si="0"/>
        <v>5911568.9790500002</v>
      </c>
      <c r="E38" s="188">
        <v>-32214.01363351848</v>
      </c>
      <c r="F38" s="189">
        <f t="shared" si="9"/>
        <v>889499.19573588017</v>
      </c>
      <c r="G38" s="182">
        <f t="shared" si="1"/>
        <v>6029038.0136335185</v>
      </c>
      <c r="I38" s="182">
        <f t="shared" si="2"/>
        <v>5943782.9926835187</v>
      </c>
      <c r="K38" s="182">
        <v>6096818.6680000005</v>
      </c>
      <c r="M38" s="188">
        <f t="shared" si="3"/>
        <v>6130042.1659221388</v>
      </c>
      <c r="N38" s="189">
        <f t="shared" si="4"/>
        <v>-33223.497922138311</v>
      </c>
      <c r="O38" s="189">
        <f t="shared" si="10"/>
        <v>6314947.5346085746</v>
      </c>
      <c r="Q38" s="185"/>
      <c r="S38" s="190">
        <f t="shared" si="6"/>
        <v>76181777.196722776</v>
      </c>
      <c r="W38" s="182">
        <v>3483840.3333333335</v>
      </c>
      <c r="X38" s="183">
        <f t="shared" si="7"/>
        <v>21867.18388550033</v>
      </c>
      <c r="AA38" s="181" t="s">
        <v>76</v>
      </c>
      <c r="AC38" s="182">
        <f t="shared" si="11"/>
        <v>77282813.804264113</v>
      </c>
      <c r="AD38" s="191">
        <f t="shared" si="8"/>
        <v>22183.224950013719</v>
      </c>
    </row>
    <row r="39" spans="1:30" ht="14.4">
      <c r="A39" s="187">
        <v>35034</v>
      </c>
      <c r="B39" s="182">
        <v>6433661</v>
      </c>
      <c r="C39" s="182">
        <v>110018.63733</v>
      </c>
      <c r="D39" s="182">
        <f t="shared" si="0"/>
        <v>6323642.3626699997</v>
      </c>
      <c r="E39" s="188">
        <v>185870.18929362018</v>
      </c>
      <c r="F39" s="189">
        <f t="shared" si="9"/>
        <v>902496.91849206295</v>
      </c>
      <c r="G39" s="182">
        <f t="shared" si="1"/>
        <v>6247790.8107063798</v>
      </c>
      <c r="I39" s="182">
        <f t="shared" si="2"/>
        <v>6137772.1733763795</v>
      </c>
      <c r="K39" s="182">
        <v>6092829.8864999991</v>
      </c>
      <c r="M39" s="188">
        <f t="shared" si="3"/>
        <v>5913743.9452989502</v>
      </c>
      <c r="N39" s="189">
        <f t="shared" si="4"/>
        <v>179085.9412010489</v>
      </c>
      <c r="O39" s="189">
        <f t="shared" si="10"/>
        <v>6021893.055610545</v>
      </c>
      <c r="Q39" s="185"/>
      <c r="S39" s="190">
        <f t="shared" si="6"/>
        <v>76446293.833627433</v>
      </c>
      <c r="W39" s="182">
        <v>3488796</v>
      </c>
      <c r="X39" s="183">
        <f t="shared" si="7"/>
        <v>21911.94149317628</v>
      </c>
      <c r="Y39" s="192">
        <f t="shared" ref="Y39" si="13">X39/X27-1</f>
        <v>1.0903654097223159E-2</v>
      </c>
      <c r="AA39" s="181" t="s">
        <v>77</v>
      </c>
      <c r="AB39" s="181">
        <f>YEAR(A39)</f>
        <v>1995</v>
      </c>
      <c r="AC39" s="182">
        <f>SUM(G28:G39)</f>
        <v>83457747.892214313</v>
      </c>
      <c r="AD39" s="191">
        <f t="shared" si="8"/>
        <v>23921.647437171538</v>
      </c>
    </row>
    <row r="40" spans="1:30" ht="14.4">
      <c r="A40" s="187">
        <v>35065</v>
      </c>
      <c r="B40" s="182">
        <v>6505811</v>
      </c>
      <c r="C40" s="182">
        <v>110307.14033000001</v>
      </c>
      <c r="D40" s="182">
        <f t="shared" si="0"/>
        <v>6395503.8596700002</v>
      </c>
      <c r="E40" s="188">
        <v>23258.148038381711</v>
      </c>
      <c r="F40" s="189">
        <f t="shared" si="9"/>
        <v>1236211.3800534718</v>
      </c>
      <c r="G40" s="182">
        <f t="shared" si="1"/>
        <v>6482552.8519616183</v>
      </c>
      <c r="I40" s="182">
        <f t="shared" si="2"/>
        <v>6372245.7116316184</v>
      </c>
      <c r="K40" s="182">
        <v>6137086.8924999991</v>
      </c>
      <c r="M40" s="188">
        <f t="shared" si="3"/>
        <v>6114768.5140575627</v>
      </c>
      <c r="N40" s="189">
        <f t="shared" si="4"/>
        <v>22318.378442436457</v>
      </c>
      <c r="O40" s="189">
        <f t="shared" si="10"/>
        <v>6014256.2296782564</v>
      </c>
      <c r="Q40" s="185"/>
      <c r="S40" s="190">
        <f t="shared" si="6"/>
        <v>76715632.178070709</v>
      </c>
      <c r="W40" s="182">
        <v>3494032.75</v>
      </c>
      <c r="X40" s="183">
        <f t="shared" si="7"/>
        <v>21956.185779332125</v>
      </c>
      <c r="AA40" s="181" t="s">
        <v>66</v>
      </c>
      <c r="AC40" s="182">
        <f t="shared" si="11"/>
        <v>77294894.619946525</v>
      </c>
      <c r="AD40" s="191">
        <f t="shared" si="8"/>
        <v>22121.971987797344</v>
      </c>
    </row>
    <row r="41" spans="1:30" ht="14.4">
      <c r="A41" s="187">
        <v>35096</v>
      </c>
      <c r="B41" s="182">
        <v>6169078</v>
      </c>
      <c r="C41" s="182">
        <v>112866.83246999999</v>
      </c>
      <c r="D41" s="182">
        <f t="shared" si="0"/>
        <v>6056211.1675300002</v>
      </c>
      <c r="E41" s="188">
        <v>129317.62990230601</v>
      </c>
      <c r="F41" s="189">
        <f t="shared" si="9"/>
        <v>1251013.1561595136</v>
      </c>
      <c r="G41" s="182">
        <f t="shared" si="1"/>
        <v>6039760.370097694</v>
      </c>
      <c r="I41" s="182">
        <f t="shared" si="2"/>
        <v>5926893.5376276942</v>
      </c>
      <c r="K41" s="182">
        <v>5694769.5930000003</v>
      </c>
      <c r="M41" s="188">
        <f t="shared" si="3"/>
        <v>5573169.7864155099</v>
      </c>
      <c r="N41" s="189">
        <f t="shared" si="4"/>
        <v>121599.80658449046</v>
      </c>
      <c r="O41" s="189">
        <f t="shared" si="10"/>
        <v>5843969.1502365358</v>
      </c>
      <c r="Q41" s="185"/>
      <c r="S41" s="190">
        <f t="shared" si="6"/>
        <v>77000974.036881804</v>
      </c>
      <c r="W41" s="182">
        <v>3498980</v>
      </c>
      <c r="X41" s="183">
        <f t="shared" si="7"/>
        <v>22006.69167496865</v>
      </c>
      <c r="AA41" s="181" t="s">
        <v>67</v>
      </c>
      <c r="AC41" s="182">
        <f t="shared" si="11"/>
        <v>78120158.84384048</v>
      </c>
      <c r="AD41" s="191">
        <f t="shared" si="8"/>
        <v>22326.551979102616</v>
      </c>
    </row>
    <row r="42" spans="1:30" ht="14.4">
      <c r="A42" s="187">
        <v>35125</v>
      </c>
      <c r="B42" s="182">
        <v>6356735</v>
      </c>
      <c r="C42" s="182">
        <v>107288.75314</v>
      </c>
      <c r="D42" s="182">
        <f t="shared" si="0"/>
        <v>6249446.2468600003</v>
      </c>
      <c r="E42" s="188">
        <v>-15881.279799445532</v>
      </c>
      <c r="F42" s="189">
        <f t="shared" si="9"/>
        <v>1557443.0114806732</v>
      </c>
      <c r="G42" s="182">
        <f t="shared" si="1"/>
        <v>6372616.2797994455</v>
      </c>
      <c r="I42" s="182">
        <f t="shared" si="2"/>
        <v>6265327.5266594458</v>
      </c>
      <c r="K42" s="182">
        <v>5539912.4920000006</v>
      </c>
      <c r="M42" s="188">
        <f t="shared" si="3"/>
        <v>5553990.6833908139</v>
      </c>
      <c r="N42" s="189">
        <f t="shared" si="4"/>
        <v>-14078.191390813328</v>
      </c>
      <c r="O42" s="189">
        <f t="shared" si="10"/>
        <v>5563580.2349031623</v>
      </c>
      <c r="Q42" s="185"/>
      <c r="S42" s="190">
        <f t="shared" si="6"/>
        <v>77107799.344006032</v>
      </c>
      <c r="W42" s="182">
        <v>3503908.6666666665</v>
      </c>
      <c r="X42" s="183">
        <f t="shared" si="7"/>
        <v>22006.224099830812</v>
      </c>
      <c r="AA42" s="181" t="s">
        <v>68</v>
      </c>
      <c r="AC42" s="182">
        <f t="shared" si="11"/>
        <v>77974106.988519326</v>
      </c>
      <c r="AD42" s="191">
        <f t="shared" si="8"/>
        <v>22253.464461074993</v>
      </c>
    </row>
    <row r="43" spans="1:30" ht="14.4">
      <c r="A43" s="187">
        <v>35156</v>
      </c>
      <c r="B43" s="182">
        <v>6236698</v>
      </c>
      <c r="C43" s="182">
        <v>88200.472810000007</v>
      </c>
      <c r="D43" s="182">
        <f t="shared" si="0"/>
        <v>6148497.5271899998</v>
      </c>
      <c r="E43" s="188">
        <v>-205539.9755344782</v>
      </c>
      <c r="F43" s="189">
        <f t="shared" si="9"/>
        <v>1460465.7363526262</v>
      </c>
      <c r="G43" s="182">
        <f t="shared" si="1"/>
        <v>6442237.9755344782</v>
      </c>
      <c r="I43" s="182">
        <f t="shared" si="2"/>
        <v>6354037.502724478</v>
      </c>
      <c r="K43" s="182">
        <v>5719722.0674999999</v>
      </c>
      <c r="M43" s="188">
        <f t="shared" si="3"/>
        <v>5910928.379061331</v>
      </c>
      <c r="N43" s="189">
        <f t="shared" si="4"/>
        <v>-191206.31156133115</v>
      </c>
      <c r="O43" s="189">
        <f t="shared" si="10"/>
        <v>5732459.5312260725</v>
      </c>
      <c r="Q43" s="185"/>
      <c r="S43" s="190">
        <f t="shared" si="6"/>
        <v>77189318.051454395</v>
      </c>
      <c r="W43" s="182">
        <v>3509300.75</v>
      </c>
      <c r="X43" s="183">
        <f t="shared" si="7"/>
        <v>21995.640599186147</v>
      </c>
      <c r="AA43" s="181" t="s">
        <v>69</v>
      </c>
      <c r="AC43" s="182">
        <f t="shared" si="11"/>
        <v>78016300.263647377</v>
      </c>
      <c r="AD43" s="191">
        <f t="shared" si="8"/>
        <v>22231.295013300693</v>
      </c>
    </row>
    <row r="44" spans="1:30" ht="14.4">
      <c r="A44" s="187">
        <v>35186</v>
      </c>
      <c r="B44" s="182">
        <v>7483468</v>
      </c>
      <c r="C44" s="182">
        <v>122154.05819</v>
      </c>
      <c r="D44" s="182">
        <f t="shared" si="0"/>
        <v>7361313.9418099998</v>
      </c>
      <c r="E44" s="188">
        <v>74816.427922775969</v>
      </c>
      <c r="F44" s="189">
        <f t="shared" si="9"/>
        <v>336830.63838755153</v>
      </c>
      <c r="G44" s="182">
        <f t="shared" si="1"/>
        <v>7408651.572077224</v>
      </c>
      <c r="I44" s="182">
        <f t="shared" si="2"/>
        <v>7286497.5138872238</v>
      </c>
      <c r="K44" s="182">
        <v>6419542.0295000002</v>
      </c>
      <c r="M44" s="188">
        <f t="shared" si="3"/>
        <v>6354297.2637769366</v>
      </c>
      <c r="N44" s="189">
        <f t="shared" si="4"/>
        <v>65244.76572306361</v>
      </c>
      <c r="O44" s="189">
        <f t="shared" si="10"/>
        <v>6132612.8214191338</v>
      </c>
      <c r="Q44" s="185"/>
      <c r="S44" s="190">
        <f t="shared" si="6"/>
        <v>77388120.861956641</v>
      </c>
      <c r="W44" s="182">
        <v>3514740.6666666665</v>
      </c>
      <c r="X44" s="183">
        <f t="shared" si="7"/>
        <v>22018.159574586909</v>
      </c>
      <c r="AA44" s="181" t="s">
        <v>70</v>
      </c>
      <c r="AC44" s="182">
        <f t="shared" si="11"/>
        <v>77283217.361612454</v>
      </c>
      <c r="AD44" s="191">
        <f t="shared" si="8"/>
        <v>21988.31284895532</v>
      </c>
    </row>
    <row r="45" spans="1:30" ht="14.4">
      <c r="A45" s="187">
        <v>35217</v>
      </c>
      <c r="B45" s="182">
        <v>7516221</v>
      </c>
      <c r="C45" s="182">
        <v>124253.90476999999</v>
      </c>
      <c r="D45" s="182">
        <f t="shared" si="0"/>
        <v>7391967.0952300001</v>
      </c>
      <c r="E45" s="188">
        <v>-370605.05745338835</v>
      </c>
      <c r="F45" s="189">
        <f t="shared" si="9"/>
        <v>581412.93090031669</v>
      </c>
      <c r="G45" s="182">
        <f t="shared" si="1"/>
        <v>7886826.0574533883</v>
      </c>
      <c r="I45" s="182">
        <f t="shared" si="2"/>
        <v>7762572.1526833884</v>
      </c>
      <c r="K45" s="182">
        <v>7052787.6265000002</v>
      </c>
      <c r="M45" s="188">
        <f t="shared" si="3"/>
        <v>7406387.5180920847</v>
      </c>
      <c r="N45" s="189">
        <f t="shared" si="4"/>
        <v>-353599.89159208443</v>
      </c>
      <c r="O45" s="189">
        <f t="shared" si="10"/>
        <v>6880342.3909345102</v>
      </c>
      <c r="Q45" s="185"/>
      <c r="S45" s="190">
        <f t="shared" si="6"/>
        <v>77495109.74482137</v>
      </c>
      <c r="W45" s="182">
        <v>3520026.75</v>
      </c>
      <c r="X45" s="183">
        <f t="shared" si="7"/>
        <v>22015.488872299444</v>
      </c>
      <c r="AA45" s="181" t="s">
        <v>71</v>
      </c>
      <c r="AC45" s="182">
        <f t="shared" si="11"/>
        <v>76890760.069099694</v>
      </c>
      <c r="AD45" s="191">
        <f t="shared" si="8"/>
        <v>21843.799928253302</v>
      </c>
    </row>
    <row r="46" spans="1:30" ht="14.4">
      <c r="A46" s="187">
        <v>35247</v>
      </c>
      <c r="B46" s="182">
        <v>8870675</v>
      </c>
      <c r="C46" s="182">
        <v>162731.00706999999</v>
      </c>
      <c r="D46" s="182">
        <f t="shared" si="0"/>
        <v>8707943.9929300006</v>
      </c>
      <c r="E46" s="188">
        <v>242251.84741833061</v>
      </c>
      <c r="F46" s="189">
        <f t="shared" si="9"/>
        <v>235714.84671201557</v>
      </c>
      <c r="G46" s="182">
        <f t="shared" si="1"/>
        <v>8628423.1525816694</v>
      </c>
      <c r="I46" s="182">
        <f t="shared" si="2"/>
        <v>8465692.14551167</v>
      </c>
      <c r="K46" s="182">
        <v>7579308.7284999993</v>
      </c>
      <c r="M46" s="188">
        <f t="shared" si="3"/>
        <v>7368455.1052883957</v>
      </c>
      <c r="N46" s="189">
        <f t="shared" si="4"/>
        <v>210853.62321160361</v>
      </c>
      <c r="O46" s="189">
        <f t="shared" si="10"/>
        <v>7387421.3116902402</v>
      </c>
      <c r="Q46" s="185"/>
      <c r="S46" s="190">
        <f t="shared" si="6"/>
        <v>77502267.216985554</v>
      </c>
      <c r="W46" s="182">
        <v>3525384.75</v>
      </c>
      <c r="X46" s="183">
        <f t="shared" si="7"/>
        <v>21984.059248280788</v>
      </c>
      <c r="AA46" s="181" t="s">
        <v>72</v>
      </c>
      <c r="AC46" s="182">
        <f t="shared" si="11"/>
        <v>76495516.153287992</v>
      </c>
      <c r="AD46" s="191">
        <f t="shared" si="8"/>
        <v>21698.48727951977</v>
      </c>
    </row>
    <row r="47" spans="1:30" ht="14.4">
      <c r="A47" s="187">
        <v>35278</v>
      </c>
      <c r="B47" s="182">
        <v>8446713</v>
      </c>
      <c r="C47" s="182">
        <v>151725.73414000002</v>
      </c>
      <c r="D47" s="182">
        <f t="shared" si="0"/>
        <v>8294987.2658599997</v>
      </c>
      <c r="E47" s="188">
        <v>-324363.69426111318</v>
      </c>
      <c r="F47" s="189">
        <f t="shared" si="9"/>
        <v>556092.43446448632</v>
      </c>
      <c r="G47" s="182">
        <f t="shared" si="1"/>
        <v>8771076.6942611132</v>
      </c>
      <c r="I47" s="182">
        <f t="shared" si="2"/>
        <v>8619350.9601211138</v>
      </c>
      <c r="K47" s="182">
        <v>7744756.6679999987</v>
      </c>
      <c r="M47" s="188">
        <f t="shared" si="3"/>
        <v>8047604.376317177</v>
      </c>
      <c r="N47" s="189">
        <f t="shared" si="4"/>
        <v>-302847.7083171783</v>
      </c>
      <c r="O47" s="189">
        <f t="shared" si="10"/>
        <v>7708029.7408027863</v>
      </c>
      <c r="Q47" s="185"/>
      <c r="S47" s="190">
        <f t="shared" si="6"/>
        <v>77860054.798320904</v>
      </c>
      <c r="W47" s="182">
        <v>3530778</v>
      </c>
      <c r="X47" s="183">
        <f t="shared" si="7"/>
        <v>22051.812602865688</v>
      </c>
      <c r="AA47" s="181" t="s">
        <v>73</v>
      </c>
      <c r="AC47" s="182">
        <f t="shared" si="11"/>
        <v>76653299.565535516</v>
      </c>
      <c r="AD47" s="191">
        <f t="shared" si="8"/>
        <v>21710.030923931074</v>
      </c>
    </row>
    <row r="48" spans="1:30" ht="14.4">
      <c r="A48" s="187">
        <v>35309</v>
      </c>
      <c r="B48" s="182">
        <v>8105567</v>
      </c>
      <c r="C48" s="182">
        <v>138066.06160000002</v>
      </c>
      <c r="D48" s="182">
        <f t="shared" si="0"/>
        <v>7967500.9384000003</v>
      </c>
      <c r="E48" s="188">
        <v>72571.887683562934</v>
      </c>
      <c r="F48" s="189">
        <f t="shared" si="9"/>
        <v>143214.80178854428</v>
      </c>
      <c r="G48" s="182">
        <f t="shared" si="1"/>
        <v>8032995.1123164371</v>
      </c>
      <c r="I48" s="182">
        <f t="shared" si="2"/>
        <v>7894929.0507164374</v>
      </c>
      <c r="K48" s="182">
        <v>7369056.2324999999</v>
      </c>
      <c r="M48" s="188">
        <f t="shared" si="3"/>
        <v>7301935.2713136133</v>
      </c>
      <c r="N48" s="189">
        <f t="shared" si="4"/>
        <v>67120.961186386645</v>
      </c>
      <c r="O48" s="189">
        <f t="shared" si="10"/>
        <v>7674769.8238153951</v>
      </c>
      <c r="Q48" s="185"/>
      <c r="S48" s="190">
        <f t="shared" si="6"/>
        <v>78173427.492020562</v>
      </c>
      <c r="W48" s="182">
        <v>3535918.4166666665</v>
      </c>
      <c r="X48" s="183">
        <f t="shared" si="7"/>
        <v>22108.379855018025</v>
      </c>
      <c r="AA48" s="181" t="s">
        <v>74</v>
      </c>
      <c r="AC48" s="182">
        <f t="shared" si="11"/>
        <v>77570752.198211446</v>
      </c>
      <c r="AD48" s="191">
        <f t="shared" si="8"/>
        <v>21937.936076969192</v>
      </c>
    </row>
    <row r="49" spans="1:30" ht="14.4">
      <c r="A49" s="187">
        <v>35339</v>
      </c>
      <c r="B49" s="182">
        <v>7115716</v>
      </c>
      <c r="C49" s="182">
        <v>87512.161919999999</v>
      </c>
      <c r="D49" s="182">
        <f t="shared" si="0"/>
        <v>7028203.8380800001</v>
      </c>
      <c r="E49" s="188">
        <v>-330554.68001141585</v>
      </c>
      <c r="F49" s="189">
        <f t="shared" si="9"/>
        <v>-220517.89042296633</v>
      </c>
      <c r="G49" s="182">
        <f t="shared" si="1"/>
        <v>7446270.6800114159</v>
      </c>
      <c r="I49" s="182">
        <f t="shared" si="2"/>
        <v>7358758.518091416</v>
      </c>
      <c r="K49" s="182">
        <v>6643770.8574999999</v>
      </c>
      <c r="M49" s="188">
        <f t="shared" si="3"/>
        <v>6956244.6559933042</v>
      </c>
      <c r="N49" s="189">
        <f t="shared" si="4"/>
        <v>-312473.79849330429</v>
      </c>
      <c r="O49" s="189">
        <f t="shared" si="10"/>
        <v>7129089.9636534583</v>
      </c>
      <c r="Q49" s="185"/>
      <c r="S49" s="190">
        <f t="shared" si="6"/>
        <v>78403371.788578674</v>
      </c>
      <c r="W49" s="182">
        <v>3540926</v>
      </c>
      <c r="X49" s="183">
        <f t="shared" si="7"/>
        <v>22142.053177213722</v>
      </c>
      <c r="AA49" s="181" t="s">
        <v>75</v>
      </c>
      <c r="AC49" s="182">
        <f t="shared" si="11"/>
        <v>78341968.89042297</v>
      </c>
      <c r="AD49" s="191">
        <f t="shared" si="8"/>
        <v>22124.712261827266</v>
      </c>
    </row>
    <row r="50" spans="1:30" ht="14.4">
      <c r="A50" s="187">
        <v>35370</v>
      </c>
      <c r="B50" s="182">
        <v>6008950</v>
      </c>
      <c r="C50" s="182">
        <v>78086.508320000008</v>
      </c>
      <c r="D50" s="182">
        <f t="shared" si="0"/>
        <v>5930863.49168</v>
      </c>
      <c r="E50" s="188">
        <v>-61148.985342311673</v>
      </c>
      <c r="F50" s="189">
        <f t="shared" si="9"/>
        <v>-518858.55680086371</v>
      </c>
      <c r="G50" s="182">
        <f t="shared" si="1"/>
        <v>6070098.9853423117</v>
      </c>
      <c r="I50" s="182">
        <f t="shared" si="2"/>
        <v>5992012.4770223117</v>
      </c>
      <c r="K50" s="182">
        <v>5970558.4215000002</v>
      </c>
      <c r="M50" s="188">
        <f t="shared" si="3"/>
        <v>6032116.6735005537</v>
      </c>
      <c r="N50" s="189">
        <f t="shared" si="4"/>
        <v>-61558.252000553533</v>
      </c>
      <c r="O50" s="189">
        <f t="shared" si="10"/>
        <v>6494180.664746929</v>
      </c>
      <c r="Q50" s="185"/>
      <c r="S50" s="190">
        <f t="shared" si="6"/>
        <v>78582604.918717027</v>
      </c>
      <c r="W50" s="182">
        <v>3545738.1666666665</v>
      </c>
      <c r="X50" s="183">
        <f t="shared" si="7"/>
        <v>22162.551554840891</v>
      </c>
      <c r="AA50" s="181" t="s">
        <v>76</v>
      </c>
      <c r="AC50" s="182">
        <f t="shared" si="11"/>
        <v>79759201.556800872</v>
      </c>
      <c r="AD50" s="191">
        <f t="shared" si="8"/>
        <v>22494.385599764169</v>
      </c>
    </row>
    <row r="51" spans="1:30" ht="14.4">
      <c r="A51" s="187">
        <v>35400</v>
      </c>
      <c r="B51" s="182">
        <v>6212417</v>
      </c>
      <c r="C51" s="182">
        <v>85921.072510000013</v>
      </c>
      <c r="D51" s="182">
        <f t="shared" si="0"/>
        <v>6126495.9274899997</v>
      </c>
      <c r="E51" s="188">
        <v>-208335.00948632974</v>
      </c>
      <c r="F51" s="189">
        <f t="shared" si="9"/>
        <v>-765877.73143679556</v>
      </c>
      <c r="G51" s="182">
        <f t="shared" si="1"/>
        <v>6420752.0094863297</v>
      </c>
      <c r="I51" s="182">
        <f t="shared" si="2"/>
        <v>6334830.9369763294</v>
      </c>
      <c r="K51" s="182">
        <v>5907810.1030000001</v>
      </c>
      <c r="M51" s="188">
        <f t="shared" si="3"/>
        <v>6108708.5755394567</v>
      </c>
      <c r="N51" s="189">
        <f t="shared" si="4"/>
        <v>-200898.47253945656</v>
      </c>
      <c r="O51" s="189">
        <f t="shared" si="10"/>
        <v>6070412.6245200057</v>
      </c>
      <c r="Q51" s="185"/>
      <c r="S51" s="190">
        <f t="shared" si="6"/>
        <v>78631124.487626493</v>
      </c>
      <c r="W51" s="182">
        <v>3550747.3333333335</v>
      </c>
      <c r="X51" s="183">
        <f t="shared" si="7"/>
        <v>22144.950655728575</v>
      </c>
      <c r="Y51" s="192">
        <f t="shared" ref="Y51" si="14">X51/X39-1</f>
        <v>1.0633889407967612E-2</v>
      </c>
      <c r="AA51" s="181" t="s">
        <v>77</v>
      </c>
      <c r="AB51" s="181">
        <f>YEAR(A51)</f>
        <v>1996</v>
      </c>
      <c r="AC51" s="182">
        <f>SUM(G40:G51)</f>
        <v>86002261.740923122</v>
      </c>
      <c r="AD51" s="191">
        <f t="shared" si="8"/>
        <v>24220.890327385481</v>
      </c>
    </row>
    <row r="52" spans="1:30" ht="14.4">
      <c r="A52" s="187">
        <v>35431</v>
      </c>
      <c r="B52" s="182">
        <v>6441844</v>
      </c>
      <c r="C52" s="182">
        <v>90930.668060000011</v>
      </c>
      <c r="D52" s="182">
        <f t="shared" si="0"/>
        <v>6350913.3319399999</v>
      </c>
      <c r="E52" s="188">
        <v>34140.670800143853</v>
      </c>
      <c r="F52" s="189">
        <f t="shared" si="9"/>
        <v>-997470.88896150701</v>
      </c>
      <c r="G52" s="182">
        <f t="shared" si="1"/>
        <v>6407703.3291998561</v>
      </c>
      <c r="I52" s="182">
        <f t="shared" si="2"/>
        <v>6316772.6611398561</v>
      </c>
      <c r="K52" s="182">
        <v>6009835.5149999997</v>
      </c>
      <c r="M52" s="188">
        <f t="shared" si="3"/>
        <v>5977528.3797650188</v>
      </c>
      <c r="N52" s="189">
        <f t="shared" si="4"/>
        <v>32307.135234980844</v>
      </c>
      <c r="O52" s="189">
        <f t="shared" si="10"/>
        <v>6043118.4776522378</v>
      </c>
      <c r="Q52" s="185"/>
      <c r="S52" s="190">
        <f t="shared" si="6"/>
        <v>78659986.735600471</v>
      </c>
      <c r="W52" s="182">
        <v>3555424.0833333335</v>
      </c>
      <c r="X52" s="183">
        <f t="shared" si="7"/>
        <v>22123.939336613257</v>
      </c>
      <c r="AA52" s="181" t="s">
        <v>66</v>
      </c>
      <c r="AC52" s="182">
        <f t="shared" si="11"/>
        <v>79519708.888961509</v>
      </c>
      <c r="AD52" s="191">
        <f t="shared" si="8"/>
        <v>22365.745133393208</v>
      </c>
    </row>
    <row r="53" spans="1:30" ht="14.4">
      <c r="A53" s="187">
        <v>35462</v>
      </c>
      <c r="B53" s="182">
        <v>5884214</v>
      </c>
      <c r="C53" s="182">
        <v>73519.364720000012</v>
      </c>
      <c r="D53" s="182">
        <f t="shared" si="0"/>
        <v>5810694.63528</v>
      </c>
      <c r="E53" s="188">
        <v>117341.95903462544</v>
      </c>
      <c r="F53" s="189">
        <f t="shared" si="9"/>
        <v>-1092647.8480636692</v>
      </c>
      <c r="G53" s="182">
        <f t="shared" si="1"/>
        <v>5766872.0409653746</v>
      </c>
      <c r="I53" s="182">
        <f t="shared" si="2"/>
        <v>5693352.6762453746</v>
      </c>
      <c r="K53" s="182">
        <v>6007697.2754999995</v>
      </c>
      <c r="M53" s="188">
        <f t="shared" si="3"/>
        <v>5886377.0183118191</v>
      </c>
      <c r="N53" s="189">
        <f t="shared" si="4"/>
        <v>121320.25718818046</v>
      </c>
      <c r="O53" s="189">
        <f t="shared" si="10"/>
        <v>5931952.6990384189</v>
      </c>
      <c r="Q53" s="185"/>
      <c r="S53" s="190">
        <f t="shared" si="6"/>
        <v>78747970.284402356</v>
      </c>
      <c r="W53" s="182">
        <v>3560402.8333333335</v>
      </c>
      <c r="X53" s="183">
        <f t="shared" si="7"/>
        <v>22117.713632610677</v>
      </c>
      <c r="AA53" s="181" t="s">
        <v>67</v>
      </c>
      <c r="AC53" s="182">
        <f t="shared" si="11"/>
        <v>79887651.848063648</v>
      </c>
      <c r="AD53" s="191">
        <f t="shared" si="8"/>
        <v>22437.812682356209</v>
      </c>
    </row>
    <row r="54" spans="1:30" ht="14.4">
      <c r="A54" s="187">
        <v>35490</v>
      </c>
      <c r="B54" s="182">
        <v>6858239</v>
      </c>
      <c r="C54" s="182">
        <v>91115.133849999998</v>
      </c>
      <c r="D54" s="182">
        <f t="shared" si="0"/>
        <v>6767123.8661500001</v>
      </c>
      <c r="E54" s="188">
        <v>450832.26396918017</v>
      </c>
      <c r="F54" s="189">
        <f t="shared" si="9"/>
        <v>-959424.60922959819</v>
      </c>
      <c r="G54" s="182">
        <f t="shared" si="1"/>
        <v>6407406.7360308198</v>
      </c>
      <c r="I54" s="182">
        <f t="shared" si="2"/>
        <v>6316291.60218082</v>
      </c>
      <c r="K54" s="182">
        <v>5985017.8650000002</v>
      </c>
      <c r="M54" s="188">
        <f t="shared" si="3"/>
        <v>5586290.250825407</v>
      </c>
      <c r="N54" s="189">
        <f t="shared" si="4"/>
        <v>398727.61417459324</v>
      </c>
      <c r="O54" s="189">
        <f t="shared" si="10"/>
        <v>5736333.634568613</v>
      </c>
      <c r="Q54" s="185"/>
      <c r="S54" s="190">
        <f t="shared" si="6"/>
        <v>78920723.684067801</v>
      </c>
      <c r="W54" s="182">
        <v>3565749.3333333335</v>
      </c>
      <c r="X54" s="183">
        <f t="shared" si="7"/>
        <v>22132.998230218032</v>
      </c>
      <c r="AA54" s="181" t="s">
        <v>68</v>
      </c>
      <c r="AC54" s="182">
        <f t="shared" si="11"/>
        <v>79281907.609229594</v>
      </c>
      <c r="AD54" s="191">
        <f t="shared" si="8"/>
        <v>22234.290803362583</v>
      </c>
    </row>
    <row r="55" spans="1:30" ht="14.4">
      <c r="A55" s="187">
        <v>35521</v>
      </c>
      <c r="B55" s="182">
        <v>6442265</v>
      </c>
      <c r="C55" s="182">
        <v>85149.352220000001</v>
      </c>
      <c r="D55" s="182">
        <f t="shared" si="0"/>
        <v>6357115.6477800002</v>
      </c>
      <c r="E55" s="188">
        <v>-204739.70090233255</v>
      </c>
      <c r="F55" s="189">
        <f t="shared" si="9"/>
        <v>-303052.36972593982</v>
      </c>
      <c r="G55" s="182">
        <f t="shared" si="1"/>
        <v>6647004.7009023326</v>
      </c>
      <c r="I55" s="182">
        <f t="shared" si="2"/>
        <v>6561855.3486823328</v>
      </c>
      <c r="K55" s="182">
        <v>5996273.6695000008</v>
      </c>
      <c r="M55" s="188">
        <f t="shared" si="3"/>
        <v>6189391.9554715138</v>
      </c>
      <c r="N55" s="189">
        <f t="shared" si="4"/>
        <v>-193118.28597151302</v>
      </c>
      <c r="O55" s="189">
        <f t="shared" si="10"/>
        <v>5887841.1031484604</v>
      </c>
      <c r="Q55" s="185"/>
      <c r="S55" s="190">
        <f t="shared" si="6"/>
        <v>79076105.255990192</v>
      </c>
      <c r="W55" s="182">
        <v>3570944.5833333335</v>
      </c>
      <c r="X55" s="183">
        <f t="shared" si="7"/>
        <v>22144.310394807591</v>
      </c>
      <c r="AA55" s="181" t="s">
        <v>69</v>
      </c>
      <c r="AC55" s="182">
        <f t="shared" si="11"/>
        <v>79247076.369725943</v>
      </c>
      <c r="AD55" s="191">
        <f t="shared" si="8"/>
        <v>22192.188794974798</v>
      </c>
    </row>
    <row r="56" spans="1:30" ht="14.4">
      <c r="A56" s="187">
        <v>35551</v>
      </c>
      <c r="B56" s="182">
        <v>7692928</v>
      </c>
      <c r="C56" s="182">
        <v>111068.28664000001</v>
      </c>
      <c r="D56" s="182">
        <f t="shared" si="0"/>
        <v>7581859.7133600004</v>
      </c>
      <c r="E56" s="188">
        <v>39076.409494733438</v>
      </c>
      <c r="F56" s="189">
        <f t="shared" si="9"/>
        <v>-582608.49855104834</v>
      </c>
      <c r="G56" s="182">
        <f t="shared" si="1"/>
        <v>7653851.5905052666</v>
      </c>
      <c r="I56" s="182">
        <f t="shared" si="2"/>
        <v>7542783.303865267</v>
      </c>
      <c r="K56" s="182">
        <v>6642815.0270000007</v>
      </c>
      <c r="M56" s="188">
        <f t="shared" si="3"/>
        <v>6608578.3924530149</v>
      </c>
      <c r="N56" s="189">
        <f t="shared" si="4"/>
        <v>34236.63454698585</v>
      </c>
      <c r="O56" s="189">
        <f t="shared" si="10"/>
        <v>6398985.1739622643</v>
      </c>
      <c r="Q56" s="185"/>
      <c r="S56" s="190">
        <f t="shared" si="6"/>
        <v>79342477.608533323</v>
      </c>
      <c r="W56" s="182">
        <v>3576183.0833333335</v>
      </c>
      <c r="X56" s="183">
        <f t="shared" si="7"/>
        <v>22186.357845689152</v>
      </c>
      <c r="AA56" s="181" t="s">
        <v>70</v>
      </c>
      <c r="AC56" s="182">
        <f t="shared" si="11"/>
        <v>78485429.498551041</v>
      </c>
      <c r="AD56" s="191">
        <f t="shared" si="8"/>
        <v>21946.703418046305</v>
      </c>
    </row>
    <row r="57" spans="1:30" ht="14.4">
      <c r="A57" s="187">
        <v>35582</v>
      </c>
      <c r="B57" s="182">
        <v>7989101</v>
      </c>
      <c r="C57" s="182">
        <v>123569.30497</v>
      </c>
      <c r="D57" s="182">
        <f t="shared" si="0"/>
        <v>7865531.6950300001</v>
      </c>
      <c r="E57" s="188">
        <v>-164104.40494443662</v>
      </c>
      <c r="F57" s="189">
        <f t="shared" si="9"/>
        <v>-172927.03160292655</v>
      </c>
      <c r="G57" s="182">
        <f t="shared" si="1"/>
        <v>8153205.4049444366</v>
      </c>
      <c r="I57" s="182">
        <f t="shared" si="2"/>
        <v>8029636.0999744367</v>
      </c>
      <c r="K57" s="182">
        <v>7412665.0060000001</v>
      </c>
      <c r="M57" s="188">
        <f t="shared" si="3"/>
        <v>7567320.9182799952</v>
      </c>
      <c r="N57" s="189">
        <f t="shared" si="4"/>
        <v>-154655.91227999516</v>
      </c>
      <c r="O57" s="189">
        <f t="shared" si="10"/>
        <v>7087949.6553665046</v>
      </c>
      <c r="Q57" s="185"/>
      <c r="S57" s="190">
        <f t="shared" si="6"/>
        <v>79550084.872965321</v>
      </c>
      <c r="W57" s="182">
        <v>3581385.4166666665</v>
      </c>
      <c r="X57" s="183">
        <f t="shared" si="7"/>
        <v>22212.098285418731</v>
      </c>
      <c r="AA57" s="181" t="s">
        <v>71</v>
      </c>
      <c r="AC57" s="182">
        <f t="shared" si="11"/>
        <v>78252455.031602919</v>
      </c>
      <c r="AD57" s="191">
        <f t="shared" si="8"/>
        <v>21849.772065145531</v>
      </c>
    </row>
    <row r="58" spans="1:30" ht="14.4">
      <c r="A58" s="187">
        <v>35612</v>
      </c>
      <c r="B58" s="182">
        <v>8761057</v>
      </c>
      <c r="C58" s="182">
        <v>148338.90771</v>
      </c>
      <c r="D58" s="182">
        <f t="shared" si="0"/>
        <v>8612718.0922899991</v>
      </c>
      <c r="E58" s="188">
        <v>13944.338008197024</v>
      </c>
      <c r="F58" s="189">
        <f t="shared" si="9"/>
        <v>-579283.28396569379</v>
      </c>
      <c r="G58" s="182">
        <f t="shared" si="1"/>
        <v>8747112.661991803</v>
      </c>
      <c r="I58" s="182">
        <f t="shared" si="2"/>
        <v>8598773.7542818021</v>
      </c>
      <c r="K58" s="182">
        <v>7699759.591</v>
      </c>
      <c r="M58" s="188">
        <f t="shared" si="3"/>
        <v>7687293.3696319889</v>
      </c>
      <c r="N58" s="189">
        <f t="shared" si="4"/>
        <v>12466.221368011087</v>
      </c>
      <c r="O58" s="189">
        <f t="shared" si="10"/>
        <v>7627307.1439559925</v>
      </c>
      <c r="Q58" s="185"/>
      <c r="S58" s="190">
        <f t="shared" si="6"/>
        <v>79789970.705231071</v>
      </c>
      <c r="W58" s="182">
        <v>3586913.8333333335</v>
      </c>
      <c r="X58" s="183">
        <f t="shared" si="7"/>
        <v>22244.741416350651</v>
      </c>
      <c r="AA58" s="181" t="s">
        <v>72</v>
      </c>
      <c r="AC58" s="182">
        <f t="shared" si="11"/>
        <v>77777237.283965692</v>
      </c>
      <c r="AD58" s="191">
        <f t="shared" si="8"/>
        <v>21683.609057228728</v>
      </c>
    </row>
    <row r="59" spans="1:30" ht="14.4">
      <c r="A59" s="187">
        <v>35643</v>
      </c>
      <c r="B59" s="182">
        <v>8749892</v>
      </c>
      <c r="C59" s="182">
        <v>152934.75020000001</v>
      </c>
      <c r="D59" s="182">
        <f t="shared" si="0"/>
        <v>8596957.2498000003</v>
      </c>
      <c r="E59" s="188">
        <v>-99575.483400885016</v>
      </c>
      <c r="F59" s="189">
        <f t="shared" si="9"/>
        <v>-240975.25169638358</v>
      </c>
      <c r="G59" s="182">
        <f t="shared" si="1"/>
        <v>8849467.483400885</v>
      </c>
      <c r="I59" s="182">
        <f t="shared" si="2"/>
        <v>8696532.7332008854</v>
      </c>
      <c r="K59" s="182">
        <v>7817577.2534999996</v>
      </c>
      <c r="M59" s="188">
        <f t="shared" si="3"/>
        <v>7908125.4569424596</v>
      </c>
      <c r="N59" s="189">
        <f t="shared" si="4"/>
        <v>-90548.203442459926</v>
      </c>
      <c r="O59" s="189">
        <f t="shared" si="10"/>
        <v>7797709.4132872242</v>
      </c>
      <c r="Q59" s="185"/>
      <c r="S59" s="190">
        <f t="shared" si="6"/>
        <v>79879650.377715498</v>
      </c>
      <c r="W59" s="182">
        <v>3592544.25</v>
      </c>
      <c r="X59" s="183">
        <f t="shared" si="7"/>
        <v>22234.841053861895</v>
      </c>
      <c r="AA59" s="181" t="s">
        <v>73</v>
      </c>
      <c r="AC59" s="182">
        <f t="shared" si="11"/>
        <v>77753273.251696378</v>
      </c>
      <c r="AD59" s="191">
        <f t="shared" si="8"/>
        <v>21642.954920234144</v>
      </c>
    </row>
    <row r="60" spans="1:30" ht="14.4">
      <c r="A60" s="187">
        <v>35674</v>
      </c>
      <c r="B60" s="182">
        <v>8061219</v>
      </c>
      <c r="C60" s="182">
        <v>125189.67625</v>
      </c>
      <c r="D60" s="182">
        <f t="shared" si="0"/>
        <v>7936029.3237500004</v>
      </c>
      <c r="E60" s="188">
        <v>-205668.40342766978</v>
      </c>
      <c r="F60" s="189">
        <f t="shared" si="9"/>
        <v>-413122.62278083153</v>
      </c>
      <c r="G60" s="182">
        <f t="shared" si="1"/>
        <v>8266887.4034276698</v>
      </c>
      <c r="I60" s="182">
        <f t="shared" si="2"/>
        <v>8141697.7271776702</v>
      </c>
      <c r="K60" s="182">
        <v>7689063.4919999996</v>
      </c>
      <c r="M60" s="188">
        <f t="shared" si="3"/>
        <v>7888331.5828475226</v>
      </c>
      <c r="N60" s="189">
        <f t="shared" si="4"/>
        <v>-199268.09084752295</v>
      </c>
      <c r="O60" s="189">
        <f t="shared" si="10"/>
        <v>7898228.5198949911</v>
      </c>
      <c r="Q60" s="185"/>
      <c r="S60" s="190">
        <f t="shared" si="6"/>
        <v>80103109.073795095</v>
      </c>
      <c r="T60" s="192">
        <f t="shared" ref="T60:T86" si="15">S60/S48-1</f>
        <v>2.4684622942642509E-2</v>
      </c>
      <c r="W60" s="182">
        <v>3598516.0833333335</v>
      </c>
      <c r="X60" s="183">
        <f t="shared" si="7"/>
        <v>22260.03919915649</v>
      </c>
      <c r="Y60" s="192">
        <f t="shared" ref="Y60:Y86" si="16">X60/X48-1</f>
        <v>6.8598126652885671E-3</v>
      </c>
      <c r="AA60" s="181" t="s">
        <v>74</v>
      </c>
      <c r="AC60" s="182">
        <f t="shared" si="11"/>
        <v>78569745.62278083</v>
      </c>
      <c r="AD60" s="191">
        <f t="shared" si="8"/>
        <v>21833.929265087809</v>
      </c>
    </row>
    <row r="61" spans="1:30" ht="14.4">
      <c r="A61" s="187">
        <v>35704</v>
      </c>
      <c r="B61" s="182">
        <v>7421302</v>
      </c>
      <c r="C61" s="182">
        <v>99954.183909999992</v>
      </c>
      <c r="D61" s="182">
        <f t="shared" si="0"/>
        <v>7321347.8160899999</v>
      </c>
      <c r="E61" s="188">
        <v>-247654.73355690017</v>
      </c>
      <c r="F61" s="189">
        <f t="shared" si="9"/>
        <v>-288236.34619708546</v>
      </c>
      <c r="G61" s="182">
        <f t="shared" si="1"/>
        <v>7668956.7335569002</v>
      </c>
      <c r="I61" s="182">
        <f t="shared" si="2"/>
        <v>7569002.5496469</v>
      </c>
      <c r="K61" s="182">
        <v>6938381.7895</v>
      </c>
      <c r="M61" s="188">
        <f t="shared" si="3"/>
        <v>7173082.1666106647</v>
      </c>
      <c r="N61" s="189">
        <f t="shared" si="4"/>
        <v>-234700.37711066473</v>
      </c>
      <c r="O61" s="189">
        <f t="shared" si="10"/>
        <v>7530706.8747290932</v>
      </c>
      <c r="Q61" s="185"/>
      <c r="S61" s="190">
        <f t="shared" si="6"/>
        <v>80504725.984870732</v>
      </c>
      <c r="T61" s="192">
        <f t="shared" si="15"/>
        <v>2.6801834517506951E-2</v>
      </c>
      <c r="W61" s="182">
        <v>3604399.3333333335</v>
      </c>
      <c r="X61" s="183">
        <f t="shared" si="7"/>
        <v>22335.129529174643</v>
      </c>
      <c r="Y61" s="192">
        <f t="shared" si="16"/>
        <v>8.719893788332822E-3</v>
      </c>
      <c r="AA61" s="181" t="s">
        <v>75</v>
      </c>
      <c r="AC61" s="182">
        <f t="shared" si="11"/>
        <v>79390362.346197098</v>
      </c>
      <c r="AD61" s="191">
        <f t="shared" si="8"/>
        <v>22025.961888295333</v>
      </c>
    </row>
    <row r="62" spans="1:30" ht="14.4">
      <c r="A62" s="187">
        <v>35735</v>
      </c>
      <c r="B62" s="182">
        <v>6138860</v>
      </c>
      <c r="C62" s="182">
        <v>77621.737300000008</v>
      </c>
      <c r="D62" s="182">
        <f t="shared" si="0"/>
        <v>6061238.2626999998</v>
      </c>
      <c r="E62" s="188">
        <v>-144246.56992543582</v>
      </c>
      <c r="F62" s="189">
        <f t="shared" si="9"/>
        <v>-474742.09441167396</v>
      </c>
      <c r="G62" s="182">
        <f t="shared" si="1"/>
        <v>6283106.5699254358</v>
      </c>
      <c r="I62" s="182">
        <f t="shared" si="2"/>
        <v>6205484.8326254357</v>
      </c>
      <c r="K62" s="182">
        <v>6213226.7664999999</v>
      </c>
      <c r="M62" s="188">
        <f t="shared" si="3"/>
        <v>6361090.3894748371</v>
      </c>
      <c r="N62" s="189">
        <f t="shared" si="4"/>
        <v>-147863.6229748372</v>
      </c>
      <c r="O62" s="189">
        <f t="shared" si="10"/>
        <v>6767086.2780427504</v>
      </c>
      <c r="Q62" s="185"/>
      <c r="S62" s="190">
        <f t="shared" si="6"/>
        <v>80777631.598166555</v>
      </c>
      <c r="T62" s="192">
        <f t="shared" si="15"/>
        <v>2.7932729918026755E-2</v>
      </c>
      <c r="W62" s="182">
        <v>3610062.8333333335</v>
      </c>
      <c r="X62" s="183">
        <f t="shared" si="7"/>
        <v>22375.685778183793</v>
      </c>
      <c r="Y62" s="192">
        <f t="shared" si="16"/>
        <v>9.6168630590889315E-3</v>
      </c>
      <c r="AA62" s="181" t="s">
        <v>76</v>
      </c>
      <c r="AC62" s="182">
        <f t="shared" si="11"/>
        <v>80989220.094411671</v>
      </c>
      <c r="AD62" s="191">
        <f t="shared" si="8"/>
        <v>22434.296529855874</v>
      </c>
    </row>
    <row r="63" spans="1:30" ht="14.4">
      <c r="A63" s="187">
        <v>35765</v>
      </c>
      <c r="B63" s="182">
        <v>6614650</v>
      </c>
      <c r="C63" s="182">
        <v>81321.717720000001</v>
      </c>
      <c r="D63" s="182">
        <f t="shared" si="0"/>
        <v>6533328.2822799999</v>
      </c>
      <c r="E63" s="188">
        <v>156541.44028416462</v>
      </c>
      <c r="F63" s="189">
        <f t="shared" si="9"/>
        <v>-410653.65485078003</v>
      </c>
      <c r="G63" s="182">
        <f t="shared" si="1"/>
        <v>6458108.5597158354</v>
      </c>
      <c r="I63" s="182">
        <f t="shared" si="2"/>
        <v>6376786.8419958353</v>
      </c>
      <c r="K63" s="182">
        <v>6262504.0460000001</v>
      </c>
      <c r="M63" s="188">
        <f t="shared" si="3"/>
        <v>6112451.6744078407</v>
      </c>
      <c r="N63" s="189">
        <f t="shared" si="4"/>
        <v>150052.37159215938</v>
      </c>
      <c r="O63" s="189">
        <f t="shared" si="10"/>
        <v>6236771.0319413394</v>
      </c>
      <c r="Q63" s="185"/>
      <c r="S63" s="190">
        <f t="shared" si="6"/>
        <v>80943990.005587891</v>
      </c>
      <c r="T63" s="192">
        <f t="shared" si="15"/>
        <v>2.9414122372437346E-2</v>
      </c>
      <c r="W63" s="182">
        <v>3615485.0833333335</v>
      </c>
      <c r="X63" s="183">
        <f t="shared" si="7"/>
        <v>22388.14104882456</v>
      </c>
      <c r="Y63" s="192">
        <f t="shared" si="16"/>
        <v>1.0981753668214855E-2</v>
      </c>
      <c r="AA63" s="181" t="s">
        <v>77</v>
      </c>
      <c r="AB63" s="181">
        <f>YEAR(A63)</f>
        <v>1997</v>
      </c>
      <c r="AC63" s="182">
        <f>SUM(G52:G63)</f>
        <v>87309683.214566618</v>
      </c>
      <c r="AD63" s="191">
        <f t="shared" si="8"/>
        <v>24148.815774969418</v>
      </c>
    </row>
    <row r="64" spans="1:30" ht="14.4">
      <c r="A64" s="187">
        <v>35796</v>
      </c>
      <c r="B64" s="182">
        <v>6341032</v>
      </c>
      <c r="C64" s="182">
        <v>80624.597240000003</v>
      </c>
      <c r="D64" s="182">
        <f t="shared" si="0"/>
        <v>6260407.40276</v>
      </c>
      <c r="E64" s="188">
        <v>-272131.46211228799</v>
      </c>
      <c r="F64" s="189">
        <f t="shared" si="9"/>
        <v>-288252.88536675926</v>
      </c>
      <c r="G64" s="182">
        <f t="shared" si="1"/>
        <v>6613163.462112288</v>
      </c>
      <c r="I64" s="182">
        <f t="shared" si="2"/>
        <v>6532538.864872288</v>
      </c>
      <c r="K64" s="182">
        <v>6123772.9680000003</v>
      </c>
      <c r="M64" s="188">
        <f t="shared" si="3"/>
        <v>6389965.1156054186</v>
      </c>
      <c r="N64" s="189">
        <f t="shared" si="4"/>
        <v>-266192.14760541823</v>
      </c>
      <c r="O64" s="189">
        <f t="shared" si="10"/>
        <v>6251208.3950066296</v>
      </c>
      <c r="Q64" s="185"/>
      <c r="S64" s="190">
        <f t="shared" si="6"/>
        <v>81152079.922942281</v>
      </c>
      <c r="T64" s="192">
        <f t="shared" si="15"/>
        <v>3.1681840930363636E-2</v>
      </c>
      <c r="W64" s="182">
        <v>3620522.4166666665</v>
      </c>
      <c r="X64" s="183">
        <f t="shared" si="7"/>
        <v>22414.466914876106</v>
      </c>
      <c r="Y64" s="192">
        <f t="shared" si="16"/>
        <v>1.3131819512000265E-2</v>
      </c>
      <c r="AA64" s="181" t="s">
        <v>66</v>
      </c>
      <c r="AC64" s="182">
        <f t="shared" si="11"/>
        <v>80901979.885366768</v>
      </c>
      <c r="AD64" s="191">
        <f t="shared" si="8"/>
        <v>22345.388475691692</v>
      </c>
    </row>
    <row r="65" spans="1:30" ht="14.4">
      <c r="A65" s="187">
        <v>35827</v>
      </c>
      <c r="B65" s="182">
        <v>5886441</v>
      </c>
      <c r="C65" s="182">
        <v>75266.090219999998</v>
      </c>
      <c r="D65" s="182">
        <f t="shared" si="0"/>
        <v>5811174.9097800003</v>
      </c>
      <c r="E65" s="188">
        <v>-25255.69404540956</v>
      </c>
      <c r="F65" s="189">
        <f t="shared" si="9"/>
        <v>-677726.30651367269</v>
      </c>
      <c r="G65" s="182">
        <f t="shared" si="1"/>
        <v>5911696.6940454096</v>
      </c>
      <c r="I65" s="182">
        <f t="shared" si="2"/>
        <v>5836430.6038254099</v>
      </c>
      <c r="K65" s="182">
        <v>5810659.4780000001</v>
      </c>
      <c r="M65" s="188">
        <f t="shared" si="3"/>
        <v>5835912.9319498111</v>
      </c>
      <c r="N65" s="189">
        <f t="shared" si="4"/>
        <v>-25253.453949810937</v>
      </c>
      <c r="O65" s="189">
        <f t="shared" si="10"/>
        <v>6112939.0237776153</v>
      </c>
      <c r="Q65" s="185"/>
      <c r="S65" s="190">
        <f t="shared" si="6"/>
        <v>81333066.247681484</v>
      </c>
      <c r="T65" s="192">
        <f t="shared" si="15"/>
        <v>3.2827461507171751E-2</v>
      </c>
      <c r="V65" s="192">
        <f t="shared" ref="V65:V86" si="17">W65/W53-1</f>
        <v>1.8331305863002134E-2</v>
      </c>
      <c r="W65" s="182">
        <v>3625669.6666666665</v>
      </c>
      <c r="X65" s="183">
        <f t="shared" si="7"/>
        <v>22432.563836533045</v>
      </c>
      <c r="Y65" s="192">
        <f t="shared" si="16"/>
        <v>1.4235205733839962E-2</v>
      </c>
      <c r="AA65" s="181" t="s">
        <v>67</v>
      </c>
      <c r="AC65" s="182">
        <f t="shared" si="11"/>
        <v>81748271.306513682</v>
      </c>
      <c r="AD65" s="191">
        <f t="shared" si="8"/>
        <v>22547.082007520734</v>
      </c>
    </row>
    <row r="66" spans="1:30" ht="14.4">
      <c r="A66" s="187">
        <v>35855</v>
      </c>
      <c r="B66" s="182">
        <v>6474252</v>
      </c>
      <c r="C66" s="182">
        <v>81621.500250000012</v>
      </c>
      <c r="D66" s="182">
        <f t="shared" si="0"/>
        <v>6392630.4997500004</v>
      </c>
      <c r="E66" s="188">
        <v>-185782.38261021581</v>
      </c>
      <c r="F66" s="189">
        <f t="shared" si="9"/>
        <v>-1153814.2645282624</v>
      </c>
      <c r="G66" s="182">
        <f t="shared" si="1"/>
        <v>6660034.3826102158</v>
      </c>
      <c r="I66" s="182">
        <f t="shared" si="2"/>
        <v>6578412.8823602162</v>
      </c>
      <c r="K66" s="182">
        <v>5907434.4375</v>
      </c>
      <c r="M66" s="188">
        <f t="shared" si="3"/>
        <v>6079116.0707424199</v>
      </c>
      <c r="N66" s="189">
        <f t="shared" si="4"/>
        <v>-171681.63324241992</v>
      </c>
      <c r="O66" s="189">
        <f t="shared" si="10"/>
        <v>5957514.501346115</v>
      </c>
      <c r="Q66" s="185"/>
      <c r="S66" s="190">
        <f t="shared" si="6"/>
        <v>81554247.114458978</v>
      </c>
      <c r="T66" s="192">
        <f t="shared" si="15"/>
        <v>3.336922556531019E-2</v>
      </c>
      <c r="V66" s="192">
        <f t="shared" si="17"/>
        <v>1.8221555674880152E-2</v>
      </c>
      <c r="W66" s="182">
        <v>3630722.8333333335</v>
      </c>
      <c r="X66" s="183">
        <f t="shared" si="7"/>
        <v>22462.261885076139</v>
      </c>
      <c r="Y66" s="192">
        <f t="shared" si="16"/>
        <v>1.4876595183049623E-2</v>
      </c>
      <c r="AA66" s="181" t="s">
        <v>68</v>
      </c>
      <c r="AC66" s="182">
        <f t="shared" si="11"/>
        <v>81252561.26452826</v>
      </c>
      <c r="AD66" s="191">
        <f t="shared" si="8"/>
        <v>22379.169381522584</v>
      </c>
    </row>
    <row r="67" spans="1:30" ht="14.4">
      <c r="A67" s="187">
        <v>35886</v>
      </c>
      <c r="B67" s="182">
        <v>6766753</v>
      </c>
      <c r="C67" s="182">
        <v>90655.981480000002</v>
      </c>
      <c r="D67" s="182">
        <f t="shared" si="0"/>
        <v>6676097.0185200004</v>
      </c>
      <c r="E67" s="188">
        <v>-137137.50999682769</v>
      </c>
      <c r="F67" s="189">
        <f t="shared" si="9"/>
        <v>-1134856.9462361457</v>
      </c>
      <c r="G67" s="182">
        <f t="shared" si="1"/>
        <v>6903890.5099968277</v>
      </c>
      <c r="I67" s="182">
        <f t="shared" si="2"/>
        <v>6813234.5285168281</v>
      </c>
      <c r="K67" s="182">
        <v>6203112.483</v>
      </c>
      <c r="M67" s="188">
        <f t="shared" si="3"/>
        <v>6330534.1483516293</v>
      </c>
      <c r="N67" s="189">
        <f t="shared" si="4"/>
        <v>-127421.66535162926</v>
      </c>
      <c r="O67" s="189">
        <f t="shared" si="10"/>
        <v>6204825.1095470246</v>
      </c>
      <c r="Q67" s="185"/>
      <c r="S67" s="190">
        <f t="shared" si="6"/>
        <v>81871231.120857537</v>
      </c>
      <c r="T67" s="192">
        <f t="shared" si="15"/>
        <v>3.5347287980595166E-2</v>
      </c>
      <c r="V67" s="192">
        <f t="shared" si="17"/>
        <v>1.8238661642630216E-2</v>
      </c>
      <c r="W67" s="182">
        <v>3636073.8333333335</v>
      </c>
      <c r="X67" s="183">
        <f t="shared" si="7"/>
        <v>22516.383020144265</v>
      </c>
      <c r="Y67" s="192">
        <f t="shared" si="16"/>
        <v>1.6802177114710215E-2</v>
      </c>
      <c r="AA67" s="181" t="s">
        <v>69</v>
      </c>
      <c r="AC67" s="182">
        <f t="shared" si="11"/>
        <v>81265590.946236148</v>
      </c>
      <c r="AD67" s="191">
        <f t="shared" si="8"/>
        <v>22349.818697640898</v>
      </c>
    </row>
    <row r="68" spans="1:30" ht="14.4">
      <c r="A68" s="187">
        <v>35916</v>
      </c>
      <c r="B68" s="182">
        <v>8113950</v>
      </c>
      <c r="C68" s="182">
        <v>122761.41726</v>
      </c>
      <c r="D68" s="182">
        <f t="shared" ref="D68:D131" si="18">B68-C68</f>
        <v>7991188.5827400004</v>
      </c>
      <c r="E68" s="188">
        <v>267206.74541756511</v>
      </c>
      <c r="F68" s="189">
        <f t="shared" si="9"/>
        <v>-1311070.8657277068</v>
      </c>
      <c r="G68" s="182">
        <f t="shared" ref="G68:G131" si="19">B68-E68</f>
        <v>7846743.2545824349</v>
      </c>
      <c r="I68" s="182">
        <f t="shared" ref="I68:I131" si="20">G68-C68</f>
        <v>7723981.8373224353</v>
      </c>
      <c r="K68" s="182">
        <v>7222603.1695000008</v>
      </c>
      <c r="M68" s="188">
        <f t="shared" ref="M68:M131" si="21">K68*I68/D68</f>
        <v>6981096.1312938072</v>
      </c>
      <c r="N68" s="189">
        <f t="shared" ref="N68:N131" si="22">K68-M68</f>
        <v>241507.0382061936</v>
      </c>
      <c r="O68" s="189">
        <f>AVERAGE(M67:M68)</f>
        <v>6655815.1398227178</v>
      </c>
      <c r="Q68" s="185"/>
      <c r="S68" s="190">
        <f t="shared" si="6"/>
        <v>82128061.086717993</v>
      </c>
      <c r="T68" s="192">
        <f t="shared" si="15"/>
        <v>3.510835005592372E-2</v>
      </c>
      <c r="V68" s="192">
        <f t="shared" si="17"/>
        <v>1.8261788750235652E-2</v>
      </c>
      <c r="W68" s="182">
        <v>3641490.5833333335</v>
      </c>
      <c r="X68" s="183">
        <f t="shared" si="7"/>
        <v>22553.418499174019</v>
      </c>
      <c r="Y68" s="192">
        <f t="shared" si="16"/>
        <v>1.6544430412501754E-2</v>
      </c>
      <c r="AA68" s="181" t="s">
        <v>70</v>
      </c>
      <c r="AC68" s="182">
        <f t="shared" si="11"/>
        <v>80515629.865727708</v>
      </c>
      <c r="AD68" s="191">
        <f t="shared" si="8"/>
        <v>22110.624213677253</v>
      </c>
    </row>
    <row r="69" spans="1:30" ht="14.4">
      <c r="A69" s="187">
        <v>35947</v>
      </c>
      <c r="B69" s="182">
        <v>9482380</v>
      </c>
      <c r="C69" s="182">
        <v>173170.03441000002</v>
      </c>
      <c r="D69" s="182">
        <f t="shared" si="18"/>
        <v>9309209.9655900002</v>
      </c>
      <c r="E69" s="188">
        <v>949931.56681421399</v>
      </c>
      <c r="F69" s="189">
        <f t="shared" si="9"/>
        <v>-879759.71536570508</v>
      </c>
      <c r="G69" s="182">
        <f t="shared" si="19"/>
        <v>8532448.433185786</v>
      </c>
      <c r="I69" s="182">
        <f t="shared" si="20"/>
        <v>8359278.3987757862</v>
      </c>
      <c r="K69" s="182">
        <v>8361434.8834999986</v>
      </c>
      <c r="M69" s="188">
        <f t="shared" si="21"/>
        <v>7508216.3000694569</v>
      </c>
      <c r="N69" s="189">
        <f t="shared" si="22"/>
        <v>853218.58343054168</v>
      </c>
      <c r="O69" s="189">
        <f t="shared" si="10"/>
        <v>7244656.215681632</v>
      </c>
      <c r="Q69" s="185"/>
      <c r="S69" s="190">
        <f t="shared" si="6"/>
        <v>82284767.64703311</v>
      </c>
      <c r="T69" s="192">
        <f t="shared" si="15"/>
        <v>3.4376868088008328E-2</v>
      </c>
      <c r="V69" s="192">
        <f t="shared" si="17"/>
        <v>1.8420199352555011E-2</v>
      </c>
      <c r="W69" s="182">
        <v>3647355.25</v>
      </c>
      <c r="X69" s="183">
        <f t="shared" si="7"/>
        <v>22560.118772919941</v>
      </c>
      <c r="Y69" s="192">
        <f t="shared" si="16"/>
        <v>1.5668059947747892E-2</v>
      </c>
      <c r="AA69" s="181" t="s">
        <v>71</v>
      </c>
      <c r="AC69" s="182">
        <f t="shared" si="11"/>
        <v>80209167.715365708</v>
      </c>
      <c r="AD69" s="191">
        <f t="shared" si="8"/>
        <v>21991.048915612402</v>
      </c>
    </row>
    <row r="70" spans="1:30" ht="14.4">
      <c r="A70" s="187">
        <v>35977</v>
      </c>
      <c r="B70" s="182">
        <v>9477776</v>
      </c>
      <c r="C70" s="182">
        <v>161701.43039999998</v>
      </c>
      <c r="D70" s="182">
        <f t="shared" si="18"/>
        <v>9316074.5695999991</v>
      </c>
      <c r="E70" s="188">
        <v>319871.11310386285</v>
      </c>
      <c r="F70" s="189">
        <f t="shared" si="9"/>
        <v>56227.513440311886</v>
      </c>
      <c r="G70" s="182">
        <f t="shared" si="19"/>
        <v>9157904.8868961371</v>
      </c>
      <c r="I70" s="182">
        <f t="shared" si="20"/>
        <v>8996203.4564961363</v>
      </c>
      <c r="K70" s="182">
        <v>8522402.1619999986</v>
      </c>
      <c r="M70" s="188">
        <f t="shared" si="21"/>
        <v>8229782.1056112964</v>
      </c>
      <c r="N70" s="189">
        <f t="shared" si="22"/>
        <v>292620.05638870224</v>
      </c>
      <c r="O70" s="189">
        <f t="shared" si="10"/>
        <v>7868999.2028403766</v>
      </c>
      <c r="Q70" s="185"/>
      <c r="S70" s="190">
        <f t="shared" si="6"/>
        <v>82526459.705917493</v>
      </c>
      <c r="T70" s="192">
        <f t="shared" si="15"/>
        <v>3.4296152467530705E-2</v>
      </c>
      <c r="V70" s="192">
        <f t="shared" si="17"/>
        <v>1.8495751431255814E-2</v>
      </c>
      <c r="W70" s="182">
        <v>3653256.5</v>
      </c>
      <c r="X70" s="183">
        <f t="shared" si="7"/>
        <v>22589.834495858006</v>
      </c>
      <c r="Y70" s="192">
        <f t="shared" si="16"/>
        <v>1.5513467792154234E-2</v>
      </c>
      <c r="AA70" s="181" t="s">
        <v>72</v>
      </c>
      <c r="AC70" s="182">
        <f t="shared" si="11"/>
        <v>79994503.486559689</v>
      </c>
      <c r="AD70" s="191">
        <f t="shared" si="8"/>
        <v>21896.766210245485</v>
      </c>
    </row>
    <row r="71" spans="1:30" ht="14.4">
      <c r="A71" s="187">
        <v>36008</v>
      </c>
      <c r="B71" s="182">
        <v>9543994</v>
      </c>
      <c r="C71" s="182">
        <v>165162.15109</v>
      </c>
      <c r="D71" s="182">
        <f t="shared" si="18"/>
        <v>9378831.8489100002</v>
      </c>
      <c r="E71" s="188">
        <v>222385.0630106926</v>
      </c>
      <c r="F71" s="189">
        <f t="shared" si="9"/>
        <v>475674.10994505975</v>
      </c>
      <c r="G71" s="182">
        <f t="shared" si="19"/>
        <v>9321608.9369893074</v>
      </c>
      <c r="I71" s="182">
        <f t="shared" si="20"/>
        <v>9156446.7858993076</v>
      </c>
      <c r="K71" s="182">
        <v>8374298.8779999996</v>
      </c>
      <c r="M71" s="188">
        <f t="shared" si="21"/>
        <v>8175732.6798150055</v>
      </c>
      <c r="N71" s="189">
        <f t="shared" si="22"/>
        <v>198566.19818499405</v>
      </c>
      <c r="O71" s="189">
        <f t="shared" si="10"/>
        <v>8202757.3927131509</v>
      </c>
      <c r="Q71" s="185"/>
      <c r="S71" s="190">
        <f t="shared" si="6"/>
        <v>82931507.685343429</v>
      </c>
      <c r="T71" s="192">
        <f t="shared" si="15"/>
        <v>3.8205691852643886E-2</v>
      </c>
      <c r="V71" s="192">
        <f t="shared" si="17"/>
        <v>1.8487617329510542E-2</v>
      </c>
      <c r="W71" s="182">
        <v>3658961.8333333335</v>
      </c>
      <c r="X71" s="183">
        <f t="shared" si="7"/>
        <v>22665.310944168112</v>
      </c>
      <c r="Y71" s="192">
        <f t="shared" si="16"/>
        <v>1.9360151451653707E-2</v>
      </c>
      <c r="AA71" s="181" t="s">
        <v>73</v>
      </c>
      <c r="AC71" s="182">
        <f t="shared" si="11"/>
        <v>80302940.890054941</v>
      </c>
      <c r="AD71" s="191">
        <f t="shared" si="8"/>
        <v>21946.919521950447</v>
      </c>
    </row>
    <row r="72" spans="1:30" ht="14.4">
      <c r="A72" s="187">
        <v>36039</v>
      </c>
      <c r="B72" s="182">
        <v>8612788</v>
      </c>
      <c r="C72" s="182">
        <v>126864.1112</v>
      </c>
      <c r="D72" s="182">
        <f t="shared" si="18"/>
        <v>8485923.8888000008</v>
      </c>
      <c r="E72" s="188">
        <v>150774.39823860116</v>
      </c>
      <c r="F72" s="189">
        <f t="shared" si="9"/>
        <v>903727.57638342213</v>
      </c>
      <c r="G72" s="182">
        <f t="shared" si="19"/>
        <v>8462013.6017613988</v>
      </c>
      <c r="I72" s="182">
        <f t="shared" si="20"/>
        <v>8335149.4905613987</v>
      </c>
      <c r="K72" s="182">
        <v>8177610.2703999998</v>
      </c>
      <c r="M72" s="188">
        <f t="shared" si="21"/>
        <v>8032313.8614637032</v>
      </c>
      <c r="N72" s="189">
        <f t="shared" si="22"/>
        <v>145296.40893629659</v>
      </c>
      <c r="O72" s="189">
        <f t="shared" si="10"/>
        <v>8104023.2706393544</v>
      </c>
      <c r="Q72" s="185"/>
      <c r="S72" s="190">
        <f t="shared" si="6"/>
        <v>83137302.436087802</v>
      </c>
      <c r="T72" s="192">
        <f t="shared" si="15"/>
        <v>3.7878596690890554E-2</v>
      </c>
      <c r="V72" s="192">
        <f t="shared" si="17"/>
        <v>1.8307847403673971E-2</v>
      </c>
      <c r="W72" s="182">
        <v>3664397.1666666665</v>
      </c>
      <c r="X72" s="183">
        <f t="shared" si="7"/>
        <v>22687.85250473108</v>
      </c>
      <c r="Y72" s="192">
        <f t="shared" si="16"/>
        <v>1.9218892731815096E-2</v>
      </c>
      <c r="AA72" s="181" t="s">
        <v>74</v>
      </c>
      <c r="AC72" s="182">
        <f t="shared" si="11"/>
        <v>81357662.423616573</v>
      </c>
      <c r="AD72" s="191">
        <f t="shared" si="8"/>
        <v>22202.195538106447</v>
      </c>
    </row>
    <row r="73" spans="1:30" ht="14.4">
      <c r="A73" s="187">
        <v>36069</v>
      </c>
      <c r="B73" s="182">
        <v>8322095</v>
      </c>
      <c r="C73" s="182">
        <v>122705.00622</v>
      </c>
      <c r="D73" s="182">
        <f t="shared" si="18"/>
        <v>8199389.9937800001</v>
      </c>
      <c r="E73" s="188">
        <v>285438.7867997922</v>
      </c>
      <c r="F73" s="189">
        <f t="shared" si="9"/>
        <v>1302156.7081789235</v>
      </c>
      <c r="G73" s="182">
        <f t="shared" si="19"/>
        <v>8036656.2132002078</v>
      </c>
      <c r="I73" s="182">
        <f t="shared" si="20"/>
        <v>7913951.2069802079</v>
      </c>
      <c r="K73" s="182">
        <v>7564021.5084000006</v>
      </c>
      <c r="M73" s="188">
        <f t="shared" si="21"/>
        <v>7300701.2950276546</v>
      </c>
      <c r="N73" s="189">
        <f t="shared" si="22"/>
        <v>263320.21337234601</v>
      </c>
      <c r="O73" s="189">
        <f t="shared" si="10"/>
        <v>7666507.5782456789</v>
      </c>
      <c r="Q73" s="185"/>
      <c r="S73" s="190">
        <f t="shared" si="6"/>
        <v>83273103.13960439</v>
      </c>
      <c r="T73" s="192">
        <f t="shared" si="15"/>
        <v>3.4387759486988578E-2</v>
      </c>
      <c r="V73" s="192">
        <f t="shared" si="17"/>
        <v>1.8130783326079758E-2</v>
      </c>
      <c r="W73" s="182">
        <v>3669749.9166666665</v>
      </c>
      <c r="X73" s="183">
        <f t="shared" si="7"/>
        <v>22691.765114949198</v>
      </c>
      <c r="Y73" s="192">
        <f t="shared" si="16"/>
        <v>1.5967473361133244E-2</v>
      </c>
      <c r="AA73" s="181" t="s">
        <v>75</v>
      </c>
      <c r="AC73" s="182">
        <f t="shared" si="11"/>
        <v>82150719.291821077</v>
      </c>
      <c r="AD73" s="191">
        <f t="shared" si="8"/>
        <v>22385.917612184538</v>
      </c>
    </row>
    <row r="74" spans="1:30" ht="14.4">
      <c r="A74" s="187">
        <v>36100</v>
      </c>
      <c r="B74" s="182">
        <v>6894056</v>
      </c>
      <c r="C74" s="182">
        <v>84294.155580000006</v>
      </c>
      <c r="D74" s="182">
        <f t="shared" si="18"/>
        <v>6809761.84442</v>
      </c>
      <c r="E74" s="188">
        <v>277679.60738196503</v>
      </c>
      <c r="F74" s="189">
        <f t="shared" si="9"/>
        <v>1731842.0649041515</v>
      </c>
      <c r="G74" s="182">
        <f t="shared" si="19"/>
        <v>6616376.392618035</v>
      </c>
      <c r="I74" s="182">
        <f t="shared" si="20"/>
        <v>6532082.2370380349</v>
      </c>
      <c r="K74" s="182">
        <v>6930978.9879999999</v>
      </c>
      <c r="M74" s="188">
        <f t="shared" si="21"/>
        <v>6648356.5456692856</v>
      </c>
      <c r="N74" s="189">
        <f t="shared" si="22"/>
        <v>282622.44233071432</v>
      </c>
      <c r="O74" s="189">
        <f t="shared" si="10"/>
        <v>6974528.9203484701</v>
      </c>
      <c r="Q74" s="185"/>
      <c r="S74" s="190">
        <f t="shared" si="6"/>
        <v>83480545.781910107</v>
      </c>
      <c r="T74" s="192">
        <f t="shared" si="15"/>
        <v>3.3461171493481823E-2</v>
      </c>
      <c r="V74" s="192">
        <f t="shared" si="17"/>
        <v>1.8042299079097157E-2</v>
      </c>
      <c r="W74" s="182">
        <v>3675196.6666666665</v>
      </c>
      <c r="X74" s="183">
        <f t="shared" si="7"/>
        <v>22714.57920580489</v>
      </c>
      <c r="Y74" s="192">
        <f t="shared" si="16"/>
        <v>1.5145610775045615E-2</v>
      </c>
      <c r="AA74" s="181" t="s">
        <v>76</v>
      </c>
      <c r="AC74" s="182">
        <f t="shared" si="11"/>
        <v>83904268.935095847</v>
      </c>
      <c r="AD74" s="191">
        <f t="shared" si="8"/>
        <v>22829.871853142329</v>
      </c>
    </row>
    <row r="75" spans="1:30" ht="14.4">
      <c r="A75" s="187">
        <v>36130</v>
      </c>
      <c r="B75" s="182">
        <v>6886719</v>
      </c>
      <c r="C75" s="182">
        <v>74802.521210000006</v>
      </c>
      <c r="D75" s="182">
        <f t="shared" si="18"/>
        <v>6811916.4787900001</v>
      </c>
      <c r="E75" s="188">
        <v>116228.453075625</v>
      </c>
      <c r="F75" s="189">
        <f t="shared" si="9"/>
        <v>1852980.2320019519</v>
      </c>
      <c r="G75" s="182">
        <f t="shared" si="19"/>
        <v>6770490.546924375</v>
      </c>
      <c r="H75" s="182">
        <f>SUM(D64:D75)</f>
        <v>91442607.003440008</v>
      </c>
      <c r="I75" s="182">
        <f t="shared" si="20"/>
        <v>6695688.0257143751</v>
      </c>
      <c r="K75" s="182">
        <v>6733701.1600000001</v>
      </c>
      <c r="M75" s="188">
        <f t="shared" si="21"/>
        <v>6618807.2572727371</v>
      </c>
      <c r="N75" s="189">
        <f t="shared" si="22"/>
        <v>114893.90272726305</v>
      </c>
      <c r="O75" s="189">
        <f t="shared" si="10"/>
        <v>6633581.9014710113</v>
      </c>
      <c r="Q75" s="185"/>
      <c r="S75" s="190">
        <f t="shared" si="6"/>
        <v>83877356.651439786</v>
      </c>
      <c r="T75" s="192">
        <f t="shared" si="15"/>
        <v>3.6239461949545415E-2</v>
      </c>
      <c r="V75" s="192">
        <f t="shared" si="17"/>
        <v>1.7974028888378069E-2</v>
      </c>
      <c r="W75" s="182">
        <v>3680469.9166666665</v>
      </c>
      <c r="X75" s="183">
        <f t="shared" si="7"/>
        <v>22789.849815538219</v>
      </c>
      <c r="Y75" s="192">
        <f t="shared" si="16"/>
        <v>1.7942926383999636E-2</v>
      </c>
      <c r="AA75" s="181" t="s">
        <v>77</v>
      </c>
      <c r="AB75" s="181">
        <f>YEAR(A75)</f>
        <v>1998</v>
      </c>
      <c r="AC75" s="182">
        <f>SUM(G64:G75)</f>
        <v>90833027.314922422</v>
      </c>
      <c r="AD75" s="191">
        <f t="shared" si="8"/>
        <v>24679.736384637592</v>
      </c>
    </row>
    <row r="76" spans="1:30" ht="14.4">
      <c r="A76" s="187">
        <v>36161</v>
      </c>
      <c r="B76" s="182">
        <v>6727471</v>
      </c>
      <c r="C76" s="182">
        <v>68097.602310000002</v>
      </c>
      <c r="D76" s="182">
        <f t="shared" si="18"/>
        <v>6659373.39769</v>
      </c>
      <c r="E76" s="188">
        <v>8743.8607877260074</v>
      </c>
      <c r="F76" s="189">
        <f t="shared" si="9"/>
        <v>2241340.1471898649</v>
      </c>
      <c r="G76" s="182">
        <f t="shared" si="19"/>
        <v>6718727.139212274</v>
      </c>
      <c r="I76" s="182">
        <f t="shared" si="20"/>
        <v>6650629.536902274</v>
      </c>
      <c r="K76" s="182">
        <v>6321111.9910000004</v>
      </c>
      <c r="M76" s="188">
        <f t="shared" si="21"/>
        <v>6312812.2726973593</v>
      </c>
      <c r="N76" s="189">
        <f t="shared" si="22"/>
        <v>8299.7183026410639</v>
      </c>
      <c r="O76" s="189">
        <f t="shared" si="10"/>
        <v>6465809.7649850482</v>
      </c>
      <c r="Q76" s="185"/>
      <c r="S76" s="190">
        <f t="shared" si="6"/>
        <v>84091958.021418214</v>
      </c>
      <c r="T76" s="192">
        <f t="shared" si="15"/>
        <v>3.6226774486463942E-2</v>
      </c>
      <c r="V76" s="192">
        <f t="shared" si="17"/>
        <v>1.8148923213636703E-2</v>
      </c>
      <c r="W76" s="182">
        <v>3686231</v>
      </c>
      <c r="X76" s="183">
        <f t="shared" si="7"/>
        <v>22812.449361263094</v>
      </c>
      <c r="Y76" s="192">
        <f t="shared" si="16"/>
        <v>1.7755606140374081E-2</v>
      </c>
      <c r="AA76" s="181" t="s">
        <v>66</v>
      </c>
      <c r="AC76" s="182">
        <f t="shared" si="11"/>
        <v>84219863.852810144</v>
      </c>
      <c r="AD76" s="191">
        <f t="shared" si="8"/>
        <v>22847.147629329291</v>
      </c>
    </row>
    <row r="77" spans="1:30" ht="14.4">
      <c r="A77" s="187">
        <v>36192</v>
      </c>
      <c r="B77" s="182">
        <v>5958004</v>
      </c>
      <c r="C77" s="182">
        <v>61849.325670000006</v>
      </c>
      <c r="D77" s="182">
        <f t="shared" si="18"/>
        <v>5896154.6743299998</v>
      </c>
      <c r="E77" s="188">
        <v>-40764.325049768202</v>
      </c>
      <c r="F77" s="189">
        <f t="shared" si="9"/>
        <v>2275339.7020230005</v>
      </c>
      <c r="G77" s="182">
        <f t="shared" si="19"/>
        <v>5998768.3250497682</v>
      </c>
      <c r="I77" s="182">
        <f t="shared" si="20"/>
        <v>5936918.999379768</v>
      </c>
      <c r="K77" s="182">
        <v>5858754.6815000009</v>
      </c>
      <c r="M77" s="188">
        <f t="shared" si="21"/>
        <v>5899260.4337088596</v>
      </c>
      <c r="N77" s="189">
        <f t="shared" si="22"/>
        <v>-40505.752208858728</v>
      </c>
      <c r="O77" s="189">
        <f t="shared" si="10"/>
        <v>6106036.3532031095</v>
      </c>
      <c r="Q77" s="185"/>
      <c r="S77" s="190">
        <f t="shared" si="6"/>
        <v>84085055.350843683</v>
      </c>
      <c r="T77" s="192">
        <f t="shared" si="15"/>
        <v>3.3836042708406344E-2</v>
      </c>
      <c r="V77" s="192">
        <f t="shared" si="17"/>
        <v>1.8275635333206086E-2</v>
      </c>
      <c r="W77" s="182">
        <v>3691931.0833333335</v>
      </c>
      <c r="X77" s="183">
        <f t="shared" si="7"/>
        <v>22775.358871251145</v>
      </c>
      <c r="Y77" s="192">
        <f t="shared" si="16"/>
        <v>1.5281134925818618E-2</v>
      </c>
      <c r="AA77" s="181" t="s">
        <v>67</v>
      </c>
      <c r="AC77" s="182">
        <f t="shared" si="11"/>
        <v>85026894.297977</v>
      </c>
      <c r="AD77" s="191">
        <f t="shared" si="8"/>
        <v>23030.466273278533</v>
      </c>
    </row>
    <row r="78" spans="1:30" ht="14.4">
      <c r="A78" s="187">
        <v>36220</v>
      </c>
      <c r="B78" s="182">
        <v>6475086</v>
      </c>
      <c r="C78" s="182">
        <v>70008.860010000004</v>
      </c>
      <c r="D78" s="182">
        <f t="shared" si="18"/>
        <v>6405077.1399900001</v>
      </c>
      <c r="E78" s="188">
        <v>-459154.52043249086</v>
      </c>
      <c r="F78" s="189">
        <f t="shared" si="9"/>
        <v>2420357.7595834481</v>
      </c>
      <c r="G78" s="182">
        <f t="shared" si="19"/>
        <v>6934240.5204324909</v>
      </c>
      <c r="I78" s="182">
        <f t="shared" si="20"/>
        <v>6864231.6604224909</v>
      </c>
      <c r="K78" s="182">
        <v>6046792.8595000012</v>
      </c>
      <c r="M78" s="188">
        <f t="shared" si="21"/>
        <v>6480263.4040191052</v>
      </c>
      <c r="N78" s="189">
        <f t="shared" si="22"/>
        <v>-433470.54451910406</v>
      </c>
      <c r="O78" s="189">
        <f t="shared" si="10"/>
        <v>6189761.918863982</v>
      </c>
      <c r="Q78" s="185"/>
      <c r="S78" s="190">
        <f t="shared" si="6"/>
        <v>84317302.768361554</v>
      </c>
      <c r="T78" s="192">
        <f t="shared" si="15"/>
        <v>3.3879972554031523E-2</v>
      </c>
      <c r="V78" s="192">
        <f t="shared" si="17"/>
        <v>1.8476050017037338E-2</v>
      </c>
      <c r="W78" s="182">
        <v>3697804.25</v>
      </c>
      <c r="X78" s="183">
        <f t="shared" si="7"/>
        <v>22801.991957351867</v>
      </c>
      <c r="Y78" s="192">
        <f t="shared" si="16"/>
        <v>1.5124481853781679E-2</v>
      </c>
      <c r="AA78" s="181" t="s">
        <v>68</v>
      </c>
      <c r="AC78" s="182">
        <f t="shared" si="11"/>
        <v>84365628.240416571</v>
      </c>
      <c r="AD78" s="191">
        <f t="shared" si="8"/>
        <v>22815.060651308562</v>
      </c>
    </row>
    <row r="79" spans="1:30" ht="14.4">
      <c r="A79" s="187">
        <v>36251</v>
      </c>
      <c r="B79" s="182">
        <v>7472540</v>
      </c>
      <c r="C79" s="182">
        <v>87489.696589999992</v>
      </c>
      <c r="D79" s="182">
        <f t="shared" si="18"/>
        <v>7385050.3034100002</v>
      </c>
      <c r="E79" s="188">
        <v>319636.67199809849</v>
      </c>
      <c r="F79" s="189">
        <f t="shared" si="9"/>
        <v>2098340.7491477849</v>
      </c>
      <c r="G79" s="182">
        <f t="shared" si="19"/>
        <v>7152903.3280019015</v>
      </c>
      <c r="I79" s="182">
        <f t="shared" si="20"/>
        <v>7065413.6314119017</v>
      </c>
      <c r="K79" s="182">
        <v>6588066.1585000008</v>
      </c>
      <c r="M79" s="188">
        <f t="shared" si="21"/>
        <v>6302924.222387</v>
      </c>
      <c r="N79" s="189">
        <f t="shared" si="22"/>
        <v>285141.93611300085</v>
      </c>
      <c r="O79" s="189">
        <f t="shared" si="10"/>
        <v>6391593.8132030526</v>
      </c>
      <c r="Q79" s="185"/>
      <c r="S79" s="190">
        <f t="shared" ref="S79:S86" si="23">SUM(O68:O79)</f>
        <v>84504071.472017586</v>
      </c>
      <c r="T79" s="192">
        <f t="shared" si="15"/>
        <v>3.2158309031330878E-2</v>
      </c>
      <c r="V79" s="192">
        <f t="shared" si="17"/>
        <v>1.8574292793742675E-2</v>
      </c>
      <c r="W79" s="182">
        <v>3703611.3333333335</v>
      </c>
      <c r="X79" s="183">
        <f t="shared" ref="X79:X142" si="24">S79/W79*1000</f>
        <v>22816.668345153274</v>
      </c>
      <c r="Y79" s="192">
        <f t="shared" si="16"/>
        <v>1.333630382554607E-2</v>
      </c>
      <c r="AA79" s="181" t="s">
        <v>69</v>
      </c>
      <c r="AC79" s="182">
        <f t="shared" si="11"/>
        <v>84395978.250852227</v>
      </c>
      <c r="AD79" s="191">
        <f t="shared" ref="AD79:AD142" si="25">AC79/W79*1000</f>
        <v>22787.482447542341</v>
      </c>
    </row>
    <row r="80" spans="1:30" ht="14.4">
      <c r="A80" s="187">
        <v>36281</v>
      </c>
      <c r="B80" s="182">
        <v>7939593</v>
      </c>
      <c r="C80" s="182">
        <v>88752.83915</v>
      </c>
      <c r="D80" s="182">
        <f t="shared" si="18"/>
        <v>7850840.1608499996</v>
      </c>
      <c r="E80" s="188">
        <v>-332656.15331427753</v>
      </c>
      <c r="F80" s="189">
        <f t="shared" ref="F80:F143" si="26">SUM(E69:E79)</f>
        <v>2150770.6757283183</v>
      </c>
      <c r="G80" s="182">
        <f t="shared" si="19"/>
        <v>8272249.1533142775</v>
      </c>
      <c r="I80" s="182">
        <f t="shared" si="20"/>
        <v>8183496.3141642772</v>
      </c>
      <c r="K80" s="182">
        <v>7186835.4270000001</v>
      </c>
      <c r="M80" s="188">
        <f t="shared" si="21"/>
        <v>7491356.341789552</v>
      </c>
      <c r="N80" s="189">
        <f t="shared" si="22"/>
        <v>-304520.91478955187</v>
      </c>
      <c r="O80" s="189">
        <f t="shared" ref="O80:O87" si="27">AVERAGE(M79:M80)</f>
        <v>6897140.282088276</v>
      </c>
      <c r="Q80" s="185"/>
      <c r="S80" s="190">
        <f t="shared" si="23"/>
        <v>84745396.614283144</v>
      </c>
      <c r="T80" s="192">
        <f t="shared" si="15"/>
        <v>3.1868955542509791E-2</v>
      </c>
      <c r="V80" s="192">
        <f t="shared" si="17"/>
        <v>1.8770495699254264E-2</v>
      </c>
      <c r="W80" s="182">
        <v>3709843.1666666665</v>
      </c>
      <c r="X80" s="183">
        <f t="shared" si="24"/>
        <v>22843.390625169683</v>
      </c>
      <c r="Y80" s="192">
        <f t="shared" si="16"/>
        <v>1.2857125229431832E-2</v>
      </c>
      <c r="AA80" s="181" t="s">
        <v>70</v>
      </c>
      <c r="AC80" s="182">
        <f t="shared" ref="AC80:AC143" si="28">SUM(G69:G79)</f>
        <v>83702138.324271679</v>
      </c>
      <c r="AD80" s="191">
        <f t="shared" si="25"/>
        <v>22562.177041968847</v>
      </c>
    </row>
    <row r="81" spans="1:30" ht="14.4">
      <c r="A81" s="187">
        <v>36312</v>
      </c>
      <c r="B81" s="182">
        <v>8086325</v>
      </c>
      <c r="C81" s="182">
        <v>87791.273379999999</v>
      </c>
      <c r="D81" s="182">
        <f t="shared" si="18"/>
        <v>7998533.7266199999</v>
      </c>
      <c r="E81" s="188">
        <v>-612019.71911328658</v>
      </c>
      <c r="F81" s="189">
        <f t="shared" si="26"/>
        <v>868182.95559982676</v>
      </c>
      <c r="G81" s="182">
        <f t="shared" si="19"/>
        <v>8698344.7191132866</v>
      </c>
      <c r="I81" s="182">
        <f t="shared" si="20"/>
        <v>8610553.4457332864</v>
      </c>
      <c r="K81" s="182">
        <v>7724113.5010000002</v>
      </c>
      <c r="M81" s="188">
        <f t="shared" si="21"/>
        <v>8315135.5478969403</v>
      </c>
      <c r="N81" s="189">
        <f t="shared" si="22"/>
        <v>-591022.0468969401</v>
      </c>
      <c r="O81" s="189">
        <f t="shared" si="27"/>
        <v>7903245.9448432457</v>
      </c>
      <c r="Q81" s="185"/>
      <c r="S81" s="190">
        <f t="shared" si="23"/>
        <v>85403986.343444765</v>
      </c>
      <c r="T81" s="192">
        <f t="shared" si="15"/>
        <v>3.7907607757875494E-2</v>
      </c>
      <c r="V81" s="192">
        <f t="shared" si="17"/>
        <v>1.8821354642289512E-2</v>
      </c>
      <c r="W81" s="182">
        <v>3716003.4166666665</v>
      </c>
      <c r="X81" s="183">
        <f t="shared" si="24"/>
        <v>22982.752373261792</v>
      </c>
      <c r="Y81" s="192">
        <f t="shared" si="16"/>
        <v>1.8733660252230555E-2</v>
      </c>
      <c r="AA81" s="181" t="s">
        <v>71</v>
      </c>
      <c r="AC81" s="182">
        <f t="shared" si="28"/>
        <v>83441939.04440017</v>
      </c>
      <c r="AD81" s="191">
        <f t="shared" si="25"/>
        <v>22454.753047361122</v>
      </c>
    </row>
    <row r="82" spans="1:30" ht="14.4">
      <c r="A82" s="187">
        <v>36342</v>
      </c>
      <c r="B82" s="182">
        <v>9469894</v>
      </c>
      <c r="C82" s="182">
        <v>95770.802859999996</v>
      </c>
      <c r="D82" s="182">
        <f t="shared" si="18"/>
        <v>9374123.1971400008</v>
      </c>
      <c r="E82" s="188">
        <v>55378.090250562876</v>
      </c>
      <c r="F82" s="189">
        <f t="shared" si="26"/>
        <v>-63707.876617322676</v>
      </c>
      <c r="G82" s="182">
        <f t="shared" si="19"/>
        <v>9414515.9097494371</v>
      </c>
      <c r="I82" s="182">
        <f t="shared" si="20"/>
        <v>9318745.1068894379</v>
      </c>
      <c r="K82" s="182">
        <v>8357009.9564999994</v>
      </c>
      <c r="M82" s="188">
        <f t="shared" si="21"/>
        <v>8307640.5123543218</v>
      </c>
      <c r="N82" s="189">
        <f t="shared" si="22"/>
        <v>49369.444145677611</v>
      </c>
      <c r="O82" s="189">
        <f t="shared" si="27"/>
        <v>8311388.030125631</v>
      </c>
      <c r="Q82" s="185"/>
      <c r="S82" s="190">
        <f t="shared" si="23"/>
        <v>85846375.17073001</v>
      </c>
      <c r="T82" s="192">
        <f t="shared" si="15"/>
        <v>4.022849734064704E-2</v>
      </c>
      <c r="V82" s="192">
        <f t="shared" si="17"/>
        <v>1.8798661778425263E-2</v>
      </c>
      <c r="W82" s="182">
        <v>3721932.8333333335</v>
      </c>
      <c r="X82" s="183">
        <f t="shared" si="24"/>
        <v>23064.998487317323</v>
      </c>
      <c r="Y82" s="192">
        <f t="shared" si="16"/>
        <v>2.103441667739725E-2</v>
      </c>
      <c r="AA82" s="181" t="s">
        <v>72</v>
      </c>
      <c r="AC82" s="182">
        <f t="shared" si="28"/>
        <v>82982378.876617327</v>
      </c>
      <c r="AD82" s="191">
        <f t="shared" si="25"/>
        <v>22295.506822002204</v>
      </c>
    </row>
    <row r="83" spans="1:30" ht="14.4">
      <c r="A83" s="187">
        <v>36373</v>
      </c>
      <c r="B83" s="182">
        <v>9403862</v>
      </c>
      <c r="C83" s="182">
        <v>98464.036560000008</v>
      </c>
      <c r="D83" s="182">
        <f t="shared" si="18"/>
        <v>9305397.9634399991</v>
      </c>
      <c r="E83" s="188">
        <v>-188605.2518719174</v>
      </c>
      <c r="F83" s="189">
        <f t="shared" si="26"/>
        <v>-230714.8493774524</v>
      </c>
      <c r="G83" s="182">
        <f t="shared" si="19"/>
        <v>9592467.2518719174</v>
      </c>
      <c r="I83" s="182">
        <f t="shared" si="20"/>
        <v>9494003.2153119165</v>
      </c>
      <c r="K83" s="182">
        <v>8671124.3255000003</v>
      </c>
      <c r="M83" s="188">
        <f t="shared" si="21"/>
        <v>8846873.884395713</v>
      </c>
      <c r="N83" s="189">
        <f t="shared" si="22"/>
        <v>-175749.55889571272</v>
      </c>
      <c r="O83" s="189">
        <f t="shared" si="27"/>
        <v>8577257.1983750165</v>
      </c>
      <c r="Q83" s="185"/>
      <c r="S83" s="190">
        <f t="shared" si="23"/>
        <v>86220874.976391882</v>
      </c>
      <c r="T83" s="192">
        <f t="shared" si="15"/>
        <v>3.9663662012860978E-2</v>
      </c>
      <c r="V83" s="192">
        <f t="shared" si="17"/>
        <v>1.894449021992628E-2</v>
      </c>
      <c r="W83" s="182">
        <v>3728279</v>
      </c>
      <c r="X83" s="183">
        <f t="shared" si="24"/>
        <v>23126.18636544955</v>
      </c>
      <c r="Y83" s="192">
        <f t="shared" si="16"/>
        <v>2.0333955374215673E-2</v>
      </c>
      <c r="AA83" s="181" t="s">
        <v>73</v>
      </c>
      <c r="AC83" s="182">
        <f t="shared" si="28"/>
        <v>83075285.849377453</v>
      </c>
      <c r="AD83" s="191">
        <f t="shared" si="25"/>
        <v>22282.475600505608</v>
      </c>
    </row>
    <row r="84" spans="1:30" ht="14.4">
      <c r="A84" s="187">
        <v>36404</v>
      </c>
      <c r="B84" s="182">
        <v>8594946</v>
      </c>
      <c r="C84" s="182">
        <v>87817.774250000002</v>
      </c>
      <c r="D84" s="182">
        <f t="shared" si="18"/>
        <v>8507128.2257499993</v>
      </c>
      <c r="E84" s="188">
        <v>-296370.97000949457</v>
      </c>
      <c r="F84" s="189">
        <f t="shared" si="26"/>
        <v>-570094.49948797096</v>
      </c>
      <c r="G84" s="182">
        <f t="shared" si="19"/>
        <v>8891316.9700094946</v>
      </c>
      <c r="I84" s="182">
        <f t="shared" si="20"/>
        <v>8803499.1957594939</v>
      </c>
      <c r="K84" s="182">
        <v>8146553.9735000012</v>
      </c>
      <c r="M84" s="188">
        <f t="shared" si="21"/>
        <v>8430363.2731004003</v>
      </c>
      <c r="N84" s="189">
        <f t="shared" si="22"/>
        <v>-283809.2996003991</v>
      </c>
      <c r="O84" s="189">
        <f t="shared" si="27"/>
        <v>8638618.5787480567</v>
      </c>
      <c r="Q84" s="185"/>
      <c r="S84" s="190">
        <f t="shared" si="23"/>
        <v>86755470.284500584</v>
      </c>
      <c r="T84" s="192">
        <f t="shared" si="15"/>
        <v>4.3520390274802034E-2</v>
      </c>
      <c r="V84" s="192">
        <f t="shared" si="17"/>
        <v>1.9243615468719888E-2</v>
      </c>
      <c r="W84" s="182">
        <v>3734913.4166666665</v>
      </c>
      <c r="X84" s="183">
        <f t="shared" si="24"/>
        <v>23228.24135557286</v>
      </c>
      <c r="Y84" s="192">
        <f t="shared" si="16"/>
        <v>2.3818422247283699E-2</v>
      </c>
      <c r="AA84" s="181" t="s">
        <v>74</v>
      </c>
      <c r="AC84" s="182">
        <f t="shared" si="28"/>
        <v>84205739.499487966</v>
      </c>
      <c r="AD84" s="191">
        <f t="shared" si="25"/>
        <v>22545.566685355683</v>
      </c>
    </row>
    <row r="85" spans="1:30" ht="14.4">
      <c r="A85" s="187">
        <v>36434</v>
      </c>
      <c r="B85" s="182">
        <v>8067232</v>
      </c>
      <c r="C85" s="182">
        <v>86772.764060000001</v>
      </c>
      <c r="D85" s="182">
        <f t="shared" si="18"/>
        <v>7980459.23594</v>
      </c>
      <c r="E85" s="188">
        <v>-164101.58655340783</v>
      </c>
      <c r="F85" s="189">
        <f t="shared" si="26"/>
        <v>-1151904.2562972577</v>
      </c>
      <c r="G85" s="182">
        <f t="shared" si="19"/>
        <v>8231333.5865534078</v>
      </c>
      <c r="I85" s="182">
        <f t="shared" si="20"/>
        <v>8144560.8224934079</v>
      </c>
      <c r="K85" s="182">
        <v>7149868.7314999998</v>
      </c>
      <c r="M85" s="188">
        <f t="shared" si="21"/>
        <v>7296890.9476155555</v>
      </c>
      <c r="N85" s="189">
        <f t="shared" si="22"/>
        <v>-147022.21611555573</v>
      </c>
      <c r="O85" s="189">
        <f t="shared" si="27"/>
        <v>7863627.1103579774</v>
      </c>
      <c r="Q85" s="185"/>
      <c r="S85" s="190">
        <f t="shared" si="23"/>
        <v>86952589.816612899</v>
      </c>
      <c r="T85" s="192">
        <f t="shared" si="15"/>
        <v>4.4185775938240024E-2</v>
      </c>
      <c r="V85" s="192">
        <f t="shared" si="17"/>
        <v>1.9637078357678472E-2</v>
      </c>
      <c r="W85" s="182">
        <v>3741813.0833333335</v>
      </c>
      <c r="X85" s="183">
        <f t="shared" si="24"/>
        <v>23238.09016647956</v>
      </c>
      <c r="Y85" s="192">
        <f t="shared" si="16"/>
        <v>2.4075916913596451E-2</v>
      </c>
      <c r="AA85" s="181" t="s">
        <v>75</v>
      </c>
      <c r="AC85" s="182">
        <f t="shared" si="28"/>
        <v>85060400.256297246</v>
      </c>
      <c r="AD85" s="191">
        <f t="shared" si="25"/>
        <v>22732.402277166279</v>
      </c>
    </row>
    <row r="86" spans="1:30" ht="14.4">
      <c r="A86" s="187">
        <v>36465</v>
      </c>
      <c r="B86" s="182">
        <v>6660847</v>
      </c>
      <c r="C86" s="182">
        <v>73607.742839999992</v>
      </c>
      <c r="D86" s="182">
        <f t="shared" si="18"/>
        <v>6587239.2571599996</v>
      </c>
      <c r="E86" s="188">
        <v>-184363.39386250172</v>
      </c>
      <c r="F86" s="189">
        <f t="shared" si="26"/>
        <v>-1593685.4502326306</v>
      </c>
      <c r="G86" s="182">
        <f t="shared" si="19"/>
        <v>6845210.3938625017</v>
      </c>
      <c r="I86" s="182">
        <f t="shared" si="20"/>
        <v>6771602.6510225013</v>
      </c>
      <c r="K86" s="182">
        <v>6512931.9835000001</v>
      </c>
      <c r="M86" s="188">
        <f t="shared" si="21"/>
        <v>6695215.6683029383</v>
      </c>
      <c r="N86" s="189">
        <f t="shared" si="22"/>
        <v>-182283.68480293825</v>
      </c>
      <c r="O86" s="189">
        <f t="shared" si="27"/>
        <v>6996053.3079592474</v>
      </c>
      <c r="Q86" s="185"/>
      <c r="S86" s="190">
        <f t="shared" si="23"/>
        <v>86974114.204223648</v>
      </c>
      <c r="T86" s="192">
        <f t="shared" si="15"/>
        <v>4.1848892931777959E-2</v>
      </c>
      <c r="V86" s="192">
        <f t="shared" si="17"/>
        <v>2.0014597858255323E-2</v>
      </c>
      <c r="W86" s="182">
        <v>3748754.25</v>
      </c>
      <c r="X86" s="183">
        <f t="shared" si="24"/>
        <v>23200.804428357409</v>
      </c>
      <c r="Y86" s="192">
        <f t="shared" si="16"/>
        <v>2.1405865287975834E-2</v>
      </c>
      <c r="AA86" s="181" t="s">
        <v>76</v>
      </c>
      <c r="AC86" s="182">
        <f t="shared" si="28"/>
        <v>86675357.450232625</v>
      </c>
      <c r="AD86" s="191">
        <f t="shared" si="25"/>
        <v>23121.109485966605</v>
      </c>
    </row>
    <row r="87" spans="1:30" ht="14.4">
      <c r="A87" s="187">
        <v>36495</v>
      </c>
      <c r="B87" s="182">
        <v>6827022</v>
      </c>
      <c r="C87" s="182">
        <v>66504.088279999996</v>
      </c>
      <c r="D87" s="182">
        <f t="shared" si="18"/>
        <v>6760517.9117200002</v>
      </c>
      <c r="E87" s="188">
        <v>-290710.9771500295</v>
      </c>
      <c r="F87" s="189">
        <f t="shared" si="26"/>
        <v>-1894277.2971707573</v>
      </c>
      <c r="G87" s="182">
        <f t="shared" si="19"/>
        <v>7117732.9771500295</v>
      </c>
      <c r="H87" s="182">
        <f>SUM(D76:D87)</f>
        <v>90709895.19404</v>
      </c>
      <c r="I87" s="182">
        <f t="shared" si="20"/>
        <v>7051228.8888700297</v>
      </c>
      <c r="K87" s="182">
        <v>6499619.9405000005</v>
      </c>
      <c r="M87" s="188">
        <f t="shared" si="21"/>
        <v>6779111.968874176</v>
      </c>
      <c r="N87" s="189">
        <f t="shared" si="22"/>
        <v>-279492.02837417554</v>
      </c>
      <c r="O87" s="189">
        <f t="shared" si="27"/>
        <v>6737163.8185885567</v>
      </c>
      <c r="Q87" s="185"/>
      <c r="S87" s="190">
        <f>SUM(O76:O87)</f>
        <v>87077696.121341184</v>
      </c>
      <c r="T87" s="192">
        <f>S87/S75-1</f>
        <v>3.8154987205911928E-2</v>
      </c>
      <c r="V87" s="192">
        <f>W87/W75-1</f>
        <v>2.0524394541195257E-2</v>
      </c>
      <c r="W87" s="182">
        <v>3756009.3333333335</v>
      </c>
      <c r="X87" s="183">
        <f t="shared" si="24"/>
        <v>23183.567556277241</v>
      </c>
      <c r="Y87" s="192">
        <f>X87/X75-1</f>
        <v>1.7276012958654219E-2</v>
      </c>
      <c r="AA87" s="181" t="s">
        <v>77</v>
      </c>
      <c r="AB87" s="181">
        <f>YEAR(A87)</f>
        <v>1999</v>
      </c>
      <c r="AC87" s="182">
        <f>SUM(G76:G87)</f>
        <v>93867810.274320766</v>
      </c>
      <c r="AD87" s="191">
        <f t="shared" si="25"/>
        <v>24991.367684120261</v>
      </c>
    </row>
    <row r="88" spans="1:30" ht="14.4">
      <c r="A88" s="187">
        <v>36526</v>
      </c>
      <c r="B88" s="182">
        <v>6933029</v>
      </c>
      <c r="C88" s="182">
        <v>70321.78946</v>
      </c>
      <c r="D88" s="182">
        <f t="shared" si="18"/>
        <v>6862707.2105400003</v>
      </c>
      <c r="E88" s="188">
        <v>-172127.72159302514</v>
      </c>
      <c r="F88" s="189">
        <f t="shared" si="26"/>
        <v>-2193732.1351085128</v>
      </c>
      <c r="G88" s="182">
        <f t="shared" si="19"/>
        <v>7105156.7215930251</v>
      </c>
      <c r="H88" s="181">
        <f>H87/H75-1</f>
        <v>-8.0128053367117813E-3</v>
      </c>
      <c r="I88" s="182">
        <f t="shared" si="20"/>
        <v>7034834.9321330255</v>
      </c>
      <c r="K88" s="182">
        <v>6436016.7139999997</v>
      </c>
      <c r="M88" s="188">
        <f t="shared" si="21"/>
        <v>6597442.3524731109</v>
      </c>
      <c r="N88" s="189">
        <f t="shared" si="22"/>
        <v>-161425.6384731112</v>
      </c>
      <c r="Q88" s="185"/>
      <c r="S88" s="182">
        <f t="shared" ref="S88:S150" si="29">SUM(M77:M88)</f>
        <v>87442478.556917667</v>
      </c>
      <c r="W88" s="182">
        <v>3763126</v>
      </c>
      <c r="X88" s="183">
        <f t="shared" si="24"/>
        <v>23236.659776185454</v>
      </c>
      <c r="AA88" s="181" t="s">
        <v>66</v>
      </c>
      <c r="AC88" s="182">
        <f t="shared" si="28"/>
        <v>87149083.135108501</v>
      </c>
      <c r="AD88" s="191">
        <f t="shared" si="25"/>
        <v>23158.693898399495</v>
      </c>
    </row>
    <row r="89" spans="1:30" ht="14.4">
      <c r="A89" s="187">
        <v>36557</v>
      </c>
      <c r="B89" s="182">
        <v>6427490</v>
      </c>
      <c r="C89" s="182">
        <v>66200.781090000004</v>
      </c>
      <c r="D89" s="182">
        <f t="shared" si="18"/>
        <v>6361289.2189100003</v>
      </c>
      <c r="E89" s="188">
        <v>-93463.079192710109</v>
      </c>
      <c r="F89" s="189">
        <f t="shared" si="26"/>
        <v>-2325095.5316517698</v>
      </c>
      <c r="G89" s="182">
        <f t="shared" si="19"/>
        <v>6520953.0791927101</v>
      </c>
      <c r="I89" s="182">
        <f t="shared" si="20"/>
        <v>6454752.2981027104</v>
      </c>
      <c r="K89" s="182">
        <v>5829152.9519999996</v>
      </c>
      <c r="M89" s="188">
        <f t="shared" si="21"/>
        <v>5914797.6326976884</v>
      </c>
      <c r="N89" s="189">
        <f t="shared" si="22"/>
        <v>-85644.680697688833</v>
      </c>
      <c r="Q89" s="185"/>
      <c r="S89" s="182">
        <f t="shared" si="29"/>
        <v>87458015.755906492</v>
      </c>
      <c r="W89" s="182">
        <v>3770476.6666666665</v>
      </c>
      <c r="X89" s="183">
        <f t="shared" si="24"/>
        <v>23195.479905522068</v>
      </c>
      <c r="AA89" s="181" t="s">
        <v>67</v>
      </c>
      <c r="AC89" s="182">
        <f t="shared" si="28"/>
        <v>88255471.53165175</v>
      </c>
      <c r="AD89" s="191">
        <f t="shared" si="25"/>
        <v>23406.979895110984</v>
      </c>
    </row>
    <row r="90" spans="1:30" ht="14.4">
      <c r="A90" s="187">
        <v>36586</v>
      </c>
      <c r="B90" s="182">
        <v>7259884</v>
      </c>
      <c r="C90" s="182">
        <v>83859.614029999997</v>
      </c>
      <c r="D90" s="182">
        <f t="shared" si="18"/>
        <v>7176024.3859700002</v>
      </c>
      <c r="E90" s="188">
        <v>29611.547089619562</v>
      </c>
      <c r="F90" s="189">
        <f t="shared" si="26"/>
        <v>-1959404.090411989</v>
      </c>
      <c r="G90" s="182">
        <f t="shared" si="19"/>
        <v>7230272.4529103804</v>
      </c>
      <c r="I90" s="182">
        <f t="shared" si="20"/>
        <v>7146412.8388803806</v>
      </c>
      <c r="K90" s="182">
        <v>6594812.9170000004</v>
      </c>
      <c r="M90" s="188">
        <f t="shared" si="21"/>
        <v>6567599.7133184774</v>
      </c>
      <c r="N90" s="189">
        <f t="shared" si="22"/>
        <v>27213.20368152298</v>
      </c>
      <c r="Q90" s="185"/>
      <c r="S90" s="182">
        <f t="shared" si="29"/>
        <v>87545352.065205872</v>
      </c>
      <c r="W90" s="182">
        <v>3777948.8333333335</v>
      </c>
      <c r="X90" s="183">
        <f t="shared" si="24"/>
        <v>23172.720417169723</v>
      </c>
      <c r="AA90" s="181" t="s">
        <v>68</v>
      </c>
      <c r="AC90" s="182">
        <f t="shared" si="28"/>
        <v>87842184.090411976</v>
      </c>
      <c r="AD90" s="191">
        <f t="shared" si="25"/>
        <v>23251.290042726087</v>
      </c>
    </row>
    <row r="91" spans="1:30" ht="14.4">
      <c r="A91" s="187">
        <v>36617</v>
      </c>
      <c r="B91" s="182">
        <v>7119999</v>
      </c>
      <c r="C91" s="182">
        <v>78916.377260000008</v>
      </c>
      <c r="D91" s="182">
        <f t="shared" si="18"/>
        <v>7041082.6227399996</v>
      </c>
      <c r="E91" s="188">
        <v>-355455.5991066061</v>
      </c>
      <c r="F91" s="189">
        <f t="shared" si="26"/>
        <v>-2249429.2153204679</v>
      </c>
      <c r="G91" s="182">
        <f t="shared" si="19"/>
        <v>7475454.5991066061</v>
      </c>
      <c r="I91" s="182">
        <f t="shared" si="20"/>
        <v>7396538.2218466057</v>
      </c>
      <c r="K91" s="182">
        <v>6780704.1550000003</v>
      </c>
      <c r="M91" s="188">
        <f t="shared" si="21"/>
        <v>7123015.0448049335</v>
      </c>
      <c r="N91" s="189">
        <f t="shared" si="22"/>
        <v>-342310.88980493322</v>
      </c>
      <c r="Q91" s="185"/>
      <c r="S91" s="182">
        <f t="shared" si="29"/>
        <v>88365442.887623817</v>
      </c>
      <c r="W91" s="182">
        <v>3785721.4166666665</v>
      </c>
      <c r="X91" s="183">
        <f t="shared" si="24"/>
        <v>23341.771134715378</v>
      </c>
      <c r="AA91" s="181" t="s">
        <v>69</v>
      </c>
      <c r="AC91" s="182">
        <f t="shared" si="28"/>
        <v>87919553.215320468</v>
      </c>
      <c r="AD91" s="191">
        <f t="shared" si="25"/>
        <v>23223.989178985539</v>
      </c>
    </row>
    <row r="92" spans="1:30" ht="14.4">
      <c r="A92" s="187">
        <v>36647</v>
      </c>
      <c r="B92" s="182">
        <v>8740275</v>
      </c>
      <c r="C92" s="182">
        <v>91193.981380000012</v>
      </c>
      <c r="D92" s="182">
        <f t="shared" si="18"/>
        <v>8649081.0186199993</v>
      </c>
      <c r="E92" s="188">
        <v>58444.550642898306</v>
      </c>
      <c r="F92" s="189">
        <f t="shared" si="26"/>
        <v>-2272228.6611127965</v>
      </c>
      <c r="G92" s="182">
        <f t="shared" si="19"/>
        <v>8681830.4493571017</v>
      </c>
      <c r="I92" s="182">
        <f t="shared" si="20"/>
        <v>8590636.467977101</v>
      </c>
      <c r="K92" s="182">
        <v>7593782.1749999998</v>
      </c>
      <c r="M92" s="188">
        <f t="shared" si="21"/>
        <v>7542468.6093226215</v>
      </c>
      <c r="N92" s="189">
        <f t="shared" si="22"/>
        <v>51313.565677378327</v>
      </c>
      <c r="Q92" s="185"/>
      <c r="S92" s="182">
        <f t="shared" si="29"/>
        <v>88416555.155156881</v>
      </c>
      <c r="W92" s="182">
        <v>3793510.9166666665</v>
      </c>
      <c r="X92" s="183">
        <f t="shared" si="24"/>
        <v>23307.315333323975</v>
      </c>
      <c r="AA92" s="181" t="s">
        <v>70</v>
      </c>
      <c r="AC92" s="182">
        <f t="shared" si="28"/>
        <v>87122758.6611128</v>
      </c>
      <c r="AD92" s="191">
        <f t="shared" si="25"/>
        <v>22966.260167683136</v>
      </c>
    </row>
    <row r="93" spans="1:30" ht="14.4">
      <c r="A93" s="187">
        <v>36678</v>
      </c>
      <c r="B93" s="182">
        <v>9062939</v>
      </c>
      <c r="C93" s="182">
        <v>94618.332770000008</v>
      </c>
      <c r="D93" s="182">
        <f t="shared" si="18"/>
        <v>8968320.6672300007</v>
      </c>
      <c r="E93" s="188">
        <v>-139999.02584639937</v>
      </c>
      <c r="F93" s="189">
        <f t="shared" si="26"/>
        <v>-1601764.3913566116</v>
      </c>
      <c r="G93" s="182">
        <f t="shared" si="19"/>
        <v>9202938.0258463994</v>
      </c>
      <c r="I93" s="182">
        <f t="shared" si="20"/>
        <v>9108319.6930764001</v>
      </c>
      <c r="K93" s="182">
        <v>8565190.4529999997</v>
      </c>
      <c r="M93" s="188">
        <f t="shared" si="21"/>
        <v>8698896.4570672307</v>
      </c>
      <c r="N93" s="189">
        <f t="shared" si="22"/>
        <v>-133706.00406723097</v>
      </c>
      <c r="Q93" s="185"/>
      <c r="S93" s="182">
        <f t="shared" si="29"/>
        <v>88800316.064327165</v>
      </c>
      <c r="W93" s="182">
        <v>3801374.75</v>
      </c>
      <c r="X93" s="183">
        <f t="shared" si="24"/>
        <v>23360.053113502468</v>
      </c>
      <c r="AA93" s="181" t="s">
        <v>71</v>
      </c>
      <c r="AC93" s="182">
        <f t="shared" si="28"/>
        <v>87106244.391356617</v>
      </c>
      <c r="AD93" s="191">
        <f t="shared" si="25"/>
        <v>22914.406003079966</v>
      </c>
    </row>
    <row r="94" spans="1:30" ht="14.4">
      <c r="A94" s="187">
        <v>36708</v>
      </c>
      <c r="B94" s="182">
        <v>9469377</v>
      </c>
      <c r="C94" s="182">
        <v>103157.88664</v>
      </c>
      <c r="D94" s="182">
        <f t="shared" si="18"/>
        <v>9366219.1133600008</v>
      </c>
      <c r="E94" s="188">
        <v>-264614.34610709362</v>
      </c>
      <c r="F94" s="189">
        <f t="shared" si="26"/>
        <v>-1797141.5074535739</v>
      </c>
      <c r="G94" s="182">
        <f t="shared" si="19"/>
        <v>9733991.3461070936</v>
      </c>
      <c r="I94" s="182">
        <f t="shared" si="20"/>
        <v>9630833.4594670944</v>
      </c>
      <c r="K94" s="182">
        <v>8442552.477</v>
      </c>
      <c r="M94" s="188">
        <f t="shared" si="21"/>
        <v>8681071.4008194916</v>
      </c>
      <c r="N94" s="189">
        <f t="shared" si="22"/>
        <v>-238518.92381949164</v>
      </c>
      <c r="Q94" s="185"/>
      <c r="S94" s="182">
        <f t="shared" si="29"/>
        <v>89173746.952792332</v>
      </c>
      <c r="W94" s="182">
        <v>3809292.3333333335</v>
      </c>
      <c r="X94" s="183">
        <f t="shared" si="24"/>
        <v>23409.530996735175</v>
      </c>
      <c r="AA94" s="181" t="s">
        <v>72</v>
      </c>
      <c r="AC94" s="182">
        <f t="shared" si="28"/>
        <v>86894666.507453591</v>
      </c>
      <c r="AD94" s="191">
        <f t="shared" si="25"/>
        <v>22811.236025935592</v>
      </c>
    </row>
    <row r="95" spans="1:30" ht="14.4">
      <c r="A95" s="187">
        <v>36739</v>
      </c>
      <c r="B95" s="182">
        <v>9761639</v>
      </c>
      <c r="C95" s="182">
        <v>99826.825440000015</v>
      </c>
      <c r="D95" s="182">
        <f t="shared" si="18"/>
        <v>9661812.1745599993</v>
      </c>
      <c r="E95" s="188">
        <v>-276154.12229831517</v>
      </c>
      <c r="F95" s="189">
        <f t="shared" si="26"/>
        <v>-1873150.6016887501</v>
      </c>
      <c r="G95" s="182">
        <f t="shared" si="19"/>
        <v>10037793.122298315</v>
      </c>
      <c r="I95" s="182">
        <f t="shared" si="20"/>
        <v>9937966.2968583144</v>
      </c>
      <c r="K95" s="182">
        <v>8943291.5050000008</v>
      </c>
      <c r="M95" s="188">
        <f t="shared" si="21"/>
        <v>9198908.8541474156</v>
      </c>
      <c r="N95" s="189">
        <f t="shared" si="22"/>
        <v>-255617.34914741479</v>
      </c>
      <c r="Q95" s="185"/>
      <c r="S95" s="182">
        <f t="shared" si="29"/>
        <v>89525781.922544047</v>
      </c>
      <c r="W95" s="182">
        <v>3817261</v>
      </c>
      <c r="X95" s="183">
        <f t="shared" si="24"/>
        <v>23452.884652776967</v>
      </c>
      <c r="AA95" s="181" t="s">
        <v>73</v>
      </c>
      <c r="AC95" s="182">
        <f t="shared" si="28"/>
        <v>87036190.601688743</v>
      </c>
      <c r="AD95" s="191">
        <f t="shared" si="25"/>
        <v>22800.691543409986</v>
      </c>
    </row>
    <row r="96" spans="1:30" ht="14.4">
      <c r="A96" s="187">
        <v>36770</v>
      </c>
      <c r="B96" s="182">
        <v>9347497</v>
      </c>
      <c r="C96" s="182">
        <v>93374.820980000004</v>
      </c>
      <c r="D96" s="182">
        <f t="shared" si="18"/>
        <v>9254122.1790200006</v>
      </c>
      <c r="E96" s="188">
        <v>71007.605309596285</v>
      </c>
      <c r="F96" s="189">
        <f t="shared" si="26"/>
        <v>-1852933.7539775707</v>
      </c>
      <c r="G96" s="182">
        <f t="shared" si="19"/>
        <v>9276489.3946904037</v>
      </c>
      <c r="I96" s="182">
        <f t="shared" si="20"/>
        <v>9183114.5737104043</v>
      </c>
      <c r="K96" s="182">
        <v>8889528.4879999999</v>
      </c>
      <c r="M96" s="188">
        <f t="shared" si="21"/>
        <v>8821318.4386778325</v>
      </c>
      <c r="N96" s="189">
        <f t="shared" si="22"/>
        <v>68210.049322167411</v>
      </c>
      <c r="Q96" s="185"/>
      <c r="S96" s="182">
        <f t="shared" si="29"/>
        <v>89916737.088121474</v>
      </c>
      <c r="W96" s="182">
        <v>3825148.1666666665</v>
      </c>
      <c r="X96" s="183">
        <f t="shared" si="24"/>
        <v>23506.733117341504</v>
      </c>
      <c r="AA96" s="181" t="s">
        <v>74</v>
      </c>
      <c r="AC96" s="182">
        <f t="shared" si="28"/>
        <v>88182666.753977567</v>
      </c>
      <c r="AD96" s="191">
        <f t="shared" si="25"/>
        <v>23053.398956522575</v>
      </c>
    </row>
    <row r="97" spans="1:30" ht="14.4">
      <c r="A97" s="187">
        <v>36800</v>
      </c>
      <c r="B97" s="182">
        <v>7859013</v>
      </c>
      <c r="C97" s="182">
        <v>80438.360880000007</v>
      </c>
      <c r="D97" s="182">
        <f t="shared" si="18"/>
        <v>7778574.6391200004</v>
      </c>
      <c r="E97" s="188">
        <v>-793071.16325255297</v>
      </c>
      <c r="F97" s="189">
        <f t="shared" si="26"/>
        <v>-1617824.5621145666</v>
      </c>
      <c r="G97" s="182">
        <f t="shared" si="19"/>
        <v>8652084.163252553</v>
      </c>
      <c r="I97" s="182">
        <f t="shared" si="20"/>
        <v>8571645.8023725525</v>
      </c>
      <c r="K97" s="182">
        <v>6987935.5350000001</v>
      </c>
      <c r="M97" s="188">
        <f t="shared" si="21"/>
        <v>7700396.418978001</v>
      </c>
      <c r="N97" s="189">
        <f t="shared" si="22"/>
        <v>-712460.88397800084</v>
      </c>
      <c r="Q97" s="185"/>
      <c r="S97" s="182">
        <f t="shared" si="29"/>
        <v>90320242.55948393</v>
      </c>
      <c r="W97" s="182">
        <v>3833069.5</v>
      </c>
      <c r="X97" s="183">
        <f t="shared" si="24"/>
        <v>23563.424185103853</v>
      </c>
      <c r="AA97" s="181" t="s">
        <v>75</v>
      </c>
      <c r="AC97" s="182">
        <f t="shared" si="28"/>
        <v>89227822.562114567</v>
      </c>
      <c r="AD97" s="191">
        <f t="shared" si="25"/>
        <v>23278.425440006911</v>
      </c>
    </row>
    <row r="98" spans="1:30" ht="14.4">
      <c r="A98" s="187">
        <v>36831</v>
      </c>
      <c r="B98" s="182">
        <v>6968459</v>
      </c>
      <c r="C98" s="182">
        <v>71074.629849999998</v>
      </c>
      <c r="D98" s="182">
        <f t="shared" si="18"/>
        <v>6897384.3701499999</v>
      </c>
      <c r="E98" s="188">
        <v>-196512.51580945961</v>
      </c>
      <c r="F98" s="189">
        <f t="shared" si="26"/>
        <v>-2226532.3315046178</v>
      </c>
      <c r="G98" s="182">
        <f t="shared" si="19"/>
        <v>7164971.5158094596</v>
      </c>
      <c r="I98" s="182">
        <f t="shared" si="20"/>
        <v>7093896.8859594595</v>
      </c>
      <c r="K98" s="182">
        <v>6606429.3820000002</v>
      </c>
      <c r="M98" s="188">
        <f t="shared" si="21"/>
        <v>6794652.3356159832</v>
      </c>
      <c r="N98" s="189">
        <f t="shared" si="22"/>
        <v>-188222.95361598302</v>
      </c>
      <c r="Q98" s="185"/>
      <c r="S98" s="182">
        <f t="shared" si="29"/>
        <v>90419679.22679697</v>
      </c>
      <c r="W98" s="182">
        <v>3840823.8333333335</v>
      </c>
      <c r="X98" s="183">
        <f t="shared" si="24"/>
        <v>23541.74082187063</v>
      </c>
      <c r="AA98" s="181" t="s">
        <v>76</v>
      </c>
      <c r="AC98" s="182">
        <f t="shared" si="28"/>
        <v>91034696.331504613</v>
      </c>
      <c r="AD98" s="191">
        <f t="shared" si="25"/>
        <v>23701.867172725386</v>
      </c>
    </row>
    <row r="99" spans="1:30" ht="14.4">
      <c r="A99" s="187">
        <v>36861</v>
      </c>
      <c r="B99" s="182">
        <v>7363686</v>
      </c>
      <c r="C99" s="182">
        <v>72103.283639999994</v>
      </c>
      <c r="D99" s="182">
        <f t="shared" si="18"/>
        <v>7291582.71636</v>
      </c>
      <c r="E99" s="188">
        <v>48899.412252072245</v>
      </c>
      <c r="F99" s="189">
        <f t="shared" si="26"/>
        <v>-2132333.8701640479</v>
      </c>
      <c r="G99" s="182">
        <f t="shared" si="19"/>
        <v>7314786.5877479278</v>
      </c>
      <c r="I99" s="182">
        <f t="shared" si="20"/>
        <v>7242683.3041079277</v>
      </c>
      <c r="K99" s="182">
        <v>6458710.6600000001</v>
      </c>
      <c r="M99" s="188">
        <f t="shared" si="21"/>
        <v>6415396.7228939207</v>
      </c>
      <c r="N99" s="189">
        <f t="shared" si="22"/>
        <v>43313.937106079422</v>
      </c>
      <c r="Q99" s="185"/>
      <c r="S99" s="182">
        <f t="shared" si="29"/>
        <v>90055963.980816707</v>
      </c>
      <c r="W99" s="182">
        <v>3848350.3333333335</v>
      </c>
      <c r="X99" s="183">
        <f t="shared" si="24"/>
        <v>23401.186529401224</v>
      </c>
      <c r="Y99" s="192">
        <f>X99/X87-1</f>
        <v>9.3867767588280415E-3</v>
      </c>
      <c r="AA99" s="181" t="s">
        <v>77</v>
      </c>
      <c r="AB99" s="181">
        <f>YEAR(A99)</f>
        <v>2000</v>
      </c>
      <c r="AC99" s="182">
        <f>SUM(G88:G99)</f>
        <v>98396721.457911983</v>
      </c>
      <c r="AD99" s="191">
        <f t="shared" si="25"/>
        <v>25568.54572350836</v>
      </c>
    </row>
    <row r="100" spans="1:30" ht="14.4">
      <c r="A100" s="187">
        <v>36892</v>
      </c>
      <c r="B100" s="182">
        <v>7955636</v>
      </c>
      <c r="C100" s="182">
        <v>79330.0541375584</v>
      </c>
      <c r="D100" s="182">
        <f t="shared" si="18"/>
        <v>7876305.9458624413</v>
      </c>
      <c r="E100" s="188">
        <v>375588.29409087449</v>
      </c>
      <c r="F100" s="189">
        <f t="shared" si="26"/>
        <v>-1911306.7363189505</v>
      </c>
      <c r="G100" s="182">
        <f t="shared" si="19"/>
        <v>7580047.7059091255</v>
      </c>
      <c r="I100" s="182">
        <f t="shared" si="20"/>
        <v>7500717.6517715668</v>
      </c>
      <c r="K100" s="182">
        <v>7441897.4790000003</v>
      </c>
      <c r="M100" s="188">
        <f t="shared" si="21"/>
        <v>7087024.319152128</v>
      </c>
      <c r="N100" s="189">
        <f t="shared" si="22"/>
        <v>354873.15984787233</v>
      </c>
      <c r="Q100" s="185"/>
      <c r="S100" s="182">
        <f t="shared" si="29"/>
        <v>90545545.947495729</v>
      </c>
      <c r="W100" s="182">
        <v>3856068.3333333335</v>
      </c>
      <c r="X100" s="183">
        <f t="shared" si="24"/>
        <v>23481.312601435326</v>
      </c>
      <c r="AA100" s="181" t="s">
        <v>66</v>
      </c>
      <c r="AC100" s="182">
        <f t="shared" si="28"/>
        <v>91291564.736318961</v>
      </c>
      <c r="AD100" s="191">
        <f t="shared" si="25"/>
        <v>23674.778775873772</v>
      </c>
    </row>
    <row r="101" spans="1:30" ht="14.4">
      <c r="A101" s="187">
        <v>36923</v>
      </c>
      <c r="B101" s="182">
        <v>6673205</v>
      </c>
      <c r="C101" s="182">
        <v>74760.292304070797</v>
      </c>
      <c r="D101" s="182">
        <f t="shared" si="18"/>
        <v>6598444.7076959293</v>
      </c>
      <c r="E101" s="188">
        <v>53359.109546105377</v>
      </c>
      <c r="F101" s="189">
        <f t="shared" si="26"/>
        <v>-1442255.3630353659</v>
      </c>
      <c r="G101" s="182">
        <f t="shared" si="19"/>
        <v>6619845.8904538946</v>
      </c>
      <c r="I101" s="182">
        <f t="shared" si="20"/>
        <v>6545085.598149824</v>
      </c>
      <c r="K101" s="182">
        <v>6087824.7439999999</v>
      </c>
      <c r="M101" s="188">
        <f t="shared" si="21"/>
        <v>6038594.8236471452</v>
      </c>
      <c r="N101" s="189">
        <f t="shared" si="22"/>
        <v>49229.920352854766</v>
      </c>
      <c r="Q101" s="185"/>
      <c r="S101" s="182">
        <f t="shared" si="29"/>
        <v>90669343.138445184</v>
      </c>
      <c r="W101" s="182">
        <v>3863595.25</v>
      </c>
      <c r="X101" s="183">
        <f t="shared" si="24"/>
        <v>23467.609123508781</v>
      </c>
      <c r="AA101" s="181" t="s">
        <v>67</v>
      </c>
      <c r="AC101" s="182">
        <f t="shared" si="28"/>
        <v>92350659.363035381</v>
      </c>
      <c r="AD101" s="191">
        <f t="shared" si="25"/>
        <v>23902.777953522793</v>
      </c>
    </row>
    <row r="102" spans="1:30" ht="14.4">
      <c r="A102" s="187">
        <v>36951</v>
      </c>
      <c r="B102" s="182">
        <v>7452641.5</v>
      </c>
      <c r="C102" s="182">
        <v>82514.615058745592</v>
      </c>
      <c r="D102" s="182">
        <f t="shared" si="18"/>
        <v>7370126.8849412547</v>
      </c>
      <c r="E102" s="188">
        <v>84734.166267976165</v>
      </c>
      <c r="F102" s="189">
        <f t="shared" si="26"/>
        <v>-1418507.8005788801</v>
      </c>
      <c r="G102" s="182">
        <f t="shared" si="19"/>
        <v>7367907.3337320238</v>
      </c>
      <c r="I102" s="182">
        <f t="shared" si="20"/>
        <v>7285392.7186732786</v>
      </c>
      <c r="K102" s="182">
        <v>6883310.1069999998</v>
      </c>
      <c r="M102" s="188">
        <f t="shared" si="21"/>
        <v>6804172.8611715343</v>
      </c>
      <c r="N102" s="189">
        <f t="shared" si="22"/>
        <v>79137.245828465559</v>
      </c>
      <c r="Q102" s="185"/>
      <c r="S102" s="182">
        <f t="shared" si="29"/>
        <v>90905916.28629823</v>
      </c>
      <c r="W102" s="182">
        <v>3870921.8333333335</v>
      </c>
      <c r="X102" s="183">
        <f t="shared" si="24"/>
        <v>23484.30689131669</v>
      </c>
      <c r="AA102" s="181" t="s">
        <v>68</v>
      </c>
      <c r="AC102" s="182">
        <f t="shared" si="28"/>
        <v>91740232.800578877</v>
      </c>
      <c r="AD102" s="191">
        <f t="shared" si="25"/>
        <v>23699.841213683048</v>
      </c>
    </row>
    <row r="103" spans="1:30" ht="14.4">
      <c r="A103" s="187">
        <v>36982</v>
      </c>
      <c r="B103" s="182">
        <v>7530065.5</v>
      </c>
      <c r="C103" s="182">
        <v>79847.321921651586</v>
      </c>
      <c r="D103" s="182">
        <f t="shared" si="18"/>
        <v>7450218.1780783487</v>
      </c>
      <c r="E103" s="188">
        <v>-198109.60583042167</v>
      </c>
      <c r="F103" s="189">
        <f t="shared" si="26"/>
        <v>-978318.03520429786</v>
      </c>
      <c r="G103" s="182">
        <f t="shared" si="19"/>
        <v>7728175.1058304217</v>
      </c>
      <c r="I103" s="182">
        <f t="shared" si="20"/>
        <v>7648327.7839087704</v>
      </c>
      <c r="K103" s="182">
        <v>7165444.5149999997</v>
      </c>
      <c r="M103" s="188">
        <f t="shared" si="21"/>
        <v>7355981.6717027789</v>
      </c>
      <c r="N103" s="189">
        <f t="shared" si="22"/>
        <v>-190537.15670277923</v>
      </c>
      <c r="Q103" s="185"/>
      <c r="S103" s="182">
        <f t="shared" si="29"/>
        <v>91138882.913196072</v>
      </c>
      <c r="W103" s="182">
        <v>3878341.4166666665</v>
      </c>
      <c r="X103" s="183">
        <f t="shared" si="24"/>
        <v>23499.448120152239</v>
      </c>
      <c r="AA103" s="181" t="s">
        <v>69</v>
      </c>
      <c r="AC103" s="182">
        <f t="shared" si="28"/>
        <v>91632685.535204291</v>
      </c>
      <c r="AD103" s="191">
        <f t="shared" si="25"/>
        <v>23626.771263980208</v>
      </c>
    </row>
    <row r="104" spans="1:30" ht="14.4">
      <c r="A104" s="187">
        <v>37012</v>
      </c>
      <c r="B104" s="182">
        <v>8240323</v>
      </c>
      <c r="C104" s="182">
        <v>81412.329852584007</v>
      </c>
      <c r="D104" s="182">
        <f t="shared" si="18"/>
        <v>8158910.6701474162</v>
      </c>
      <c r="E104" s="188">
        <v>-624916.33178368211</v>
      </c>
      <c r="F104" s="189">
        <f t="shared" si="26"/>
        <v>-1234872.1916776178</v>
      </c>
      <c r="G104" s="182">
        <f t="shared" si="19"/>
        <v>8865239.3317836821</v>
      </c>
      <c r="I104" s="182">
        <f t="shared" si="20"/>
        <v>8783827.0019310974</v>
      </c>
      <c r="K104" s="182">
        <v>7087610.7450000001</v>
      </c>
      <c r="M104" s="188">
        <f t="shared" si="21"/>
        <v>7630472.8851729333</v>
      </c>
      <c r="N104" s="189">
        <f t="shared" si="22"/>
        <v>-542862.14017293323</v>
      </c>
      <c r="Q104" s="185"/>
      <c r="S104" s="182">
        <f t="shared" si="29"/>
        <v>91226887.189046383</v>
      </c>
      <c r="W104" s="182">
        <v>3885832.6666666665</v>
      </c>
      <c r="X104" s="183">
        <f t="shared" si="24"/>
        <v>23476.792495880261</v>
      </c>
      <c r="AA104" s="181" t="s">
        <v>70</v>
      </c>
      <c r="AC104" s="182">
        <f t="shared" si="28"/>
        <v>90679030.191677615</v>
      </c>
      <c r="AD104" s="191">
        <f t="shared" si="25"/>
        <v>23335.804181569052</v>
      </c>
    </row>
    <row r="105" spans="1:30" ht="14.4">
      <c r="A105" s="187">
        <v>37043</v>
      </c>
      <c r="B105" s="182">
        <v>9174316</v>
      </c>
      <c r="C105" s="182">
        <v>92014.682859930399</v>
      </c>
      <c r="D105" s="182">
        <f t="shared" si="18"/>
        <v>9082301.3171400689</v>
      </c>
      <c r="E105" s="188">
        <v>-173085.55999645218</v>
      </c>
      <c r="F105" s="189">
        <f t="shared" si="26"/>
        <v>-1719789.4976149006</v>
      </c>
      <c r="G105" s="182">
        <f t="shared" si="19"/>
        <v>9347401.5599964522</v>
      </c>
      <c r="I105" s="182">
        <f t="shared" si="20"/>
        <v>9255386.877136521</v>
      </c>
      <c r="K105" s="182">
        <v>8705669.9979999997</v>
      </c>
      <c r="M105" s="188">
        <f t="shared" si="21"/>
        <v>8871577.9231097382</v>
      </c>
      <c r="N105" s="189">
        <f t="shared" si="22"/>
        <v>-165907.92510973848</v>
      </c>
      <c r="Q105" s="185"/>
      <c r="S105" s="182">
        <f t="shared" si="29"/>
        <v>91399568.655088887</v>
      </c>
      <c r="W105" s="182">
        <v>3893073.5833333335</v>
      </c>
      <c r="X105" s="183">
        <f t="shared" si="24"/>
        <v>23477.48294467905</v>
      </c>
      <c r="AA105" s="181" t="s">
        <v>71</v>
      </c>
      <c r="AC105" s="182">
        <f t="shared" si="28"/>
        <v>90341331.497614905</v>
      </c>
      <c r="AD105" s="191">
        <f t="shared" si="25"/>
        <v>23205.657320317769</v>
      </c>
    </row>
    <row r="106" spans="1:30" ht="14.4">
      <c r="A106" s="187">
        <v>37073</v>
      </c>
      <c r="B106" s="182">
        <v>9562389</v>
      </c>
      <c r="C106" s="182">
        <v>93350.460434141612</v>
      </c>
      <c r="D106" s="182">
        <f t="shared" si="18"/>
        <v>9469038.5395658575</v>
      </c>
      <c r="E106" s="188">
        <v>-491873.59936583042</v>
      </c>
      <c r="F106" s="189">
        <f t="shared" si="26"/>
        <v>-1628260.7115042591</v>
      </c>
      <c r="G106" s="182">
        <f t="shared" si="19"/>
        <v>10054262.59936583</v>
      </c>
      <c r="I106" s="182">
        <f t="shared" si="20"/>
        <v>9960912.1389316879</v>
      </c>
      <c r="K106" s="182">
        <v>8327398.2139999997</v>
      </c>
      <c r="M106" s="188">
        <f t="shared" si="21"/>
        <v>8759968.7770785782</v>
      </c>
      <c r="N106" s="189">
        <f t="shared" si="22"/>
        <v>-432570.56307857856</v>
      </c>
      <c r="Q106" s="185"/>
      <c r="S106" s="182">
        <f t="shared" si="29"/>
        <v>91478466.031348005</v>
      </c>
      <c r="W106" s="182">
        <v>3900560.8333333335</v>
      </c>
      <c r="X106" s="183">
        <f t="shared" si="24"/>
        <v>23452.644360675826</v>
      </c>
      <c r="AA106" s="181" t="s">
        <v>72</v>
      </c>
      <c r="AC106" s="182">
        <f t="shared" si="28"/>
        <v>89954741.711504266</v>
      </c>
      <c r="AD106" s="191">
        <f t="shared" si="25"/>
        <v>23062.001992834175</v>
      </c>
    </row>
    <row r="107" spans="1:30" ht="14.4">
      <c r="A107" s="187">
        <v>37104</v>
      </c>
      <c r="B107" s="182">
        <v>10155588</v>
      </c>
      <c r="C107" s="182">
        <v>95793.006165334795</v>
      </c>
      <c r="D107" s="182">
        <f t="shared" si="18"/>
        <v>10059794.993834665</v>
      </c>
      <c r="E107" s="188">
        <v>-70486.798081122339</v>
      </c>
      <c r="F107" s="189">
        <f t="shared" si="26"/>
        <v>-1843980.1885717744</v>
      </c>
      <c r="G107" s="182">
        <f t="shared" si="19"/>
        <v>10226074.798081122</v>
      </c>
      <c r="I107" s="182">
        <f t="shared" si="20"/>
        <v>10130281.791915787</v>
      </c>
      <c r="K107" s="182">
        <v>9304351.6129999999</v>
      </c>
      <c r="M107" s="188">
        <f t="shared" si="21"/>
        <v>9369545.1834279504</v>
      </c>
      <c r="N107" s="189">
        <f t="shared" si="22"/>
        <v>-65193.570427950472</v>
      </c>
      <c r="Q107" s="185"/>
      <c r="S107" s="182">
        <f t="shared" si="29"/>
        <v>91649102.36062853</v>
      </c>
      <c r="W107" s="182">
        <v>3907903.6666666665</v>
      </c>
      <c r="X107" s="183">
        <f t="shared" si="24"/>
        <v>23452.241963477743</v>
      </c>
      <c r="AA107" s="181" t="s">
        <v>73</v>
      </c>
      <c r="AC107" s="182">
        <f t="shared" si="28"/>
        <v>89971211.188571781</v>
      </c>
      <c r="AD107" s="191">
        <f t="shared" si="25"/>
        <v>23022.883587433651</v>
      </c>
    </row>
    <row r="108" spans="1:30" ht="14.4">
      <c r="A108" s="187">
        <v>37135</v>
      </c>
      <c r="B108" s="182">
        <v>8848883</v>
      </c>
      <c r="C108" s="182">
        <v>82749.032472683612</v>
      </c>
      <c r="D108" s="182">
        <f t="shared" si="18"/>
        <v>8766133.9675273169</v>
      </c>
      <c r="E108" s="188">
        <v>-713081.41084447503</v>
      </c>
      <c r="F108" s="189">
        <f t="shared" si="26"/>
        <v>-1985474.591962493</v>
      </c>
      <c r="G108" s="182">
        <f t="shared" si="19"/>
        <v>9561964.410844475</v>
      </c>
      <c r="I108" s="182">
        <f t="shared" si="20"/>
        <v>9479215.3783717919</v>
      </c>
      <c r="K108" s="182">
        <v>8596558.182</v>
      </c>
      <c r="M108" s="188">
        <f t="shared" si="21"/>
        <v>9295845.4458651096</v>
      </c>
      <c r="N108" s="189">
        <f t="shared" si="22"/>
        <v>-699287.26386510953</v>
      </c>
      <c r="Q108" s="185"/>
      <c r="S108" s="182">
        <f t="shared" si="29"/>
        <v>92123629.367815807</v>
      </c>
      <c r="W108" s="182">
        <v>3914992.9166666665</v>
      </c>
      <c r="X108" s="183">
        <f t="shared" si="24"/>
        <v>23530.982387128406</v>
      </c>
      <c r="AA108" s="181" t="s">
        <v>74</v>
      </c>
      <c r="AC108" s="182">
        <f t="shared" si="28"/>
        <v>90920796.591962487</v>
      </c>
      <c r="AD108" s="191">
        <f t="shared" si="25"/>
        <v>23223.744851465777</v>
      </c>
    </row>
    <row r="109" spans="1:30" ht="14.4">
      <c r="A109" s="187">
        <v>37165</v>
      </c>
      <c r="B109" s="182">
        <v>8430258</v>
      </c>
      <c r="C109" s="182">
        <v>78177.221253741591</v>
      </c>
      <c r="D109" s="182">
        <f t="shared" si="18"/>
        <v>8352080.7787462585</v>
      </c>
      <c r="E109" s="188">
        <v>-363242.6915380694</v>
      </c>
      <c r="F109" s="189">
        <f t="shared" si="26"/>
        <v>-1905484.8395544151</v>
      </c>
      <c r="G109" s="182">
        <f t="shared" si="19"/>
        <v>8793500.6915380694</v>
      </c>
      <c r="I109" s="182">
        <f t="shared" si="20"/>
        <v>8715323.4702843279</v>
      </c>
      <c r="K109" s="182">
        <v>7463005.7209999999</v>
      </c>
      <c r="M109" s="188">
        <f t="shared" si="21"/>
        <v>7787581.3994295588</v>
      </c>
      <c r="N109" s="189">
        <f t="shared" si="22"/>
        <v>-324575.67842955887</v>
      </c>
      <c r="Q109" s="185"/>
      <c r="S109" s="182">
        <f t="shared" si="29"/>
        <v>92210814.348267362</v>
      </c>
      <c r="W109" s="182">
        <v>3921974.4166666665</v>
      </c>
      <c r="X109" s="183">
        <f t="shared" si="24"/>
        <v>23511.324795085853</v>
      </c>
      <c r="AA109" s="181" t="s">
        <v>75</v>
      </c>
      <c r="AC109" s="182">
        <f t="shared" si="28"/>
        <v>91830676.839554399</v>
      </c>
      <c r="AD109" s="191">
        <f t="shared" si="25"/>
        <v>23414.399759803229</v>
      </c>
    </row>
    <row r="110" spans="1:30" ht="14.4">
      <c r="A110" s="187">
        <v>37196</v>
      </c>
      <c r="B110" s="182">
        <v>7043087</v>
      </c>
      <c r="C110" s="182">
        <v>67575.152022503607</v>
      </c>
      <c r="D110" s="182">
        <f t="shared" si="18"/>
        <v>6975511.8479774967</v>
      </c>
      <c r="E110" s="188">
        <v>-124977.70297319442</v>
      </c>
      <c r="F110" s="189">
        <f t="shared" si="26"/>
        <v>-2072215.0152830249</v>
      </c>
      <c r="G110" s="182">
        <f t="shared" si="19"/>
        <v>7168064.7029731944</v>
      </c>
      <c r="I110" s="182">
        <f t="shared" si="20"/>
        <v>7100489.5509506911</v>
      </c>
      <c r="K110" s="182">
        <v>6628959.3650000002</v>
      </c>
      <c r="M110" s="188">
        <f t="shared" si="21"/>
        <v>6747728.0134656392</v>
      </c>
      <c r="N110" s="189">
        <f t="shared" si="22"/>
        <v>-118768.64846563898</v>
      </c>
      <c r="Q110" s="185"/>
      <c r="S110" s="182">
        <f t="shared" si="29"/>
        <v>92163890.026117012</v>
      </c>
      <c r="W110" s="182">
        <v>3928651.5833333335</v>
      </c>
      <c r="X110" s="183">
        <f t="shared" si="24"/>
        <v>23459.420636105107</v>
      </c>
      <c r="AA110" s="181" t="s">
        <v>76</v>
      </c>
      <c r="AC110" s="182">
        <f t="shared" si="28"/>
        <v>93459206.015283018</v>
      </c>
      <c r="AD110" s="191">
        <f t="shared" si="25"/>
        <v>23789.130706262815</v>
      </c>
    </row>
    <row r="111" spans="1:30" ht="14.4">
      <c r="A111" s="187">
        <v>37226</v>
      </c>
      <c r="B111" s="182">
        <v>7545737</v>
      </c>
      <c r="C111" s="182">
        <v>70886.499589401996</v>
      </c>
      <c r="D111" s="182">
        <f t="shared" si="18"/>
        <v>7474850.5004105978</v>
      </c>
      <c r="E111" s="188">
        <v>47594.401078339666</v>
      </c>
      <c r="F111" s="189">
        <f t="shared" si="26"/>
        <v>-2246092.1305082915</v>
      </c>
      <c r="G111" s="182">
        <f t="shared" si="19"/>
        <v>7498142.5989216603</v>
      </c>
      <c r="I111" s="182">
        <f t="shared" si="20"/>
        <v>7427256.0993322581</v>
      </c>
      <c r="K111" s="182">
        <v>6803097.4440000001</v>
      </c>
      <c r="M111" s="188">
        <f t="shared" si="21"/>
        <v>6759780.2768798042</v>
      </c>
      <c r="N111" s="189">
        <f t="shared" si="22"/>
        <v>43317.167120195925</v>
      </c>
      <c r="Q111" s="185"/>
      <c r="S111" s="182">
        <f t="shared" si="29"/>
        <v>92508273.580102906</v>
      </c>
      <c r="W111" s="182">
        <v>3935281.25</v>
      </c>
      <c r="X111" s="183">
        <f t="shared" si="24"/>
        <v>23507.410958264521</v>
      </c>
      <c r="Y111" s="192">
        <f>X111/X99-1</f>
        <v>4.5392753367372585E-3</v>
      </c>
      <c r="AA111" s="181" t="s">
        <v>77</v>
      </c>
      <c r="AB111" s="181">
        <f>YEAR(A111)</f>
        <v>2001</v>
      </c>
      <c r="AC111" s="182">
        <f>SUM(G100:G111)</f>
        <v>100810626.72942993</v>
      </c>
      <c r="AD111" s="191">
        <f t="shared" si="25"/>
        <v>25617.133903562786</v>
      </c>
    </row>
    <row r="112" spans="1:30" ht="14.4">
      <c r="A112" s="187">
        <v>37257</v>
      </c>
      <c r="B112" s="182">
        <v>7760946</v>
      </c>
      <c r="C112" s="182">
        <v>72592.855139962005</v>
      </c>
      <c r="D112" s="182">
        <f t="shared" si="18"/>
        <v>7688353.1448600376</v>
      </c>
      <c r="E112" s="188">
        <v>157956.71441696957</v>
      </c>
      <c r="F112" s="189">
        <f t="shared" si="26"/>
        <v>-2574086.0235208264</v>
      </c>
      <c r="G112" s="182">
        <f t="shared" si="19"/>
        <v>7602989.2855830304</v>
      </c>
      <c r="I112" s="182">
        <f t="shared" si="20"/>
        <v>7530396.430443068</v>
      </c>
      <c r="K112" s="182">
        <v>7013878.1579999998</v>
      </c>
      <c r="M112" s="188">
        <f t="shared" si="21"/>
        <v>6869778.4882418159</v>
      </c>
      <c r="N112" s="189">
        <f t="shared" si="22"/>
        <v>144099.66975818388</v>
      </c>
      <c r="Q112" s="185"/>
      <c r="S112" s="182">
        <f t="shared" si="29"/>
        <v>92291027.749192595</v>
      </c>
      <c r="W112" s="182">
        <v>3941386.5833333335</v>
      </c>
      <c r="X112" s="183">
        <f t="shared" si="24"/>
        <v>23415.878092105257</v>
      </c>
      <c r="AA112" s="181" t="s">
        <v>66</v>
      </c>
      <c r="AC112" s="182">
        <f t="shared" si="28"/>
        <v>93230579.023520797</v>
      </c>
      <c r="AD112" s="191">
        <f t="shared" si="25"/>
        <v>23654.258990416834</v>
      </c>
    </row>
    <row r="113" spans="1:30" ht="14.4">
      <c r="A113" s="187">
        <v>37288</v>
      </c>
      <c r="B113" s="182">
        <v>6503901</v>
      </c>
      <c r="C113" s="182">
        <v>65875.230834525602</v>
      </c>
      <c r="D113" s="182">
        <f t="shared" si="18"/>
        <v>6438025.769165474</v>
      </c>
      <c r="E113" s="188">
        <v>-171224.47957185935</v>
      </c>
      <c r="F113" s="189">
        <f t="shared" si="26"/>
        <v>-2469488.4186499622</v>
      </c>
      <c r="G113" s="182">
        <f t="shared" si="19"/>
        <v>6675125.4795718594</v>
      </c>
      <c r="I113" s="182">
        <f t="shared" si="20"/>
        <v>6609250.2487373333</v>
      </c>
      <c r="K113" s="182">
        <v>6041710.2819999997</v>
      </c>
      <c r="M113" s="188">
        <f t="shared" si="21"/>
        <v>6202394.4320563748</v>
      </c>
      <c r="N113" s="189">
        <f t="shared" si="22"/>
        <v>-160684.15005637519</v>
      </c>
      <c r="Q113" s="185"/>
      <c r="S113" s="182">
        <f t="shared" si="29"/>
        <v>92454827.357601821</v>
      </c>
      <c r="W113" s="182">
        <v>3947736.75</v>
      </c>
      <c r="X113" s="183">
        <f t="shared" si="24"/>
        <v>23419.704304650462</v>
      </c>
      <c r="AA113" s="181" t="s">
        <v>67</v>
      </c>
      <c r="AC113" s="182">
        <f t="shared" si="28"/>
        <v>94213722.418649957</v>
      </c>
      <c r="AD113" s="191">
        <f t="shared" si="25"/>
        <v>23865.249479629045</v>
      </c>
    </row>
    <row r="114" spans="1:30" ht="14.4">
      <c r="A114" s="187">
        <v>37316</v>
      </c>
      <c r="B114" s="182">
        <v>7990149</v>
      </c>
      <c r="C114" s="182">
        <v>85960.602701502401</v>
      </c>
      <c r="D114" s="182">
        <f t="shared" si="18"/>
        <v>7904188.3972984971</v>
      </c>
      <c r="E114" s="188">
        <v>334225.10676720552</v>
      </c>
      <c r="F114" s="189">
        <f t="shared" si="26"/>
        <v>-2725447.0644897977</v>
      </c>
      <c r="G114" s="182">
        <f t="shared" si="19"/>
        <v>7655923.8932327945</v>
      </c>
      <c r="I114" s="182">
        <f t="shared" si="20"/>
        <v>7569963.2905312916</v>
      </c>
      <c r="K114" s="182">
        <v>7286901.9890000001</v>
      </c>
      <c r="M114" s="188">
        <f t="shared" si="21"/>
        <v>6978778.5647015506</v>
      </c>
      <c r="N114" s="189">
        <f t="shared" si="22"/>
        <v>308123.42429844942</v>
      </c>
      <c r="Q114" s="185"/>
      <c r="S114" s="182">
        <f t="shared" si="29"/>
        <v>92629433.061131835</v>
      </c>
      <c r="W114" s="182">
        <v>3954211.3333333335</v>
      </c>
      <c r="X114" s="183">
        <f t="shared" si="24"/>
        <v>23425.514028620921</v>
      </c>
      <c r="AA114" s="181" t="s">
        <v>68</v>
      </c>
      <c r="AC114" s="182">
        <f t="shared" si="28"/>
        <v>93520940.564489812</v>
      </c>
      <c r="AD114" s="191">
        <f t="shared" si="25"/>
        <v>23650.971756649444</v>
      </c>
    </row>
    <row r="115" spans="1:30" ht="14.4">
      <c r="A115" s="187">
        <v>37347</v>
      </c>
      <c r="B115" s="182">
        <v>8476283</v>
      </c>
      <c r="C115" s="182">
        <v>89585.705849728794</v>
      </c>
      <c r="D115" s="182">
        <f t="shared" si="18"/>
        <v>8386697.2941502715</v>
      </c>
      <c r="E115" s="188">
        <v>382814.1520034913</v>
      </c>
      <c r="F115" s="189">
        <f t="shared" si="26"/>
        <v>-2193112.3518921705</v>
      </c>
      <c r="G115" s="182">
        <f t="shared" si="19"/>
        <v>8093468.8479965087</v>
      </c>
      <c r="I115" s="182">
        <f t="shared" si="20"/>
        <v>8003883.1421467802</v>
      </c>
      <c r="K115" s="182">
        <v>7886544.7769999998</v>
      </c>
      <c r="M115" s="188">
        <f t="shared" si="21"/>
        <v>7526560.2866630675</v>
      </c>
      <c r="N115" s="189">
        <f t="shared" si="22"/>
        <v>359984.49033693224</v>
      </c>
      <c r="Q115" s="185"/>
      <c r="S115" s="182">
        <f t="shared" si="29"/>
        <v>92800011.676092133</v>
      </c>
      <c r="W115" s="182">
        <v>3960820.1666666665</v>
      </c>
      <c r="X115" s="183">
        <f t="shared" si="24"/>
        <v>23429.49383490704</v>
      </c>
      <c r="AA115" s="181" t="s">
        <v>69</v>
      </c>
      <c r="AC115" s="182">
        <f t="shared" si="28"/>
        <v>93448689.351892173</v>
      </c>
      <c r="AD115" s="191">
        <f t="shared" si="25"/>
        <v>23593.267409193286</v>
      </c>
    </row>
    <row r="116" spans="1:30" ht="14.4">
      <c r="A116" s="187">
        <v>37377</v>
      </c>
      <c r="B116" s="182">
        <v>9406970</v>
      </c>
      <c r="C116" s="182">
        <v>91425.626330358398</v>
      </c>
      <c r="D116" s="182">
        <f t="shared" si="18"/>
        <v>9315544.3736696411</v>
      </c>
      <c r="E116" s="188">
        <v>239812.96738698892</v>
      </c>
      <c r="F116" s="189">
        <f t="shared" si="26"/>
        <v>-1185381.8681049971</v>
      </c>
      <c r="G116" s="182">
        <f t="shared" si="19"/>
        <v>9167157.0326130111</v>
      </c>
      <c r="I116" s="182">
        <f t="shared" si="20"/>
        <v>9075731.4062826522</v>
      </c>
      <c r="K116" s="182">
        <v>8309828.9390000002</v>
      </c>
      <c r="M116" s="188">
        <f t="shared" si="21"/>
        <v>8095906.4180604275</v>
      </c>
      <c r="N116" s="189">
        <f t="shared" si="22"/>
        <v>213922.52093957271</v>
      </c>
      <c r="Q116" s="185"/>
      <c r="S116" s="182">
        <f t="shared" si="29"/>
        <v>93265445.208979622</v>
      </c>
      <c r="W116" s="182">
        <v>3967678.5833333335</v>
      </c>
      <c r="X116" s="183">
        <f t="shared" si="24"/>
        <v>23506.300535721643</v>
      </c>
      <c r="AA116" s="181" t="s">
        <v>70</v>
      </c>
      <c r="AC116" s="182">
        <f t="shared" si="28"/>
        <v>92676918.868104994</v>
      </c>
      <c r="AD116" s="191">
        <f t="shared" si="25"/>
        <v>23357.970390395152</v>
      </c>
    </row>
    <row r="117" spans="1:30" ht="14.4">
      <c r="A117" s="187">
        <v>37408</v>
      </c>
      <c r="B117" s="182">
        <v>9036572</v>
      </c>
      <c r="C117" s="182">
        <v>89142.1328980416</v>
      </c>
      <c r="D117" s="182">
        <f t="shared" si="18"/>
        <v>8947429.867101958</v>
      </c>
      <c r="E117" s="188">
        <v>-603290.03580372036</v>
      </c>
      <c r="F117" s="189">
        <f t="shared" si="26"/>
        <v>-772483.34072155599</v>
      </c>
      <c r="G117" s="182">
        <f t="shared" si="19"/>
        <v>9639862.0358037204</v>
      </c>
      <c r="I117" s="182">
        <f t="shared" si="20"/>
        <v>9550719.9029056784</v>
      </c>
      <c r="K117" s="182">
        <v>8587506.068</v>
      </c>
      <c r="M117" s="188">
        <f t="shared" si="21"/>
        <v>9166527.8563994914</v>
      </c>
      <c r="N117" s="189">
        <f t="shared" si="22"/>
        <v>-579021.78839949146</v>
      </c>
      <c r="Q117" s="185"/>
      <c r="S117" s="182">
        <f t="shared" si="29"/>
        <v>93560395.142269373</v>
      </c>
      <c r="W117" s="182">
        <v>3974783.4166666665</v>
      </c>
      <c r="X117" s="183">
        <f t="shared" si="24"/>
        <v>23538.488851986556</v>
      </c>
      <c r="AA117" s="181" t="s">
        <v>71</v>
      </c>
      <c r="AC117" s="182">
        <f t="shared" si="28"/>
        <v>92496674.340721563</v>
      </c>
      <c r="AD117" s="191">
        <f t="shared" si="25"/>
        <v>23270.871553120029</v>
      </c>
    </row>
    <row r="118" spans="1:30" ht="14.4">
      <c r="A118" s="187">
        <v>37438</v>
      </c>
      <c r="B118" s="182">
        <v>10071087</v>
      </c>
      <c r="C118" s="182">
        <v>96139.827030645203</v>
      </c>
      <c r="D118" s="182">
        <f t="shared" si="18"/>
        <v>9974947.1729693543</v>
      </c>
      <c r="E118" s="188">
        <v>-284825.10095821507</v>
      </c>
      <c r="F118" s="189">
        <f t="shared" si="26"/>
        <v>-883899.77715944592</v>
      </c>
      <c r="G118" s="182">
        <f t="shared" si="19"/>
        <v>10355912.100958215</v>
      </c>
      <c r="I118" s="182">
        <f t="shared" si="20"/>
        <v>10259772.273927569</v>
      </c>
      <c r="K118" s="182">
        <v>8707066.1879999992</v>
      </c>
      <c r="M118" s="188">
        <f t="shared" si="21"/>
        <v>8955688.1569230407</v>
      </c>
      <c r="N118" s="189">
        <f t="shared" si="22"/>
        <v>-248621.9689230416</v>
      </c>
      <c r="Q118" s="185"/>
      <c r="S118" s="182">
        <f t="shared" si="29"/>
        <v>93756114.52211383</v>
      </c>
      <c r="W118" s="182">
        <v>3981838.8333333335</v>
      </c>
      <c r="X118" s="183">
        <f t="shared" si="24"/>
        <v>23545.934038627922</v>
      </c>
      <c r="AA118" s="181" t="s">
        <v>72</v>
      </c>
      <c r="AC118" s="182">
        <f t="shared" si="28"/>
        <v>92082273.777159438</v>
      </c>
      <c r="AD118" s="191">
        <f t="shared" si="25"/>
        <v>23125.56525550639</v>
      </c>
    </row>
    <row r="119" spans="1:30" ht="14.4">
      <c r="A119" s="187">
        <v>37469</v>
      </c>
      <c r="B119" s="182">
        <v>10320346</v>
      </c>
      <c r="C119" s="182">
        <v>99541.746302684405</v>
      </c>
      <c r="D119" s="182">
        <f t="shared" si="18"/>
        <v>10220804.253697315</v>
      </c>
      <c r="E119" s="188">
        <v>-212142.42359407805</v>
      </c>
      <c r="F119" s="189">
        <f t="shared" si="26"/>
        <v>-1098238.0800365387</v>
      </c>
      <c r="G119" s="182">
        <f t="shared" si="19"/>
        <v>10532488.423594078</v>
      </c>
      <c r="I119" s="182">
        <f t="shared" si="20"/>
        <v>10432946.677291393</v>
      </c>
      <c r="K119" s="182">
        <v>9584619.0950000007</v>
      </c>
      <c r="M119" s="188">
        <f t="shared" si="21"/>
        <v>9783556.8961328063</v>
      </c>
      <c r="N119" s="189">
        <f t="shared" si="22"/>
        <v>-198937.80113280565</v>
      </c>
      <c r="Q119" s="185"/>
      <c r="S119" s="182">
        <f t="shared" si="29"/>
        <v>94170126.234818697</v>
      </c>
      <c r="W119" s="182">
        <v>3989077</v>
      </c>
      <c r="X119" s="183">
        <f t="shared" si="24"/>
        <v>23606.996364025737</v>
      </c>
      <c r="AA119" s="181" t="s">
        <v>73</v>
      </c>
      <c r="AC119" s="182">
        <f t="shared" si="28"/>
        <v>92212111.080036536</v>
      </c>
      <c r="AD119" s="191">
        <f t="shared" si="25"/>
        <v>23116.152202636484</v>
      </c>
    </row>
    <row r="120" spans="1:30" ht="14.4">
      <c r="A120" s="187">
        <v>37500</v>
      </c>
      <c r="B120" s="182">
        <v>10060592</v>
      </c>
      <c r="C120" s="182">
        <v>94162.501422729591</v>
      </c>
      <c r="D120" s="182">
        <f t="shared" si="18"/>
        <v>9966429.4985772707</v>
      </c>
      <c r="E120" s="188">
        <v>329572.27843321487</v>
      </c>
      <c r="F120" s="189">
        <f t="shared" si="26"/>
        <v>-597299.09278614167</v>
      </c>
      <c r="G120" s="182">
        <f t="shared" si="19"/>
        <v>9731019.7215667851</v>
      </c>
      <c r="I120" s="182">
        <f t="shared" si="20"/>
        <v>9636857.2201440558</v>
      </c>
      <c r="K120" s="182">
        <v>9454998.1229999997</v>
      </c>
      <c r="M120" s="188">
        <f t="shared" si="21"/>
        <v>9142337.9798239805</v>
      </c>
      <c r="N120" s="189">
        <f t="shared" si="22"/>
        <v>312660.14317601919</v>
      </c>
      <c r="Q120" s="185"/>
      <c r="S120" s="182">
        <f t="shared" si="29"/>
        <v>94016618.768777564</v>
      </c>
      <c r="W120" s="182">
        <v>3996448.25</v>
      </c>
      <c r="X120" s="183">
        <f t="shared" si="24"/>
        <v>23525.043460472072</v>
      </c>
      <c r="AA120" s="181" t="s">
        <v>74</v>
      </c>
      <c r="AC120" s="182">
        <f t="shared" si="28"/>
        <v>93182635.092786133</v>
      </c>
      <c r="AD120" s="191">
        <f t="shared" si="25"/>
        <v>23316.362245597982</v>
      </c>
    </row>
    <row r="121" spans="1:30" ht="14.4">
      <c r="A121" s="187">
        <v>37530</v>
      </c>
      <c r="B121" s="182">
        <v>9901403</v>
      </c>
      <c r="C121" s="182">
        <v>95913.311524564007</v>
      </c>
      <c r="D121" s="182">
        <f t="shared" si="18"/>
        <v>9805489.6884754356</v>
      </c>
      <c r="E121" s="188">
        <v>597488.76936989091</v>
      </c>
      <c r="F121" s="189">
        <f t="shared" si="26"/>
        <v>95515.877185142599</v>
      </c>
      <c r="G121" s="182">
        <f t="shared" si="19"/>
        <v>9303914.2306301091</v>
      </c>
      <c r="I121" s="182">
        <f t="shared" si="20"/>
        <v>9208000.9191055447</v>
      </c>
      <c r="K121" s="182">
        <v>8685850.3239999991</v>
      </c>
      <c r="M121" s="188">
        <f t="shared" si="21"/>
        <v>8156585.7807801571</v>
      </c>
      <c r="N121" s="189">
        <f t="shared" si="22"/>
        <v>529264.54321984202</v>
      </c>
      <c r="Q121" s="185"/>
      <c r="S121" s="182">
        <f t="shared" si="29"/>
        <v>94385623.150128156</v>
      </c>
      <c r="W121" s="182">
        <v>4004012.1666666665</v>
      </c>
      <c r="X121" s="183">
        <f t="shared" si="24"/>
        <v>23572.76132572395</v>
      </c>
      <c r="AA121" s="181" t="s">
        <v>75</v>
      </c>
      <c r="AC121" s="182">
        <f t="shared" si="28"/>
        <v>94120154.122814849</v>
      </c>
      <c r="AD121" s="191">
        <f t="shared" si="25"/>
        <v>23506.46057131483</v>
      </c>
    </row>
    <row r="122" spans="1:30" ht="14.4">
      <c r="A122" s="187">
        <v>37561</v>
      </c>
      <c r="B122" s="182">
        <v>7553628</v>
      </c>
      <c r="C122" s="182">
        <v>72804.307733707203</v>
      </c>
      <c r="D122" s="182">
        <f t="shared" si="18"/>
        <v>7480823.6922662929</v>
      </c>
      <c r="E122" s="188">
        <v>34238.878210799769</v>
      </c>
      <c r="F122" s="189">
        <f t="shared" si="26"/>
        <v>817982.34952822793</v>
      </c>
      <c r="G122" s="182">
        <f t="shared" si="19"/>
        <v>7519389.1217892002</v>
      </c>
      <c r="I122" s="182">
        <f t="shared" si="20"/>
        <v>7446584.8140554931</v>
      </c>
      <c r="K122" s="182">
        <v>7356967.0130000003</v>
      </c>
      <c r="M122" s="188">
        <f t="shared" si="21"/>
        <v>7323295.0127068516</v>
      </c>
      <c r="N122" s="189">
        <f t="shared" si="22"/>
        <v>33672.000293148682</v>
      </c>
      <c r="Q122" s="185"/>
      <c r="S122" s="182">
        <f t="shared" si="29"/>
        <v>94961190.149369359</v>
      </c>
      <c r="W122" s="182">
        <v>4011971.8333333335</v>
      </c>
      <c r="X122" s="183">
        <f t="shared" si="24"/>
        <v>23669.45584223386</v>
      </c>
      <c r="AA122" s="181" t="s">
        <v>76</v>
      </c>
      <c r="AC122" s="182">
        <f t="shared" si="28"/>
        <v>96256003.650471777</v>
      </c>
      <c r="AD122" s="191">
        <f t="shared" si="25"/>
        <v>23992.19327781217</v>
      </c>
    </row>
    <row r="123" spans="1:30" ht="14.4">
      <c r="A123" s="187">
        <v>37591</v>
      </c>
      <c r="B123" s="182">
        <v>7575325</v>
      </c>
      <c r="C123" s="182">
        <v>72344.701887007584</v>
      </c>
      <c r="D123" s="182">
        <f t="shared" si="18"/>
        <v>7502980.2981129922</v>
      </c>
      <c r="E123" s="188">
        <v>-137203.57467983663</v>
      </c>
      <c r="F123" s="189">
        <f t="shared" si="26"/>
        <v>804626.82666068804</v>
      </c>
      <c r="G123" s="182">
        <f t="shared" si="19"/>
        <v>7712528.5746798366</v>
      </c>
      <c r="I123" s="182">
        <f t="shared" si="20"/>
        <v>7640183.8727928288</v>
      </c>
      <c r="K123" s="182">
        <v>6626753.659</v>
      </c>
      <c r="M123" s="188">
        <f t="shared" si="21"/>
        <v>6747934.0772354258</v>
      </c>
      <c r="N123" s="189">
        <f t="shared" si="22"/>
        <v>-121180.41823542584</v>
      </c>
      <c r="Q123" s="185"/>
      <c r="S123" s="182">
        <f t="shared" si="29"/>
        <v>94949343.949724987</v>
      </c>
      <c r="W123" s="182">
        <v>4019804.5</v>
      </c>
      <c r="X123" s="183">
        <f t="shared" si="24"/>
        <v>23620.388491461457</v>
      </c>
      <c r="Y123" s="192">
        <f>X123/X111-1</f>
        <v>4.8060389720296914E-3</v>
      </c>
      <c r="AA123" s="181" t="s">
        <v>77</v>
      </c>
      <c r="AB123" s="181">
        <f>YEAR(A123)</f>
        <v>2002</v>
      </c>
      <c r="AC123" s="182">
        <f>SUM(G112:G123)</f>
        <v>103989778.74801914</v>
      </c>
      <c r="AD123" s="191">
        <f t="shared" si="25"/>
        <v>25869.362240879909</v>
      </c>
    </row>
    <row r="124" spans="1:30" ht="14.4">
      <c r="A124" s="187">
        <v>37622</v>
      </c>
      <c r="B124" s="182">
        <v>8196046</v>
      </c>
      <c r="C124" s="182">
        <v>72669.382298568395</v>
      </c>
      <c r="D124" s="182">
        <f t="shared" si="18"/>
        <v>8123376.6177014317</v>
      </c>
      <c r="E124" s="188">
        <v>234597.30024915747</v>
      </c>
      <c r="F124" s="189">
        <f t="shared" si="26"/>
        <v>509466.53756388184</v>
      </c>
      <c r="G124" s="182">
        <f t="shared" si="19"/>
        <v>7961448.6997508425</v>
      </c>
      <c r="I124" s="182">
        <f t="shared" si="20"/>
        <v>7888779.3174522743</v>
      </c>
      <c r="K124" s="182">
        <v>7643115.6689999998</v>
      </c>
      <c r="M124" s="188">
        <f t="shared" si="21"/>
        <v>7422387.9610746726</v>
      </c>
      <c r="N124" s="189">
        <f t="shared" si="22"/>
        <v>220727.70792532712</v>
      </c>
      <c r="Q124" s="185"/>
      <c r="S124" s="182">
        <f t="shared" si="29"/>
        <v>95501953.422557831</v>
      </c>
      <c r="W124" s="182">
        <v>4027520.5</v>
      </c>
      <c r="X124" s="183">
        <f t="shared" si="24"/>
        <v>23712.344461699904</v>
      </c>
      <c r="AA124" s="181" t="s">
        <v>66</v>
      </c>
      <c r="AC124" s="182">
        <f t="shared" si="28"/>
        <v>96386789.462436125</v>
      </c>
      <c r="AD124" s="191">
        <f t="shared" si="25"/>
        <v>23932.041925655285</v>
      </c>
    </row>
    <row r="125" spans="1:30" ht="14.4">
      <c r="A125" s="187">
        <v>37653</v>
      </c>
      <c r="B125" s="182">
        <v>6951237</v>
      </c>
      <c r="C125" s="182">
        <v>71375.669958492814</v>
      </c>
      <c r="D125" s="182">
        <f t="shared" si="18"/>
        <v>6879861.3300415073</v>
      </c>
      <c r="E125" s="188">
        <v>-4730.6965786367655</v>
      </c>
      <c r="F125" s="189">
        <f t="shared" si="26"/>
        <v>915288.31738489866</v>
      </c>
      <c r="G125" s="182">
        <f t="shared" si="19"/>
        <v>6955967.6965786368</v>
      </c>
      <c r="I125" s="182">
        <f t="shared" si="20"/>
        <v>6884592.026620144</v>
      </c>
      <c r="K125" s="182">
        <v>6304862.1569999997</v>
      </c>
      <c r="M125" s="188">
        <f t="shared" si="21"/>
        <v>6309197.475461239</v>
      </c>
      <c r="N125" s="189">
        <f t="shared" si="22"/>
        <v>-4335.3184612393379</v>
      </c>
      <c r="Q125" s="185"/>
      <c r="S125" s="182">
        <f t="shared" si="29"/>
        <v>95608756.465962708</v>
      </c>
      <c r="W125" s="182">
        <v>4035215.0833333335</v>
      </c>
      <c r="X125" s="183">
        <f t="shared" si="24"/>
        <v>23693.596125979995</v>
      </c>
      <c r="AA125" s="181" t="s">
        <v>67</v>
      </c>
      <c r="AC125" s="182">
        <f t="shared" si="28"/>
        <v>97673112.682615101</v>
      </c>
      <c r="AD125" s="191">
        <f t="shared" si="25"/>
        <v>24205.181301496119</v>
      </c>
    </row>
    <row r="126" spans="1:30" ht="14.4">
      <c r="A126" s="187">
        <v>37681</v>
      </c>
      <c r="B126" s="182">
        <v>8869654</v>
      </c>
      <c r="C126" s="182">
        <v>93231.630388096411</v>
      </c>
      <c r="D126" s="182">
        <f t="shared" si="18"/>
        <v>8776422.369611904</v>
      </c>
      <c r="E126" s="188">
        <v>858635.55200930126</v>
      </c>
      <c r="F126" s="189">
        <f t="shared" si="26"/>
        <v>576332.51403905638</v>
      </c>
      <c r="G126" s="182">
        <f t="shared" si="19"/>
        <v>8011018.4479906987</v>
      </c>
      <c r="I126" s="182">
        <f t="shared" si="20"/>
        <v>7917786.8176026028</v>
      </c>
      <c r="K126" s="182">
        <v>8299601.6950000003</v>
      </c>
      <c r="M126" s="188">
        <f t="shared" si="21"/>
        <v>7487615.5823536478</v>
      </c>
      <c r="N126" s="189">
        <f t="shared" si="22"/>
        <v>811986.1126463525</v>
      </c>
      <c r="Q126" s="185"/>
      <c r="S126" s="182">
        <f t="shared" si="29"/>
        <v>96117593.483614832</v>
      </c>
      <c r="W126" s="182">
        <v>4043021</v>
      </c>
      <c r="X126" s="183">
        <f t="shared" si="24"/>
        <v>23773.706217112114</v>
      </c>
      <c r="AA126" s="181" t="s">
        <v>68</v>
      </c>
      <c r="AC126" s="182">
        <f t="shared" si="28"/>
        <v>96973156.485960931</v>
      </c>
      <c r="AD126" s="191">
        <f t="shared" si="25"/>
        <v>23985.320997828338</v>
      </c>
    </row>
    <row r="127" spans="1:30" ht="14.4">
      <c r="A127" s="187">
        <v>37712</v>
      </c>
      <c r="B127" s="182">
        <v>8063514.5</v>
      </c>
      <c r="C127" s="182">
        <v>83844.07878664961</v>
      </c>
      <c r="D127" s="182">
        <f t="shared" si="18"/>
        <v>7979670.4212133503</v>
      </c>
      <c r="E127" s="188">
        <v>-209081.61707625724</v>
      </c>
      <c r="F127" s="189">
        <f t="shared" si="26"/>
        <v>1052153.9140448663</v>
      </c>
      <c r="G127" s="182">
        <f t="shared" si="19"/>
        <v>8272596.1170762572</v>
      </c>
      <c r="I127" s="182">
        <f t="shared" si="20"/>
        <v>8188752.0382896075</v>
      </c>
      <c r="K127" s="182">
        <v>7493328.6370000001</v>
      </c>
      <c r="M127" s="188">
        <f t="shared" si="21"/>
        <v>7689667.2307021646</v>
      </c>
      <c r="N127" s="189">
        <f t="shared" si="22"/>
        <v>-196338.59370216448</v>
      </c>
      <c r="Q127" s="185"/>
      <c r="S127" s="182">
        <f t="shared" si="29"/>
        <v>96280700.427653909</v>
      </c>
      <c r="W127" s="182">
        <v>4050905.0833333335</v>
      </c>
      <c r="X127" s="183">
        <f t="shared" si="24"/>
        <v>23767.700908071693</v>
      </c>
      <c r="AA127" s="181" t="s">
        <v>69</v>
      </c>
      <c r="AC127" s="182">
        <f t="shared" si="28"/>
        <v>96890706.085955143</v>
      </c>
      <c r="AD127" s="191">
        <f t="shared" si="25"/>
        <v>23918.285936788114</v>
      </c>
    </row>
    <row r="128" spans="1:30" ht="14.4">
      <c r="A128" s="187">
        <v>37742</v>
      </c>
      <c r="B128" s="182">
        <v>9977015</v>
      </c>
      <c r="C128" s="182">
        <v>97131.552290898006</v>
      </c>
      <c r="D128" s="182">
        <f t="shared" si="18"/>
        <v>9879883.4477091022</v>
      </c>
      <c r="E128" s="188">
        <v>509178.21024268866</v>
      </c>
      <c r="F128" s="189">
        <f t="shared" si="26"/>
        <v>603259.32958162017</v>
      </c>
      <c r="G128" s="182">
        <f t="shared" si="19"/>
        <v>9467836.7897573113</v>
      </c>
      <c r="I128" s="182">
        <f t="shared" si="20"/>
        <v>9370705.2374664135</v>
      </c>
      <c r="K128" s="182">
        <v>8863404.0519999992</v>
      </c>
      <c r="M128" s="188">
        <f t="shared" si="21"/>
        <v>8406612.0022009071</v>
      </c>
      <c r="N128" s="189">
        <f t="shared" si="22"/>
        <v>456792.04979909211</v>
      </c>
      <c r="Q128" s="185"/>
      <c r="S128" s="182">
        <f t="shared" si="29"/>
        <v>96591406.011794388</v>
      </c>
      <c r="W128" s="182">
        <v>4058858.4166666665</v>
      </c>
      <c r="X128" s="183">
        <f t="shared" si="24"/>
        <v>23797.678089771849</v>
      </c>
      <c r="AA128" s="181" t="s">
        <v>70</v>
      </c>
      <c r="AC128" s="182">
        <f t="shared" si="28"/>
        <v>95996145.170418397</v>
      </c>
      <c r="AD128" s="191">
        <f t="shared" si="25"/>
        <v>23651.020882185669</v>
      </c>
    </row>
    <row r="129" spans="1:30" ht="14.4">
      <c r="A129" s="187">
        <v>37773</v>
      </c>
      <c r="B129" s="182">
        <v>9788214</v>
      </c>
      <c r="C129" s="182">
        <v>94084.775890417601</v>
      </c>
      <c r="D129" s="182">
        <f t="shared" si="18"/>
        <v>9694129.2241095826</v>
      </c>
      <c r="E129" s="188">
        <v>-199198.80194780789</v>
      </c>
      <c r="F129" s="189">
        <f t="shared" si="26"/>
        <v>1715727.5756280292</v>
      </c>
      <c r="G129" s="182">
        <f t="shared" si="19"/>
        <v>9987412.8019478079</v>
      </c>
      <c r="I129" s="182">
        <f t="shared" si="20"/>
        <v>9893328.0260573905</v>
      </c>
      <c r="K129" s="182">
        <v>9154082.2329999991</v>
      </c>
      <c r="M129" s="188">
        <f t="shared" si="21"/>
        <v>9342183.9357512128</v>
      </c>
      <c r="N129" s="189">
        <f t="shared" si="22"/>
        <v>-188101.70275121368</v>
      </c>
      <c r="Q129" s="185"/>
      <c r="S129" s="182">
        <f t="shared" si="29"/>
        <v>96767062.091146097</v>
      </c>
      <c r="W129" s="182">
        <v>4067024.4166666665</v>
      </c>
      <c r="X129" s="183">
        <f t="shared" si="24"/>
        <v>23793.086093753129</v>
      </c>
      <c r="AA129" s="181" t="s">
        <v>71</v>
      </c>
      <c r="AC129" s="182">
        <f t="shared" si="28"/>
        <v>95824119.924371988</v>
      </c>
      <c r="AD129" s="191">
        <f t="shared" si="25"/>
        <v>23561.235465340393</v>
      </c>
    </row>
    <row r="130" spans="1:30" ht="14.4">
      <c r="A130" s="187">
        <v>37803</v>
      </c>
      <c r="B130" s="182">
        <v>10773171</v>
      </c>
      <c r="C130" s="182">
        <v>100039.3631938644</v>
      </c>
      <c r="D130" s="182">
        <f t="shared" si="18"/>
        <v>10673131.636806136</v>
      </c>
      <c r="E130" s="188">
        <v>63528.388310816139</v>
      </c>
      <c r="F130" s="189">
        <f t="shared" si="26"/>
        <v>1801353.8746384364</v>
      </c>
      <c r="G130" s="182">
        <f t="shared" si="19"/>
        <v>10709642.611689184</v>
      </c>
      <c r="I130" s="182">
        <f t="shared" si="20"/>
        <v>10609603.24849532</v>
      </c>
      <c r="K130" s="182">
        <v>9558424.0739999991</v>
      </c>
      <c r="M130" s="188">
        <f t="shared" si="21"/>
        <v>9501530.6244599894</v>
      </c>
      <c r="N130" s="189">
        <f t="shared" si="22"/>
        <v>56893.449540009722</v>
      </c>
      <c r="Q130" s="185"/>
      <c r="S130" s="182">
        <f t="shared" si="29"/>
        <v>97312904.558683038</v>
      </c>
      <c r="W130" s="182">
        <v>4075170.5</v>
      </c>
      <c r="X130" s="183">
        <f t="shared" si="24"/>
        <v>23879.468247692468</v>
      </c>
      <c r="AA130" s="181" t="s">
        <v>72</v>
      </c>
      <c r="AC130" s="182">
        <f t="shared" si="28"/>
        <v>95455620.625361562</v>
      </c>
      <c r="AD130" s="191">
        <f t="shared" si="25"/>
        <v>23423.712118391504</v>
      </c>
    </row>
    <row r="131" spans="1:30" ht="14.4">
      <c r="A131" s="187">
        <v>37834</v>
      </c>
      <c r="B131" s="182">
        <v>10252765</v>
      </c>
      <c r="C131" s="182">
        <v>98854.400676797595</v>
      </c>
      <c r="D131" s="182">
        <f t="shared" si="18"/>
        <v>10153910.599323202</v>
      </c>
      <c r="E131" s="188">
        <v>-456984.70893118158</v>
      </c>
      <c r="F131" s="189">
        <f t="shared" si="26"/>
        <v>2077024.6865433306</v>
      </c>
      <c r="G131" s="182">
        <f t="shared" si="19"/>
        <v>10709749.708931182</v>
      </c>
      <c r="I131" s="182">
        <f t="shared" si="20"/>
        <v>10610895.308254384</v>
      </c>
      <c r="K131" s="182">
        <v>9372991.1889999993</v>
      </c>
      <c r="M131" s="188">
        <f t="shared" si="21"/>
        <v>9794830.0074947365</v>
      </c>
      <c r="N131" s="189">
        <f t="shared" si="22"/>
        <v>-421838.81849473715</v>
      </c>
      <c r="Q131" s="185"/>
      <c r="S131" s="182">
        <f t="shared" si="29"/>
        <v>97324177.670044973</v>
      </c>
      <c r="W131" s="182">
        <v>4083185.9166666665</v>
      </c>
      <c r="X131" s="183">
        <f t="shared" si="24"/>
        <v>23835.352995509977</v>
      </c>
      <c r="AA131" s="181" t="s">
        <v>73</v>
      </c>
      <c r="AC131" s="182">
        <f t="shared" si="28"/>
        <v>95632774.813456655</v>
      </c>
      <c r="AD131" s="191">
        <f t="shared" si="25"/>
        <v>23421.116933006826</v>
      </c>
    </row>
    <row r="132" spans="1:30" ht="14.4">
      <c r="A132" s="187">
        <v>37865</v>
      </c>
      <c r="B132" s="182">
        <v>9900915</v>
      </c>
      <c r="C132" s="182">
        <v>92098.045356984803</v>
      </c>
      <c r="D132" s="182">
        <f t="shared" ref="D132:D171" si="30">B132-C132</f>
        <v>9808816.9546430148</v>
      </c>
      <c r="E132" s="188">
        <v>-202152.01317012683</v>
      </c>
      <c r="F132" s="189">
        <f t="shared" si="26"/>
        <v>1290467.6991789341</v>
      </c>
      <c r="G132" s="182">
        <f t="shared" ref="G132:G171" si="31">B132-E132</f>
        <v>10103067.013170127</v>
      </c>
      <c r="I132" s="182">
        <f t="shared" ref="I132:I171" si="32">G132-C132</f>
        <v>10010968.967813142</v>
      </c>
      <c r="K132" s="182">
        <v>9474382.8570000008</v>
      </c>
      <c r="M132" s="188">
        <f t="shared" ref="M132:M171" si="33">K132*I132/D132</f>
        <v>9669642.446096573</v>
      </c>
      <c r="N132" s="189">
        <f t="shared" ref="N132:N171" si="34">K132-M132</f>
        <v>-195259.58909657225</v>
      </c>
      <c r="Q132" s="185"/>
      <c r="S132" s="182">
        <f t="shared" si="29"/>
        <v>97851482.136317566</v>
      </c>
      <c r="W132" s="182">
        <v>4091498.9166666665</v>
      </c>
      <c r="X132" s="183">
        <f t="shared" si="24"/>
        <v>23915.803017256305</v>
      </c>
      <c r="AA132" s="181" t="s">
        <v>74</v>
      </c>
      <c r="AC132" s="182">
        <f t="shared" si="28"/>
        <v>96611504.800821051</v>
      </c>
      <c r="AD132" s="191">
        <f t="shared" si="25"/>
        <v>23612.741141706127</v>
      </c>
    </row>
    <row r="133" spans="1:30" ht="14.4">
      <c r="A133" s="187">
        <v>37895</v>
      </c>
      <c r="B133" s="182">
        <v>9568487</v>
      </c>
      <c r="C133" s="182">
        <v>89269.318900035607</v>
      </c>
      <c r="D133" s="182">
        <f t="shared" si="30"/>
        <v>9479217.6810999643</v>
      </c>
      <c r="E133" s="188">
        <v>309878.82291596755</v>
      </c>
      <c r="F133" s="189">
        <f t="shared" si="26"/>
        <v>490826.91663891636</v>
      </c>
      <c r="G133" s="182">
        <f t="shared" si="31"/>
        <v>9258608.1770840324</v>
      </c>
      <c r="I133" s="182">
        <f t="shared" si="32"/>
        <v>9169338.8581839968</v>
      </c>
      <c r="K133" s="182">
        <v>8488033.1889999993</v>
      </c>
      <c r="M133" s="188">
        <f t="shared" si="33"/>
        <v>8210556.5214134641</v>
      </c>
      <c r="N133" s="189">
        <f t="shared" si="34"/>
        <v>277476.66758653522</v>
      </c>
      <c r="Q133" s="185"/>
      <c r="S133" s="182">
        <f t="shared" si="29"/>
        <v>97905452.876950875</v>
      </c>
      <c r="W133" s="182">
        <v>4099993.9166666665</v>
      </c>
      <c r="X133" s="183">
        <f t="shared" si="24"/>
        <v>23879.414181313936</v>
      </c>
      <c r="AA133" s="181" t="s">
        <v>75</v>
      </c>
      <c r="AC133" s="182">
        <f t="shared" si="28"/>
        <v>97410657.583361074</v>
      </c>
      <c r="AD133" s="191">
        <f t="shared" si="25"/>
        <v>23758.732223328971</v>
      </c>
    </row>
    <row r="134" spans="1:30" ht="14.4">
      <c r="A134" s="187">
        <v>37926</v>
      </c>
      <c r="B134" s="182">
        <v>8204690</v>
      </c>
      <c r="C134" s="182">
        <v>76711.765149025217</v>
      </c>
      <c r="D134" s="182">
        <f t="shared" si="30"/>
        <v>8127978.2348509748</v>
      </c>
      <c r="E134" s="188">
        <v>499916.60262368061</v>
      </c>
      <c r="F134" s="189">
        <f t="shared" si="26"/>
        <v>766466.86134408414</v>
      </c>
      <c r="G134" s="182">
        <f t="shared" si="31"/>
        <v>7704773.3973763194</v>
      </c>
      <c r="I134" s="182">
        <f t="shared" si="32"/>
        <v>7628061.6322272941</v>
      </c>
      <c r="K134" s="182">
        <v>7947467.2829999998</v>
      </c>
      <c r="M134" s="188">
        <f t="shared" si="33"/>
        <v>7458653.1242040815</v>
      </c>
      <c r="N134" s="189">
        <f t="shared" si="34"/>
        <v>488814.15879591834</v>
      </c>
      <c r="Q134" s="185"/>
      <c r="S134" s="182">
        <f t="shared" si="29"/>
        <v>98040810.988448113</v>
      </c>
      <c r="W134" s="182">
        <v>4108597.8333333335</v>
      </c>
      <c r="X134" s="183">
        <f t="shared" si="24"/>
        <v>23862.352794190843</v>
      </c>
      <c r="AA134" s="181" t="s">
        <v>76</v>
      </c>
      <c r="AC134" s="182">
        <f t="shared" si="28"/>
        <v>99149876.638655901</v>
      </c>
      <c r="AD134" s="191">
        <f t="shared" si="25"/>
        <v>24132.290543076815</v>
      </c>
    </row>
    <row r="135" spans="1:30" ht="14.4">
      <c r="A135" s="187">
        <v>37956</v>
      </c>
      <c r="B135" s="182">
        <v>7668752</v>
      </c>
      <c r="C135" s="182">
        <v>73902.544792690795</v>
      </c>
      <c r="D135" s="182">
        <f t="shared" si="30"/>
        <v>7594849.4552073088</v>
      </c>
      <c r="E135" s="188">
        <v>-215478.17855492979</v>
      </c>
      <c r="F135" s="189">
        <f t="shared" si="26"/>
        <v>1403587.0386476014</v>
      </c>
      <c r="G135" s="182">
        <f t="shared" si="31"/>
        <v>7884230.1785549298</v>
      </c>
      <c r="I135" s="182">
        <f t="shared" si="32"/>
        <v>7810327.6337622385</v>
      </c>
      <c r="K135" s="182">
        <v>6739451.2510000002</v>
      </c>
      <c r="M135" s="188">
        <f t="shared" si="33"/>
        <v>6930660.3972233711</v>
      </c>
      <c r="N135" s="189">
        <f t="shared" si="34"/>
        <v>-191209.14622337092</v>
      </c>
      <c r="Q135" s="185"/>
      <c r="S135" s="182">
        <f t="shared" si="29"/>
        <v>98223537.308436051</v>
      </c>
      <c r="W135" s="182">
        <v>4117220.6666666665</v>
      </c>
      <c r="X135" s="183">
        <f t="shared" si="24"/>
        <v>23856.758056147275</v>
      </c>
      <c r="Y135" s="192">
        <f>X135/X123-1</f>
        <v>1.0007014269526548E-2</v>
      </c>
      <c r="AA135" s="181" t="s">
        <v>77</v>
      </c>
      <c r="AB135" s="181">
        <f>YEAR(A135)</f>
        <v>2003</v>
      </c>
      <c r="AC135" s="182">
        <f>SUM(G124:G135)</f>
        <v>107026351.6399073</v>
      </c>
      <c r="AD135" s="191">
        <f t="shared" si="25"/>
        <v>25994.805793724106</v>
      </c>
    </row>
    <row r="136" spans="1:30" ht="14.4">
      <c r="A136" s="187">
        <v>37987</v>
      </c>
      <c r="B136" s="182">
        <v>7673433</v>
      </c>
      <c r="C136" s="182">
        <v>70669.595236057605</v>
      </c>
      <c r="D136" s="182">
        <f t="shared" si="30"/>
        <v>7602763.4047639426</v>
      </c>
      <c r="E136" s="188">
        <v>-207552.38731242996</v>
      </c>
      <c r="F136" s="189">
        <f t="shared" si="26"/>
        <v>953511.55984351411</v>
      </c>
      <c r="G136" s="182">
        <f t="shared" si="31"/>
        <v>7880985.38731243</v>
      </c>
      <c r="H136" s="193"/>
      <c r="I136" s="182">
        <f t="shared" si="32"/>
        <v>7810315.7920763725</v>
      </c>
      <c r="K136" s="182">
        <v>7060804.4139999999</v>
      </c>
      <c r="M136" s="188">
        <f t="shared" si="33"/>
        <v>7253561.5385415265</v>
      </c>
      <c r="N136" s="189">
        <f t="shared" si="34"/>
        <v>-192757.12454152666</v>
      </c>
      <c r="O136" s="188">
        <v>7196786.9069999997</v>
      </c>
      <c r="Q136" s="185"/>
      <c r="S136" s="182">
        <f t="shared" si="29"/>
        <v>98054710.885902911</v>
      </c>
      <c r="W136" s="182">
        <v>4126009.8333333335</v>
      </c>
      <c r="X136" s="183">
        <f t="shared" si="24"/>
        <v>23765.021133429091</v>
      </c>
      <c r="AA136" s="181" t="s">
        <v>66</v>
      </c>
      <c r="AC136" s="182">
        <f t="shared" si="28"/>
        <v>99064902.94015646</v>
      </c>
      <c r="AD136" s="191">
        <f t="shared" si="25"/>
        <v>24009.856239272121</v>
      </c>
    </row>
    <row r="137" spans="1:30" ht="14.4">
      <c r="A137" s="187">
        <v>38018</v>
      </c>
      <c r="B137" s="182">
        <v>7341137</v>
      </c>
      <c r="C137" s="182">
        <v>69042.395169044801</v>
      </c>
      <c r="D137" s="182">
        <f t="shared" si="30"/>
        <v>7272094.6048309552</v>
      </c>
      <c r="E137" s="188">
        <v>-40799.534817148931</v>
      </c>
      <c r="F137" s="189">
        <f t="shared" si="26"/>
        <v>750689.86910972092</v>
      </c>
      <c r="G137" s="182">
        <f t="shared" si="31"/>
        <v>7381936.5348171489</v>
      </c>
      <c r="H137" s="193"/>
      <c r="I137" s="182">
        <f t="shared" si="32"/>
        <v>7312894.1396481041</v>
      </c>
      <c r="K137" s="182">
        <v>6769649.5250000004</v>
      </c>
      <c r="M137" s="188">
        <f t="shared" si="33"/>
        <v>6807630.129833119</v>
      </c>
      <c r="N137" s="189">
        <f t="shared" si="34"/>
        <v>-37980.604833118618</v>
      </c>
      <c r="O137" s="188">
        <v>6877654.0030000005</v>
      </c>
      <c r="Q137" s="185"/>
      <c r="S137" s="182">
        <f t="shared" si="29"/>
        <v>98553143.540274784</v>
      </c>
      <c r="W137" s="182">
        <v>4134817.8333333335</v>
      </c>
      <c r="X137" s="183">
        <f t="shared" si="24"/>
        <v>23834.942073088856</v>
      </c>
      <c r="AA137" s="181" t="s">
        <v>67</v>
      </c>
      <c r="AC137" s="182">
        <f t="shared" si="28"/>
        <v>99989920.630890265</v>
      </c>
      <c r="AD137" s="191">
        <f t="shared" si="25"/>
        <v>24182.424634238887</v>
      </c>
    </row>
    <row r="138" spans="1:30" ht="14.4">
      <c r="A138" s="187">
        <v>38047</v>
      </c>
      <c r="B138" s="182">
        <v>7858341</v>
      </c>
      <c r="C138" s="182">
        <v>76217.995009021601</v>
      </c>
      <c r="D138" s="182">
        <f t="shared" si="30"/>
        <v>7782123.0049909782</v>
      </c>
      <c r="E138" s="188">
        <v>-370317.11746616103</v>
      </c>
      <c r="F138" s="189">
        <f t="shared" si="26"/>
        <v>-148745.21771672927</v>
      </c>
      <c r="G138" s="182">
        <f t="shared" si="31"/>
        <v>8228658.117466161</v>
      </c>
      <c r="H138" s="193"/>
      <c r="I138" s="182">
        <f t="shared" si="32"/>
        <v>8152440.1224571392</v>
      </c>
      <c r="K138" s="182">
        <v>7242387.3320000004</v>
      </c>
      <c r="M138" s="188">
        <f t="shared" si="33"/>
        <v>7587020.7949560117</v>
      </c>
      <c r="N138" s="189">
        <f t="shared" si="34"/>
        <v>-344633.4629560113</v>
      </c>
      <c r="O138" s="188">
        <v>7353860.2420000006</v>
      </c>
      <c r="Q138" s="185"/>
      <c r="S138" s="182">
        <f t="shared" si="29"/>
        <v>98652548.752877146</v>
      </c>
      <c r="W138" s="182">
        <v>4143775.5</v>
      </c>
      <c r="X138" s="183">
        <f t="shared" si="24"/>
        <v>23807.406736411551</v>
      </c>
      <c r="AA138" s="181" t="s">
        <v>68</v>
      </c>
      <c r="AC138" s="182">
        <f t="shared" si="28"/>
        <v>99360838.717716694</v>
      </c>
      <c r="AD138" s="191">
        <f t="shared" si="25"/>
        <v>23978.335389481574</v>
      </c>
    </row>
    <row r="139" spans="1:30" ht="14.4">
      <c r="A139" s="187">
        <v>38078</v>
      </c>
      <c r="B139" s="182">
        <v>7922081</v>
      </c>
      <c r="C139" s="182">
        <v>78382.426558282794</v>
      </c>
      <c r="D139" s="182">
        <f t="shared" si="30"/>
        <v>7843698.5734417168</v>
      </c>
      <c r="E139" s="188">
        <v>-547226.20195458084</v>
      </c>
      <c r="F139" s="189">
        <f t="shared" si="26"/>
        <v>-309980.71810663305</v>
      </c>
      <c r="G139" s="182">
        <f t="shared" si="31"/>
        <v>8469307.2019545808</v>
      </c>
      <c r="H139" s="193"/>
      <c r="I139" s="182">
        <f t="shared" si="32"/>
        <v>8390924.7753962986</v>
      </c>
      <c r="K139" s="182">
        <v>7390836.1799999997</v>
      </c>
      <c r="M139" s="188">
        <f t="shared" si="33"/>
        <v>7906467.82675198</v>
      </c>
      <c r="N139" s="189">
        <f t="shared" si="34"/>
        <v>-515631.6467519803</v>
      </c>
      <c r="O139" s="188">
        <v>7499046.4249999998</v>
      </c>
      <c r="Q139" s="185"/>
      <c r="S139" s="182">
        <f t="shared" si="29"/>
        <v>98869349.348926961</v>
      </c>
      <c r="W139" s="182">
        <v>4152919.1666666665</v>
      </c>
      <c r="X139" s="183">
        <f t="shared" si="24"/>
        <v>23807.193297307611</v>
      </c>
      <c r="AA139" s="181" t="s">
        <v>69</v>
      </c>
      <c r="AC139" s="182">
        <f t="shared" si="28"/>
        <v>99316900.718106613</v>
      </c>
      <c r="AD139" s="191">
        <f t="shared" si="25"/>
        <v>23914.961195313404</v>
      </c>
    </row>
    <row r="140" spans="1:30" ht="14.4">
      <c r="A140" s="187">
        <v>38108</v>
      </c>
      <c r="B140" s="182">
        <v>9576175</v>
      </c>
      <c r="C140" s="182">
        <v>89663.585567224785</v>
      </c>
      <c r="D140" s="182">
        <f t="shared" si="30"/>
        <v>9486511.4144327752</v>
      </c>
      <c r="E140" s="188">
        <v>-629057.23136064596</v>
      </c>
      <c r="F140" s="189">
        <f t="shared" si="26"/>
        <v>-1366385.1303039026</v>
      </c>
      <c r="G140" s="182">
        <f t="shared" si="31"/>
        <v>10205232.231360646</v>
      </c>
      <c r="H140" s="193"/>
      <c r="I140" s="182">
        <f t="shared" si="32"/>
        <v>10115568.645793421</v>
      </c>
      <c r="K140" s="182">
        <v>8363275.0429999996</v>
      </c>
      <c r="M140" s="188">
        <f t="shared" si="33"/>
        <v>8917849.6820662767</v>
      </c>
      <c r="N140" s="189">
        <f t="shared" si="34"/>
        <v>-554574.63906627707</v>
      </c>
      <c r="O140" s="188">
        <v>8499155.4409999996</v>
      </c>
      <c r="Q140" s="185"/>
      <c r="S140" s="182">
        <f t="shared" si="29"/>
        <v>99380587.028792337</v>
      </c>
      <c r="W140" s="182">
        <v>4162335.1666666665</v>
      </c>
      <c r="X140" s="183">
        <f t="shared" si="24"/>
        <v>23876.161589452091</v>
      </c>
      <c r="AA140" s="181" t="s">
        <v>70</v>
      </c>
      <c r="AC140" s="182">
        <f t="shared" si="28"/>
        <v>98318371.13030389</v>
      </c>
      <c r="AD140" s="191">
        <f t="shared" si="25"/>
        <v>23620.964481108917</v>
      </c>
    </row>
    <row r="141" spans="1:30" ht="14.4">
      <c r="A141" s="187">
        <v>38139</v>
      </c>
      <c r="B141" s="182">
        <v>10673643</v>
      </c>
      <c r="C141" s="182">
        <v>95752.339045480403</v>
      </c>
      <c r="D141" s="182">
        <f t="shared" si="30"/>
        <v>10577890.66095452</v>
      </c>
      <c r="E141" s="188">
        <v>435862.00950946473</v>
      </c>
      <c r="F141" s="189">
        <f t="shared" si="26"/>
        <v>-1796243.5597167406</v>
      </c>
      <c r="G141" s="182">
        <f t="shared" si="31"/>
        <v>10237780.990490535</v>
      </c>
      <c r="H141" s="193"/>
      <c r="I141" s="182">
        <f t="shared" si="32"/>
        <v>10142028.651445055</v>
      </c>
      <c r="K141" s="182">
        <v>10064543.869999999</v>
      </c>
      <c r="M141" s="188">
        <f t="shared" si="33"/>
        <v>9649834.3162165694</v>
      </c>
      <c r="N141" s="189">
        <f t="shared" si="34"/>
        <v>414709.55378342979</v>
      </c>
      <c r="O141" s="188">
        <v>10199223.319999998</v>
      </c>
      <c r="Q141" s="185"/>
      <c r="S141" s="182">
        <f t="shared" si="29"/>
        <v>99688237.409257695</v>
      </c>
      <c r="W141" s="182">
        <v>4171958.25</v>
      </c>
      <c r="X141" s="183">
        <f t="shared" si="24"/>
        <v>23894.831020722151</v>
      </c>
      <c r="AA141" s="181" t="s">
        <v>71</v>
      </c>
      <c r="AC141" s="182">
        <f t="shared" si="28"/>
        <v>98536190.559716731</v>
      </c>
      <c r="AD141" s="191">
        <f t="shared" si="25"/>
        <v>23618.690469809168</v>
      </c>
    </row>
    <row r="142" spans="1:30" ht="14.4">
      <c r="A142" s="187">
        <v>38169</v>
      </c>
      <c r="B142" s="182">
        <v>10937913.5</v>
      </c>
      <c r="C142" s="182">
        <v>100619.61046044801</v>
      </c>
      <c r="D142" s="182">
        <f t="shared" si="30"/>
        <v>10837293.889539553</v>
      </c>
      <c r="E142" s="188">
        <v>-67926.327570226043</v>
      </c>
      <c r="F142" s="189">
        <f t="shared" si="26"/>
        <v>-1423909.938518092</v>
      </c>
      <c r="G142" s="182">
        <f t="shared" si="31"/>
        <v>11005839.827570226</v>
      </c>
      <c r="H142" s="193"/>
      <c r="I142" s="182">
        <f t="shared" si="32"/>
        <v>10905220.217109779</v>
      </c>
      <c r="K142" s="182">
        <v>9747237.9749999996</v>
      </c>
      <c r="M142" s="188">
        <f t="shared" si="33"/>
        <v>9808332.0162194464</v>
      </c>
      <c r="N142" s="189">
        <f t="shared" si="34"/>
        <v>-61094.041219446808</v>
      </c>
      <c r="O142" s="188">
        <v>9857683.1579999998</v>
      </c>
      <c r="Q142" s="185"/>
      <c r="S142" s="182">
        <f t="shared" si="29"/>
        <v>99995038.801017165</v>
      </c>
      <c r="W142" s="182">
        <v>4181908.5</v>
      </c>
      <c r="X142" s="183">
        <f t="shared" si="24"/>
        <v>23911.340671613729</v>
      </c>
      <c r="AA142" s="181" t="s">
        <v>72</v>
      </c>
      <c r="AC142" s="182">
        <f t="shared" si="28"/>
        <v>98064328.938518092</v>
      </c>
      <c r="AD142" s="191">
        <f t="shared" si="25"/>
        <v>23449.659154072378</v>
      </c>
    </row>
    <row r="143" spans="1:30" ht="14.4">
      <c r="A143" s="187">
        <v>38200</v>
      </c>
      <c r="B143" s="182">
        <v>10700436</v>
      </c>
      <c r="C143" s="182">
        <v>98868.907038919191</v>
      </c>
      <c r="D143" s="182">
        <f t="shared" si="30"/>
        <v>10601567.09296108</v>
      </c>
      <c r="E143" s="188">
        <v>-302303.91534088552</v>
      </c>
      <c r="F143" s="189">
        <f t="shared" si="26"/>
        <v>-1034851.5571571365</v>
      </c>
      <c r="G143" s="182">
        <f t="shared" si="31"/>
        <v>11002739.915340886</v>
      </c>
      <c r="H143" s="193"/>
      <c r="I143" s="182">
        <f t="shared" si="32"/>
        <v>10903871.008301966</v>
      </c>
      <c r="K143" s="182">
        <v>9705981.8469999991</v>
      </c>
      <c r="M143" s="188">
        <f t="shared" si="33"/>
        <v>9982748.1296492685</v>
      </c>
      <c r="N143" s="189">
        <f t="shared" si="34"/>
        <v>-276766.28264926933</v>
      </c>
      <c r="O143" s="188">
        <v>9894663.9719999991</v>
      </c>
      <c r="Q143" s="185"/>
      <c r="S143" s="182">
        <f t="shared" si="29"/>
        <v>100182956.92317168</v>
      </c>
      <c r="W143" s="182">
        <v>4191989.4166666665</v>
      </c>
      <c r="X143" s="183">
        <f t="shared" ref="X143:X182" si="35">S143/W143*1000</f>
        <v>23898.666472024135</v>
      </c>
      <c r="AA143" s="181" t="s">
        <v>73</v>
      </c>
      <c r="AC143" s="182">
        <f t="shared" si="28"/>
        <v>98360419.057157144</v>
      </c>
      <c r="AD143" s="191">
        <f t="shared" ref="AD143:AD206" si="36">AC143/W143*1000</f>
        <v>23463.899662077427</v>
      </c>
    </row>
    <row r="144" spans="1:30" ht="14.4">
      <c r="A144" s="187">
        <v>38231</v>
      </c>
      <c r="B144" s="182">
        <v>9621164</v>
      </c>
      <c r="C144" s="182">
        <v>91379.516831481611</v>
      </c>
      <c r="D144" s="182">
        <f t="shared" si="30"/>
        <v>9529784.4831685182</v>
      </c>
      <c r="E144" s="188">
        <v>23214.043226124719</v>
      </c>
      <c r="F144" s="189">
        <f t="shared" ref="F144:F207" si="37">SUM(E133:E143)</f>
        <v>-1135003.4593278952</v>
      </c>
      <c r="G144" s="182">
        <f t="shared" si="31"/>
        <v>9597949.9567738753</v>
      </c>
      <c r="H144" s="193"/>
      <c r="I144" s="182">
        <f t="shared" si="32"/>
        <v>9506570.4399423935</v>
      </c>
      <c r="K144" s="182">
        <v>9125022.4900000002</v>
      </c>
      <c r="M144" s="188">
        <f t="shared" si="33"/>
        <v>9102794.4252524339</v>
      </c>
      <c r="N144" s="189">
        <f t="shared" si="34"/>
        <v>22228.064747566357</v>
      </c>
      <c r="O144" s="188">
        <v>9256067.6950000003</v>
      </c>
      <c r="Q144" s="185"/>
      <c r="S144" s="182">
        <f t="shared" si="29"/>
        <v>99616108.902327552</v>
      </c>
      <c r="W144" s="182">
        <v>4201065.25</v>
      </c>
      <c r="X144" s="183">
        <f t="shared" si="35"/>
        <v>23712.10704292859</v>
      </c>
      <c r="AA144" s="181" t="s">
        <v>74</v>
      </c>
      <c r="AC144" s="182">
        <f t="shared" ref="AC144:AC206" si="38">SUM(G133:G143)</f>
        <v>99260091.959327891</v>
      </c>
      <c r="AD144" s="191">
        <f t="shared" si="36"/>
        <v>23627.362597933439</v>
      </c>
    </row>
    <row r="145" spans="1:30" ht="14.4">
      <c r="A145" s="187">
        <v>38261</v>
      </c>
      <c r="B145" s="182">
        <v>9570087</v>
      </c>
      <c r="C145" s="182">
        <v>91114.285473237207</v>
      </c>
      <c r="D145" s="182">
        <f t="shared" si="30"/>
        <v>9478972.7145267632</v>
      </c>
      <c r="E145" s="188">
        <v>-283456.37486091442</v>
      </c>
      <c r="F145" s="189">
        <f t="shared" si="37"/>
        <v>-1421668.239017738</v>
      </c>
      <c r="G145" s="182">
        <f t="shared" si="31"/>
        <v>9853543.3748609144</v>
      </c>
      <c r="H145" s="193"/>
      <c r="I145" s="182">
        <f t="shared" si="32"/>
        <v>9762429.0893876776</v>
      </c>
      <c r="K145" s="182">
        <v>8460054.3039999995</v>
      </c>
      <c r="M145" s="188">
        <f t="shared" si="33"/>
        <v>8713041.2463997006</v>
      </c>
      <c r="N145" s="189">
        <f t="shared" si="34"/>
        <v>-252986.9423997011</v>
      </c>
      <c r="O145" s="188">
        <v>8603100.0939999986</v>
      </c>
      <c r="Q145" s="185"/>
      <c r="S145" s="182">
        <f t="shared" si="29"/>
        <v>100118593.62731379</v>
      </c>
      <c r="W145" s="182">
        <v>4208881.083333333</v>
      </c>
      <c r="X145" s="183">
        <f t="shared" si="35"/>
        <v>23787.460763330062</v>
      </c>
      <c r="AA145" s="181" t="s">
        <v>75</v>
      </c>
      <c r="AC145" s="182">
        <f t="shared" si="38"/>
        <v>99599433.73901774</v>
      </c>
      <c r="AD145" s="191">
        <f t="shared" si="36"/>
        <v>23664.11209226595</v>
      </c>
    </row>
    <row r="146" spans="1:30" ht="14.4">
      <c r="A146" s="187">
        <v>38292</v>
      </c>
      <c r="B146" s="182">
        <v>8129488</v>
      </c>
      <c r="C146" s="182">
        <v>74442.077725196403</v>
      </c>
      <c r="D146" s="182">
        <f t="shared" si="30"/>
        <v>8055045.9222748037</v>
      </c>
      <c r="E146" s="188">
        <v>40925.09564300999</v>
      </c>
      <c r="F146" s="189">
        <f t="shared" si="37"/>
        <v>-2205041.2165023331</v>
      </c>
      <c r="G146" s="182">
        <f t="shared" si="31"/>
        <v>8088562.90435699</v>
      </c>
      <c r="H146" s="193"/>
      <c r="I146" s="182">
        <f t="shared" si="32"/>
        <v>8014120.8266317938</v>
      </c>
      <c r="K146" s="182">
        <v>7935526.892</v>
      </c>
      <c r="M146" s="188">
        <f t="shared" si="33"/>
        <v>7895209.0340800704</v>
      </c>
      <c r="N146" s="189">
        <f t="shared" si="34"/>
        <v>40317.857919929549</v>
      </c>
      <c r="O146" s="188">
        <v>8056489.3320000004</v>
      </c>
      <c r="Q146" s="185"/>
      <c r="S146" s="182">
        <f t="shared" si="29"/>
        <v>100555149.53718978</v>
      </c>
      <c r="W146" s="182">
        <v>4217014.666666667</v>
      </c>
      <c r="X146" s="183">
        <f t="shared" si="35"/>
        <v>23845.103108610587</v>
      </c>
      <c r="AA146" s="181" t="s">
        <v>76</v>
      </c>
      <c r="AC146" s="182">
        <f t="shared" si="38"/>
        <v>101748203.71650232</v>
      </c>
      <c r="AD146" s="191">
        <f t="shared" si="36"/>
        <v>24128.017509820293</v>
      </c>
    </row>
    <row r="147" spans="1:30" ht="14.4">
      <c r="A147" s="187">
        <v>38322</v>
      </c>
      <c r="B147" s="182">
        <v>8118031</v>
      </c>
      <c r="C147" s="182">
        <v>75318.704070814798</v>
      </c>
      <c r="D147" s="182">
        <f t="shared" si="30"/>
        <v>8042712.2959291851</v>
      </c>
      <c r="E147" s="188">
        <v>-172274.58068324067</v>
      </c>
      <c r="F147" s="189">
        <f t="shared" si="37"/>
        <v>-1948637.9423043933</v>
      </c>
      <c r="G147" s="182">
        <f t="shared" si="31"/>
        <v>8290305.5806832407</v>
      </c>
      <c r="H147" s="193"/>
      <c r="I147" s="182">
        <f t="shared" si="32"/>
        <v>8214986.8766124258</v>
      </c>
      <c r="K147" s="182">
        <v>7278746.9730000002</v>
      </c>
      <c r="M147" s="188">
        <f t="shared" si="33"/>
        <v>7434657.4465485401</v>
      </c>
      <c r="N147" s="189">
        <f t="shared" si="34"/>
        <v>-155910.47354853991</v>
      </c>
      <c r="O147" s="188">
        <v>7391240.7080000006</v>
      </c>
      <c r="Q147" s="185"/>
      <c r="S147" s="182">
        <f t="shared" si="29"/>
        <v>101059146.58651495</v>
      </c>
      <c r="W147" s="182">
        <v>4224509.166666667</v>
      </c>
      <c r="X147" s="183">
        <f t="shared" si="35"/>
        <v>23922.103752056784</v>
      </c>
      <c r="Y147" s="192">
        <f>X147/X135-1</f>
        <v>2.7390853256639147E-3</v>
      </c>
      <c r="AA147" s="181" t="s">
        <v>77</v>
      </c>
      <c r="AB147" s="181">
        <f>YEAR(A147)</f>
        <v>2004</v>
      </c>
      <c r="AC147" s="182">
        <f>SUM(G136:G147)</f>
        <v>110242842.02298763</v>
      </c>
      <c r="AD147" s="191">
        <f t="shared" si="36"/>
        <v>26096.012027350938</v>
      </c>
    </row>
    <row r="148" spans="1:30" ht="14.4">
      <c r="A148" s="187">
        <v>38353</v>
      </c>
      <c r="B148" s="182">
        <v>8045152</v>
      </c>
      <c r="C148" s="182">
        <v>73646.333494622799</v>
      </c>
      <c r="D148" s="182">
        <f t="shared" si="30"/>
        <v>7971505.6665053768</v>
      </c>
      <c r="E148" s="188">
        <v>-153985.52354393061</v>
      </c>
      <c r="F148" s="189">
        <f t="shared" si="37"/>
        <v>-1913360.135675204</v>
      </c>
      <c r="G148" s="182">
        <f t="shared" si="31"/>
        <v>8199137.5235439306</v>
      </c>
      <c r="H148" s="193"/>
      <c r="I148" s="182">
        <f t="shared" si="32"/>
        <v>8125491.1900493074</v>
      </c>
      <c r="K148" s="182">
        <v>7486343.2860000003</v>
      </c>
      <c r="M148" s="188">
        <f t="shared" si="33"/>
        <v>7630956.9309689905</v>
      </c>
      <c r="N148" s="189">
        <f t="shared" si="34"/>
        <v>-144613.64496899024</v>
      </c>
      <c r="O148" s="188">
        <v>7598926.3110000007</v>
      </c>
      <c r="Q148" s="185"/>
      <c r="S148" s="182">
        <f t="shared" si="29"/>
        <v>101436541.97894239</v>
      </c>
      <c r="W148" s="182">
        <v>4232400.166666667</v>
      </c>
      <c r="X148" s="183">
        <f t="shared" si="35"/>
        <v>23966.670915909941</v>
      </c>
      <c r="AA148" s="181" t="s">
        <v>66</v>
      </c>
      <c r="AC148" s="182">
        <f t="shared" si="38"/>
        <v>102361856.63567521</v>
      </c>
      <c r="AD148" s="191">
        <f t="shared" si="36"/>
        <v>24185.297373781377</v>
      </c>
    </row>
    <row r="149" spans="1:30" ht="14.4">
      <c r="A149" s="187">
        <v>38384</v>
      </c>
      <c r="B149" s="182">
        <v>7099617</v>
      </c>
      <c r="C149" s="182">
        <v>65391.1439020412</v>
      </c>
      <c r="D149" s="182">
        <f t="shared" si="30"/>
        <v>7034225.856097959</v>
      </c>
      <c r="E149" s="188">
        <v>-172154.10226400569</v>
      </c>
      <c r="F149" s="189">
        <f t="shared" si="37"/>
        <v>-2026546.1244019857</v>
      </c>
      <c r="G149" s="182">
        <f t="shared" si="31"/>
        <v>7271771.1022640057</v>
      </c>
      <c r="H149" s="193"/>
      <c r="I149" s="182">
        <f t="shared" si="32"/>
        <v>7206379.9583619647</v>
      </c>
      <c r="K149" s="182">
        <v>6398482.2779999999</v>
      </c>
      <c r="M149" s="188">
        <f t="shared" si="33"/>
        <v>6555077.3312376393</v>
      </c>
      <c r="N149" s="189">
        <f t="shared" si="34"/>
        <v>-156595.05323763937</v>
      </c>
      <c r="O149" s="188">
        <v>6518412.1409999998</v>
      </c>
      <c r="Q149" s="185"/>
      <c r="S149" s="182">
        <f t="shared" si="29"/>
        <v>101183989.18034692</v>
      </c>
      <c r="W149" s="182">
        <v>4240405</v>
      </c>
      <c r="X149" s="183">
        <f t="shared" si="35"/>
        <v>23861.869132865118</v>
      </c>
      <c r="AA149" s="181" t="s">
        <v>67</v>
      </c>
      <c r="AC149" s="182">
        <f t="shared" si="38"/>
        <v>103179057.62440199</v>
      </c>
      <c r="AD149" s="191">
        <f t="shared" si="36"/>
        <v>24332.359202576637</v>
      </c>
    </row>
    <row r="150" spans="1:30" ht="14.4">
      <c r="A150" s="187">
        <v>38412</v>
      </c>
      <c r="B150" s="182">
        <v>8340298</v>
      </c>
      <c r="C150" s="182">
        <v>81906.862034025587</v>
      </c>
      <c r="D150" s="182">
        <f t="shared" si="30"/>
        <v>8258391.1379659744</v>
      </c>
      <c r="E150" s="188">
        <v>28477.864255018532</v>
      </c>
      <c r="F150" s="189">
        <f t="shared" si="37"/>
        <v>-1828383.1091998303</v>
      </c>
      <c r="G150" s="182">
        <f t="shared" si="31"/>
        <v>8311820.1357449815</v>
      </c>
      <c r="H150" s="193"/>
      <c r="I150" s="182">
        <f t="shared" si="32"/>
        <v>8229913.2737109559</v>
      </c>
      <c r="K150" s="182">
        <v>7686408.9469999997</v>
      </c>
      <c r="M150" s="188">
        <f t="shared" si="33"/>
        <v>7659903.4803849682</v>
      </c>
      <c r="N150" s="189">
        <f t="shared" si="34"/>
        <v>26505.466615031473</v>
      </c>
      <c r="O150" s="188">
        <v>7814247.46</v>
      </c>
      <c r="Q150" s="185"/>
      <c r="S150" s="182">
        <f t="shared" si="29"/>
        <v>101256871.86577588</v>
      </c>
      <c r="W150" s="182">
        <v>4248221.666666667</v>
      </c>
      <c r="X150" s="183">
        <f t="shared" si="35"/>
        <v>23835.119683202945</v>
      </c>
      <c r="AA150" s="181" t="s">
        <v>68</v>
      </c>
      <c r="AC150" s="182">
        <f t="shared" si="38"/>
        <v>102222170.60919982</v>
      </c>
      <c r="AD150" s="191">
        <f t="shared" si="36"/>
        <v>24062.343877033993</v>
      </c>
    </row>
    <row r="151" spans="1:30" ht="14.4">
      <c r="A151" s="187">
        <v>38443</v>
      </c>
      <c r="B151" s="182">
        <v>8001649</v>
      </c>
      <c r="C151" s="182">
        <v>78798.826013491183</v>
      </c>
      <c r="D151" s="182">
        <f t="shared" si="30"/>
        <v>7922850.1739865085</v>
      </c>
      <c r="E151" s="188">
        <v>-690688.3920820076</v>
      </c>
      <c r="F151" s="189">
        <f t="shared" si="37"/>
        <v>-1252679.042990231</v>
      </c>
      <c r="G151" s="182">
        <f t="shared" si="31"/>
        <v>8692337.3920820076</v>
      </c>
      <c r="H151" s="193"/>
      <c r="I151" s="182">
        <f t="shared" si="32"/>
        <v>8613538.566068517</v>
      </c>
      <c r="K151" s="182">
        <v>7507031.3849999998</v>
      </c>
      <c r="M151" s="188">
        <f t="shared" si="33"/>
        <v>8161470.0431534834</v>
      </c>
      <c r="N151" s="189">
        <f t="shared" si="34"/>
        <v>-654438.65815348364</v>
      </c>
      <c r="O151" s="188">
        <v>7626851.3930000002</v>
      </c>
      <c r="Q151" s="185"/>
      <c r="S151" s="182">
        <f t="shared" ref="S151:S182" si="39">SUM(M140:M151)</f>
        <v>101511874.08217739</v>
      </c>
      <c r="W151" s="182">
        <v>4256010</v>
      </c>
      <c r="X151" s="183">
        <f t="shared" si="35"/>
        <v>23851.418131578026</v>
      </c>
      <c r="AA151" s="181" t="s">
        <v>69</v>
      </c>
      <c r="AC151" s="182">
        <f t="shared" si="38"/>
        <v>102064683.54299024</v>
      </c>
      <c r="AD151" s="191">
        <f t="shared" si="36"/>
        <v>23981.307267367851</v>
      </c>
    </row>
    <row r="152" spans="1:30" ht="14.4">
      <c r="A152" s="187">
        <v>38473</v>
      </c>
      <c r="B152" s="182">
        <v>9672947</v>
      </c>
      <c r="C152" s="182">
        <v>90429.709265354002</v>
      </c>
      <c r="D152" s="182">
        <f t="shared" si="30"/>
        <v>9582517.2907346468</v>
      </c>
      <c r="E152" s="188">
        <v>-531870.02687323466</v>
      </c>
      <c r="F152" s="189">
        <f t="shared" si="37"/>
        <v>-1314310.2037115926</v>
      </c>
      <c r="G152" s="182">
        <f t="shared" si="31"/>
        <v>10204817.026873235</v>
      </c>
      <c r="H152" s="193"/>
      <c r="I152" s="182">
        <f t="shared" si="32"/>
        <v>10114387.317607882</v>
      </c>
      <c r="K152" s="182">
        <v>8418507.523</v>
      </c>
      <c r="M152" s="188">
        <f t="shared" si="33"/>
        <v>8885770.11033912</v>
      </c>
      <c r="N152" s="189">
        <f t="shared" si="34"/>
        <v>-467262.58733911999</v>
      </c>
      <c r="O152" s="188">
        <v>8536928.4930000007</v>
      </c>
      <c r="Q152" s="185"/>
      <c r="S152" s="182">
        <f t="shared" si="39"/>
        <v>101479794.51045021</v>
      </c>
      <c r="W152" s="182">
        <v>4263996.333333333</v>
      </c>
      <c r="X152" s="183">
        <f t="shared" si="35"/>
        <v>23799.221804470802</v>
      </c>
      <c r="AA152" s="181" t="s">
        <v>70</v>
      </c>
      <c r="AC152" s="182">
        <f t="shared" si="38"/>
        <v>100551788.7037116</v>
      </c>
      <c r="AD152" s="191">
        <f t="shared" si="36"/>
        <v>23581.584233001984</v>
      </c>
    </row>
    <row r="153" spans="1:30" ht="14.4">
      <c r="A153" s="187">
        <v>38504</v>
      </c>
      <c r="B153" s="182">
        <v>10062235.75</v>
      </c>
      <c r="C153" s="182">
        <v>94470.839008041614</v>
      </c>
      <c r="D153" s="182">
        <f t="shared" si="30"/>
        <v>9967764.9109919593</v>
      </c>
      <c r="E153" s="188">
        <v>-456312.83690339699</v>
      </c>
      <c r="F153" s="189">
        <f t="shared" si="37"/>
        <v>-2282042.240094292</v>
      </c>
      <c r="G153" s="182">
        <f t="shared" si="31"/>
        <v>10518548.586903397</v>
      </c>
      <c r="H153" s="193"/>
      <c r="I153" s="182">
        <f t="shared" si="32"/>
        <v>10424077.747895356</v>
      </c>
      <c r="K153" s="182">
        <v>9548115.9309999999</v>
      </c>
      <c r="M153" s="188">
        <f t="shared" si="33"/>
        <v>9985217.719260728</v>
      </c>
      <c r="N153" s="189">
        <f t="shared" si="34"/>
        <v>-437101.78826072812</v>
      </c>
      <c r="O153" s="188">
        <v>9691002.4959999993</v>
      </c>
      <c r="Q153" s="185"/>
      <c r="S153" s="182">
        <f t="shared" si="39"/>
        <v>101815177.91349438</v>
      </c>
      <c r="W153" s="182">
        <v>4272026.416666667</v>
      </c>
      <c r="X153" s="183">
        <f t="shared" si="35"/>
        <v>23832.993521827913</v>
      </c>
      <c r="AA153" s="181" t="s">
        <v>71</v>
      </c>
      <c r="AC153" s="182">
        <f t="shared" si="38"/>
        <v>100518824.74009427</v>
      </c>
      <c r="AD153" s="191">
        <f t="shared" si="36"/>
        <v>23529.541940081464</v>
      </c>
    </row>
    <row r="154" spans="1:30" ht="14.4">
      <c r="A154" s="187">
        <v>38534</v>
      </c>
      <c r="B154" s="182">
        <v>11950858</v>
      </c>
      <c r="C154" s="182">
        <v>104579.2320861964</v>
      </c>
      <c r="D154" s="182">
        <f t="shared" si="30"/>
        <v>11846278.767913803</v>
      </c>
      <c r="E154" s="188">
        <v>542417.96549415775</v>
      </c>
      <c r="F154" s="189">
        <f t="shared" si="37"/>
        <v>-2670428.7494274629</v>
      </c>
      <c r="G154" s="182">
        <f t="shared" si="31"/>
        <v>11408440.034505842</v>
      </c>
      <c r="H154" s="193"/>
      <c r="I154" s="182">
        <f t="shared" si="32"/>
        <v>11303860.802419646</v>
      </c>
      <c r="K154" s="182">
        <v>10545023.530999999</v>
      </c>
      <c r="M154" s="188">
        <f t="shared" si="33"/>
        <v>10062187.50106751</v>
      </c>
      <c r="N154" s="189">
        <f t="shared" si="34"/>
        <v>482836.02993248962</v>
      </c>
      <c r="O154" s="188">
        <v>10675625.523</v>
      </c>
      <c r="Q154" s="185"/>
      <c r="S154" s="182">
        <f t="shared" si="39"/>
        <v>102069033.39834245</v>
      </c>
      <c r="W154" s="182">
        <v>4279857.75</v>
      </c>
      <c r="X154" s="183">
        <f t="shared" si="35"/>
        <v>23848.69763448153</v>
      </c>
      <c r="AA154" s="181" t="s">
        <v>72</v>
      </c>
      <c r="AC154" s="182">
        <f t="shared" si="38"/>
        <v>100031533.49942744</v>
      </c>
      <c r="AD154" s="191">
        <f t="shared" si="36"/>
        <v>23372.630433669772</v>
      </c>
    </row>
    <row r="155" spans="1:30" ht="14.4">
      <c r="A155" s="187">
        <v>38565</v>
      </c>
      <c r="B155" s="182">
        <v>11930141.24</v>
      </c>
      <c r="C155" s="182">
        <v>104465.8962395088</v>
      </c>
      <c r="D155" s="182">
        <f t="shared" si="30"/>
        <v>11825675.343760492</v>
      </c>
      <c r="E155" s="188">
        <v>479817.53473645449</v>
      </c>
      <c r="F155" s="189">
        <f t="shared" si="37"/>
        <v>-1825706.8685924197</v>
      </c>
      <c r="G155" s="182">
        <f t="shared" si="31"/>
        <v>11450323.705263546</v>
      </c>
      <c r="H155" s="193"/>
      <c r="I155" s="182">
        <f t="shared" si="32"/>
        <v>11345857.809024038</v>
      </c>
      <c r="K155" s="182">
        <v>10879932.880000001</v>
      </c>
      <c r="M155" s="188">
        <f t="shared" si="33"/>
        <v>10438488.106587201</v>
      </c>
      <c r="N155" s="189">
        <f t="shared" si="34"/>
        <v>441444.77341279946</v>
      </c>
      <c r="O155" s="188">
        <v>11052768.175000001</v>
      </c>
      <c r="Q155" s="185"/>
      <c r="S155" s="182">
        <f t="shared" si="39"/>
        <v>102524773.37528037</v>
      </c>
      <c r="W155" s="182">
        <v>4288022.583333333</v>
      </c>
      <c r="X155" s="183">
        <f t="shared" si="35"/>
        <v>23909.569360425758</v>
      </c>
      <c r="AA155" s="181" t="s">
        <v>73</v>
      </c>
      <c r="AC155" s="182">
        <f t="shared" si="38"/>
        <v>100437233.61859243</v>
      </c>
      <c r="AD155" s="191">
        <f t="shared" si="36"/>
        <v>23422.738958738559</v>
      </c>
    </row>
    <row r="156" spans="1:30" ht="14.4">
      <c r="A156" s="187">
        <v>38596</v>
      </c>
      <c r="B156" s="182">
        <v>10884625</v>
      </c>
      <c r="C156" s="182">
        <v>97550.799621861195</v>
      </c>
      <c r="D156" s="182">
        <f t="shared" si="30"/>
        <v>10787074.200378139</v>
      </c>
      <c r="E156" s="188">
        <v>221444.83226215281</v>
      </c>
      <c r="F156" s="189">
        <f t="shared" si="37"/>
        <v>-1369103.3770820899</v>
      </c>
      <c r="G156" s="182">
        <f t="shared" si="31"/>
        <v>10663180.167737847</v>
      </c>
      <c r="H156" s="193"/>
      <c r="I156" s="182">
        <f t="shared" si="32"/>
        <v>10565629.368115986</v>
      </c>
      <c r="K156" s="182">
        <v>10233268.405999999</v>
      </c>
      <c r="M156" s="188">
        <f t="shared" si="33"/>
        <v>10023192.498152735</v>
      </c>
      <c r="N156" s="189">
        <f t="shared" si="34"/>
        <v>210075.90784726478</v>
      </c>
      <c r="O156" s="188">
        <v>10375210.76</v>
      </c>
      <c r="Q156" s="185"/>
      <c r="S156" s="182">
        <f t="shared" si="39"/>
        <v>103445171.44818068</v>
      </c>
      <c r="W156" s="182">
        <v>4296667.416666667</v>
      </c>
      <c r="X156" s="183">
        <f t="shared" si="35"/>
        <v>24075.675731130461</v>
      </c>
      <c r="AA156" s="181" t="s">
        <v>74</v>
      </c>
      <c r="AC156" s="182">
        <f t="shared" si="38"/>
        <v>102289607.36708209</v>
      </c>
      <c r="AD156" s="191">
        <f t="shared" si="36"/>
        <v>23806.731461295611</v>
      </c>
    </row>
    <row r="157" spans="1:30" ht="14.4">
      <c r="A157" s="187">
        <v>38626</v>
      </c>
      <c r="B157" s="182">
        <v>9187793</v>
      </c>
      <c r="C157" s="182">
        <v>85448.436756690004</v>
      </c>
      <c r="D157" s="182">
        <f t="shared" si="30"/>
        <v>9102344.5632433109</v>
      </c>
      <c r="E157" s="188">
        <v>48810.964974435046</v>
      </c>
      <c r="F157" s="189">
        <f t="shared" si="37"/>
        <v>-864202.16995902266</v>
      </c>
      <c r="G157" s="182">
        <f t="shared" si="31"/>
        <v>9138982.035025565</v>
      </c>
      <c r="H157" s="193"/>
      <c r="I157" s="182">
        <f t="shared" si="32"/>
        <v>9053533.5982688759</v>
      </c>
      <c r="K157" s="182">
        <v>8534426.2599999998</v>
      </c>
      <c r="M157" s="188">
        <f t="shared" si="33"/>
        <v>8488660.7346060332</v>
      </c>
      <c r="N157" s="189">
        <f t="shared" si="34"/>
        <v>45765.525393966585</v>
      </c>
      <c r="O157" s="188">
        <v>8652995.6809999999</v>
      </c>
      <c r="Q157" s="185"/>
      <c r="S157" s="182">
        <f t="shared" si="39"/>
        <v>103220790.93638702</v>
      </c>
      <c r="W157" s="182">
        <v>4305848.666666667</v>
      </c>
      <c r="X157" s="183">
        <f t="shared" si="35"/>
        <v>23972.229153212309</v>
      </c>
      <c r="AA157" s="181" t="s">
        <v>75</v>
      </c>
      <c r="AC157" s="182">
        <f t="shared" si="38"/>
        <v>103099244.159959</v>
      </c>
      <c r="AD157" s="191">
        <f t="shared" si="36"/>
        <v>23944.000855880597</v>
      </c>
    </row>
    <row r="158" spans="1:30" ht="14.4">
      <c r="A158" s="187">
        <v>38657</v>
      </c>
      <c r="B158" s="182">
        <v>8250008</v>
      </c>
      <c r="C158" s="182">
        <v>76765.711308291196</v>
      </c>
      <c r="D158" s="182">
        <f t="shared" si="30"/>
        <v>8173242.2886917088</v>
      </c>
      <c r="E158" s="188">
        <v>105319.83735878207</v>
      </c>
      <c r="F158" s="189">
        <f t="shared" si="37"/>
        <v>-856316.30062759761</v>
      </c>
      <c r="G158" s="182">
        <f t="shared" si="31"/>
        <v>8144688.1626412179</v>
      </c>
      <c r="H158" s="193"/>
      <c r="I158" s="182">
        <f t="shared" si="32"/>
        <v>8067922.4513329268</v>
      </c>
      <c r="K158" s="182">
        <v>7620369.9380000001</v>
      </c>
      <c r="M158" s="188">
        <f t="shared" si="33"/>
        <v>7522174.3756838879</v>
      </c>
      <c r="N158" s="189">
        <f t="shared" si="34"/>
        <v>98195.56231611222</v>
      </c>
      <c r="O158" s="188">
        <v>7742849.8329999996</v>
      </c>
      <c r="Q158" s="185"/>
      <c r="S158" s="182">
        <f t="shared" si="39"/>
        <v>102847756.27799083</v>
      </c>
      <c r="W158" s="182">
        <v>4313667.75</v>
      </c>
      <c r="X158" s="183">
        <f t="shared" si="35"/>
        <v>23842.298999034134</v>
      </c>
      <c r="AA158" s="181" t="s">
        <v>76</v>
      </c>
      <c r="AC158" s="182">
        <f t="shared" si="38"/>
        <v>104149663.29062758</v>
      </c>
      <c r="AD158" s="191">
        <f t="shared" si="36"/>
        <v>24144.10875539211</v>
      </c>
    </row>
    <row r="159" spans="1:30" ht="14.4">
      <c r="A159" s="187">
        <v>38687</v>
      </c>
      <c r="B159" s="182">
        <v>8017565</v>
      </c>
      <c r="C159" s="182">
        <v>76122.864586159994</v>
      </c>
      <c r="D159" s="182">
        <f t="shared" si="30"/>
        <v>7941442.1354138404</v>
      </c>
      <c r="E159" s="188">
        <v>-368379.70407557674</v>
      </c>
      <c r="F159" s="189">
        <f t="shared" si="37"/>
        <v>-578721.88258557487</v>
      </c>
      <c r="G159" s="182">
        <f t="shared" si="31"/>
        <v>8385944.7040755767</v>
      </c>
      <c r="H159" s="193"/>
      <c r="I159" s="182">
        <f t="shared" si="32"/>
        <v>8309821.8394894172</v>
      </c>
      <c r="K159" s="182">
        <v>7121672.5750000002</v>
      </c>
      <c r="M159" s="188">
        <f t="shared" si="33"/>
        <v>7452025.6256131353</v>
      </c>
      <c r="N159" s="189">
        <f t="shared" si="34"/>
        <v>-330353.0506131351</v>
      </c>
      <c r="O159" s="188">
        <v>7208425.1000000006</v>
      </c>
      <c r="Q159" s="185"/>
      <c r="S159" s="182">
        <f t="shared" si="39"/>
        <v>102865124.45705543</v>
      </c>
      <c r="W159" s="182">
        <v>4321895.166666667</v>
      </c>
      <c r="X159" s="183">
        <f t="shared" si="35"/>
        <v>23800.930029589741</v>
      </c>
      <c r="Y159" s="192">
        <f>X159/X147-1</f>
        <v>-5.0653455784224199E-3</v>
      </c>
      <c r="AA159" s="181" t="s">
        <v>77</v>
      </c>
      <c r="AB159" s="181">
        <f>YEAR(A159)</f>
        <v>2005</v>
      </c>
      <c r="AC159" s="182">
        <f>SUM(G148:G159)</f>
        <v>112389990.57666114</v>
      </c>
      <c r="AD159" s="191">
        <f t="shared" si="36"/>
        <v>26004.793323884292</v>
      </c>
    </row>
    <row r="160" spans="1:30" ht="14.4">
      <c r="A160" s="187">
        <v>38718</v>
      </c>
      <c r="B160" s="182">
        <v>8085609</v>
      </c>
      <c r="C160" s="182">
        <v>68870.722789965599</v>
      </c>
      <c r="D160" s="182">
        <f t="shared" si="30"/>
        <v>8016738.2772100344</v>
      </c>
      <c r="E160" s="188">
        <v>-175369.21462226287</v>
      </c>
      <c r="F160" s="189">
        <f t="shared" si="37"/>
        <v>-793116.063117221</v>
      </c>
      <c r="G160" s="182">
        <f t="shared" si="31"/>
        <v>8260978.2146222629</v>
      </c>
      <c r="H160" s="193"/>
      <c r="I160" s="182">
        <f t="shared" si="32"/>
        <v>8192107.4918322973</v>
      </c>
      <c r="K160" s="182">
        <v>7392240.5820000004</v>
      </c>
      <c r="M160" s="188">
        <f t="shared" si="33"/>
        <v>7553948.6707933545</v>
      </c>
      <c r="N160" s="189">
        <f t="shared" si="34"/>
        <v>-161708.08879335411</v>
      </c>
      <c r="O160" s="188">
        <v>7537294.0830000006</v>
      </c>
      <c r="Q160" s="185"/>
      <c r="S160" s="182">
        <f t="shared" si="39"/>
        <v>102788116.1968798</v>
      </c>
      <c r="W160" s="182">
        <v>4329959.916666667</v>
      </c>
      <c r="X160" s="183">
        <f t="shared" si="35"/>
        <v>23738.814717714333</v>
      </c>
      <c r="AA160" s="181" t="s">
        <v>66</v>
      </c>
      <c r="AC160" s="182">
        <f t="shared" si="38"/>
        <v>104190853.0531172</v>
      </c>
      <c r="AD160" s="191">
        <f t="shared" si="36"/>
        <v>24062.775420176742</v>
      </c>
    </row>
    <row r="161" spans="1:30" ht="14.4">
      <c r="A161" s="187">
        <v>38749</v>
      </c>
      <c r="B161" s="182">
        <v>7497291.5</v>
      </c>
      <c r="C161" s="182">
        <v>65724.905918000397</v>
      </c>
      <c r="D161" s="182">
        <f t="shared" si="30"/>
        <v>7431566.5940819997</v>
      </c>
      <c r="E161" s="188">
        <v>-32008.175086495467</v>
      </c>
      <c r="F161" s="189">
        <f t="shared" si="37"/>
        <v>-796331.17547547817</v>
      </c>
      <c r="G161" s="182">
        <f t="shared" si="31"/>
        <v>7529299.6750864955</v>
      </c>
      <c r="H161" s="193"/>
      <c r="I161" s="182">
        <f t="shared" si="32"/>
        <v>7463574.7691684952</v>
      </c>
      <c r="K161" s="182">
        <v>6905086.3619999997</v>
      </c>
      <c r="M161" s="188">
        <f t="shared" si="33"/>
        <v>6934826.957130813</v>
      </c>
      <c r="N161" s="189">
        <f t="shared" si="34"/>
        <v>-29740.595130813308</v>
      </c>
      <c r="O161" s="188">
        <v>7009209.7439999999</v>
      </c>
      <c r="Q161" s="185"/>
      <c r="S161" s="182">
        <f t="shared" si="39"/>
        <v>103167865.82277298</v>
      </c>
      <c r="W161" s="182">
        <v>4337457.416666667</v>
      </c>
      <c r="X161" s="183">
        <f t="shared" si="35"/>
        <v>23785.332260865725</v>
      </c>
      <c r="AA161" s="181" t="s">
        <v>67</v>
      </c>
      <c r="AC161" s="182">
        <f t="shared" si="38"/>
        <v>105180060.16547547</v>
      </c>
      <c r="AD161" s="191">
        <f t="shared" si="36"/>
        <v>24249.243292008221</v>
      </c>
    </row>
    <row r="162" spans="1:30" ht="14.4">
      <c r="A162" s="187">
        <v>38777</v>
      </c>
      <c r="B162" s="182">
        <v>8289372</v>
      </c>
      <c r="C162" s="182">
        <v>77424.348844976397</v>
      </c>
      <c r="D162" s="182">
        <f t="shared" si="30"/>
        <v>8211947.6511550238</v>
      </c>
      <c r="E162" s="188">
        <v>-289146.32529886533</v>
      </c>
      <c r="F162" s="189">
        <f t="shared" si="37"/>
        <v>-856817.21481699217</v>
      </c>
      <c r="G162" s="182">
        <f t="shared" si="31"/>
        <v>8578518.3252988644</v>
      </c>
      <c r="H162" s="193"/>
      <c r="I162" s="182">
        <f t="shared" si="32"/>
        <v>8501093.9764538873</v>
      </c>
      <c r="K162" s="182">
        <v>7633857.176</v>
      </c>
      <c r="M162" s="188">
        <f t="shared" si="33"/>
        <v>7902648.6788277486</v>
      </c>
      <c r="N162" s="189">
        <f t="shared" si="34"/>
        <v>-268791.50282774866</v>
      </c>
      <c r="O162" s="188">
        <v>7756988.4939999999</v>
      </c>
      <c r="Q162" s="185"/>
      <c r="S162" s="182">
        <f t="shared" si="39"/>
        <v>103410611.02121575</v>
      </c>
      <c r="W162" s="182">
        <v>4344976.5</v>
      </c>
      <c r="X162" s="183">
        <f t="shared" si="35"/>
        <v>23800.039199571216</v>
      </c>
      <c r="AA162" s="181" t="s">
        <v>68</v>
      </c>
      <c r="AC162" s="182">
        <f t="shared" si="38"/>
        <v>104397539.70481698</v>
      </c>
      <c r="AD162" s="191">
        <f t="shared" si="36"/>
        <v>24027.181667108438</v>
      </c>
    </row>
    <row r="163" spans="1:30" ht="14.4">
      <c r="A163" s="187">
        <v>38808</v>
      </c>
      <c r="B163" s="182">
        <v>9064955</v>
      </c>
      <c r="C163" s="182">
        <v>81009.003557523596</v>
      </c>
      <c r="D163" s="182">
        <f t="shared" si="30"/>
        <v>8983945.9964424763</v>
      </c>
      <c r="E163" s="188">
        <v>170411.87599762529</v>
      </c>
      <c r="F163" s="189">
        <f t="shared" si="37"/>
        <v>-455275.1480338499</v>
      </c>
      <c r="G163" s="182">
        <f t="shared" si="31"/>
        <v>8894543.1240023747</v>
      </c>
      <c r="H163" s="193"/>
      <c r="I163" s="182">
        <f t="shared" si="32"/>
        <v>8813534.120444851</v>
      </c>
      <c r="K163" s="182">
        <v>8435091.9440000001</v>
      </c>
      <c r="M163" s="188">
        <f t="shared" si="33"/>
        <v>8275090.9997647265</v>
      </c>
      <c r="N163" s="189">
        <f t="shared" si="34"/>
        <v>160000.94423527364</v>
      </c>
      <c r="O163" s="188">
        <v>8544787.6400000006</v>
      </c>
      <c r="Q163" s="185"/>
      <c r="S163" s="182">
        <f t="shared" si="39"/>
        <v>103524231.977827</v>
      </c>
      <c r="W163" s="182">
        <v>4352312.75</v>
      </c>
      <c r="X163" s="183">
        <f t="shared" si="35"/>
        <v>23786.027779788343</v>
      </c>
      <c r="AA163" s="181" t="s">
        <v>69</v>
      </c>
      <c r="AC163" s="182">
        <f t="shared" si="38"/>
        <v>104283720.63803385</v>
      </c>
      <c r="AD163" s="191">
        <f t="shared" si="36"/>
        <v>23960.530097023442</v>
      </c>
    </row>
    <row r="164" spans="1:30" ht="14.4">
      <c r="A164" s="187">
        <v>38838</v>
      </c>
      <c r="B164" s="182">
        <v>10030370</v>
      </c>
      <c r="C164" s="182">
        <v>87191.907955854404</v>
      </c>
      <c r="D164" s="182">
        <f t="shared" si="30"/>
        <v>9943178.0920441449</v>
      </c>
      <c r="E164" s="188">
        <v>-135522.45058096945</v>
      </c>
      <c r="F164" s="189">
        <f t="shared" si="37"/>
        <v>247006.75483701006</v>
      </c>
      <c r="G164" s="182">
        <f t="shared" si="31"/>
        <v>10165892.450580969</v>
      </c>
      <c r="H164" s="193"/>
      <c r="I164" s="182">
        <f t="shared" si="32"/>
        <v>10078700.542625114</v>
      </c>
      <c r="K164" s="182">
        <v>8605357.0749999993</v>
      </c>
      <c r="M164" s="188">
        <f t="shared" si="33"/>
        <v>8722645.4377480634</v>
      </c>
      <c r="N164" s="189">
        <f t="shared" si="34"/>
        <v>-117288.3627480641</v>
      </c>
      <c r="O164" s="188">
        <v>8755229.4869999997</v>
      </c>
      <c r="Q164" s="185"/>
      <c r="S164" s="182">
        <f t="shared" si="39"/>
        <v>103361107.30523594</v>
      </c>
      <c r="W164" s="182">
        <v>4359247.25</v>
      </c>
      <c r="X164" s="183">
        <f t="shared" si="35"/>
        <v>23710.769630063067</v>
      </c>
      <c r="AA164" s="181" t="s">
        <v>70</v>
      </c>
      <c r="AC164" s="182">
        <f t="shared" si="38"/>
        <v>102973446.735163</v>
      </c>
      <c r="AD164" s="191">
        <f t="shared" si="36"/>
        <v>23621.841301881421</v>
      </c>
    </row>
    <row r="165" spans="1:30" ht="14.4">
      <c r="A165" s="187">
        <v>38869</v>
      </c>
      <c r="B165" s="182">
        <v>10714052</v>
      </c>
      <c r="C165" s="182">
        <v>93092.836455916404</v>
      </c>
      <c r="D165" s="182">
        <f t="shared" si="30"/>
        <v>10620959.163544083</v>
      </c>
      <c r="E165" s="188">
        <v>41483.935814475641</v>
      </c>
      <c r="F165" s="189">
        <f t="shared" si="37"/>
        <v>567797.1411594376</v>
      </c>
      <c r="G165" s="182">
        <f t="shared" si="31"/>
        <v>10672568.064185524</v>
      </c>
      <c r="H165" s="193"/>
      <c r="I165" s="182">
        <f t="shared" si="32"/>
        <v>10579475.227729607</v>
      </c>
      <c r="K165" s="182">
        <v>10169042.905999999</v>
      </c>
      <c r="M165" s="188">
        <f t="shared" si="33"/>
        <v>10129324.08995793</v>
      </c>
      <c r="N165" s="189">
        <f t="shared" si="34"/>
        <v>39718.816042069346</v>
      </c>
      <c r="O165" s="188">
        <v>10309469.68</v>
      </c>
      <c r="Q165" s="185"/>
      <c r="S165" s="182">
        <f t="shared" si="39"/>
        <v>103505213.67593315</v>
      </c>
      <c r="W165" s="182">
        <v>4366140.75</v>
      </c>
      <c r="X165" s="183">
        <f t="shared" si="35"/>
        <v>23706.339214083549</v>
      </c>
      <c r="AA165" s="181" t="s">
        <v>71</v>
      </c>
      <c r="AC165" s="182">
        <f t="shared" si="38"/>
        <v>102620790.59884055</v>
      </c>
      <c r="AD165" s="191">
        <f t="shared" si="36"/>
        <v>23503.775181512541</v>
      </c>
    </row>
    <row r="166" spans="1:30" ht="14.4">
      <c r="A166" s="187">
        <v>38899</v>
      </c>
      <c r="B166" s="182">
        <v>11095796.958087891</v>
      </c>
      <c r="C166" s="182">
        <v>97915.521849534402</v>
      </c>
      <c r="D166" s="182">
        <f t="shared" si="30"/>
        <v>10997881.436238358</v>
      </c>
      <c r="E166" s="188">
        <v>-303176.5618760027</v>
      </c>
      <c r="F166" s="189">
        <f t="shared" si="37"/>
        <v>66863.111479755491</v>
      </c>
      <c r="G166" s="182">
        <f t="shared" si="31"/>
        <v>11398973.519963894</v>
      </c>
      <c r="H166" s="193"/>
      <c r="I166" s="182">
        <f t="shared" si="32"/>
        <v>11301057.99811436</v>
      </c>
      <c r="K166" s="182">
        <v>9710710.8900000006</v>
      </c>
      <c r="M166" s="188">
        <f t="shared" si="33"/>
        <v>9978404.2596794832</v>
      </c>
      <c r="N166" s="189">
        <f t="shared" si="34"/>
        <v>-267693.36967948265</v>
      </c>
      <c r="O166" s="188">
        <v>9835685.682</v>
      </c>
      <c r="Q166" s="185"/>
      <c r="S166" s="182">
        <f t="shared" si="39"/>
        <v>103421430.43454511</v>
      </c>
      <c r="W166" s="182">
        <v>4372700</v>
      </c>
      <c r="X166" s="183">
        <f t="shared" si="35"/>
        <v>23651.618092836259</v>
      </c>
      <c r="AA166" s="181" t="s">
        <v>72</v>
      </c>
      <c r="AC166" s="182">
        <f t="shared" si="38"/>
        <v>101884918.62852024</v>
      </c>
      <c r="AD166" s="191">
        <f t="shared" si="36"/>
        <v>23300.230664925613</v>
      </c>
    </row>
    <row r="167" spans="1:30" ht="14.4">
      <c r="A167" s="187">
        <v>38930</v>
      </c>
      <c r="B167" s="182">
        <v>11564017</v>
      </c>
      <c r="C167" s="182">
        <v>97980.435931925604</v>
      </c>
      <c r="D167" s="182">
        <f t="shared" si="30"/>
        <v>11466036.564068075</v>
      </c>
      <c r="E167" s="188">
        <v>-77685.524724578485</v>
      </c>
      <c r="F167" s="189">
        <f t="shared" si="37"/>
        <v>-716130.98513270169</v>
      </c>
      <c r="G167" s="182">
        <f t="shared" si="31"/>
        <v>11641702.524724578</v>
      </c>
      <c r="H167" s="193"/>
      <c r="I167" s="182">
        <f t="shared" si="32"/>
        <v>11543722.088792654</v>
      </c>
      <c r="K167" s="182">
        <v>10742001.687999999</v>
      </c>
      <c r="M167" s="188">
        <f t="shared" si="33"/>
        <v>10814781.67898134</v>
      </c>
      <c r="N167" s="189">
        <f t="shared" si="34"/>
        <v>-72779.990981340408</v>
      </c>
      <c r="O167" s="188">
        <v>10921037.026999999</v>
      </c>
      <c r="Q167" s="185"/>
      <c r="S167" s="182">
        <f t="shared" si="39"/>
        <v>103797724.00693925</v>
      </c>
      <c r="W167" s="182">
        <v>4379018.416666667</v>
      </c>
      <c r="X167" s="183">
        <f t="shared" si="35"/>
        <v>23703.422577964549</v>
      </c>
      <c r="AA167" s="181" t="s">
        <v>73</v>
      </c>
      <c r="AC167" s="182">
        <f t="shared" si="38"/>
        <v>101833568.4432206</v>
      </c>
      <c r="AD167" s="191">
        <f t="shared" si="36"/>
        <v>23254.884714720356</v>
      </c>
    </row>
    <row r="168" spans="1:30" ht="14.4">
      <c r="A168" s="187">
        <v>38961</v>
      </c>
      <c r="B168" s="182">
        <v>10520313</v>
      </c>
      <c r="C168" s="182">
        <v>89016.897902406796</v>
      </c>
      <c r="D168" s="182">
        <f t="shared" si="30"/>
        <v>10431296.102097593</v>
      </c>
      <c r="E168" s="188">
        <v>-131905.15150097571</v>
      </c>
      <c r="F168" s="189">
        <f t="shared" si="37"/>
        <v>-1015261.342119433</v>
      </c>
      <c r="G168" s="182">
        <f t="shared" si="31"/>
        <v>10652218.151500976</v>
      </c>
      <c r="H168" s="193"/>
      <c r="I168" s="182">
        <f t="shared" si="32"/>
        <v>10563201.253598569</v>
      </c>
      <c r="K168" s="182">
        <v>9884012.7280000001</v>
      </c>
      <c r="M168" s="188">
        <f t="shared" si="33"/>
        <v>10008997.407138985</v>
      </c>
      <c r="N168" s="189">
        <f t="shared" si="34"/>
        <v>-124984.67913898453</v>
      </c>
      <c r="O168" s="188">
        <v>10005568.947322486</v>
      </c>
      <c r="Q168" s="185"/>
      <c r="S168" s="182">
        <f t="shared" si="39"/>
        <v>103783528.9159255</v>
      </c>
      <c r="W168" s="182">
        <v>4385862.333333333</v>
      </c>
      <c r="X168" s="183">
        <f t="shared" si="35"/>
        <v>23663.19802770649</v>
      </c>
      <c r="AA168" s="181" t="s">
        <v>74</v>
      </c>
      <c r="AC168" s="182">
        <f t="shared" si="38"/>
        <v>102812090.80020732</v>
      </c>
      <c r="AD168" s="191">
        <f t="shared" si="36"/>
        <v>23441.704957042806</v>
      </c>
    </row>
    <row r="169" spans="1:30" ht="14.4">
      <c r="A169" s="187">
        <v>38991</v>
      </c>
      <c r="B169" s="182">
        <v>9930813</v>
      </c>
      <c r="C169" s="182">
        <v>86503.481451511587</v>
      </c>
      <c r="D169" s="182">
        <f t="shared" si="30"/>
        <v>9844309.5185484886</v>
      </c>
      <c r="E169" s="188">
        <v>-28390.373648146167</v>
      </c>
      <c r="F169" s="189">
        <f t="shared" si="37"/>
        <v>-1195977.4585948437</v>
      </c>
      <c r="G169" s="182">
        <f t="shared" si="31"/>
        <v>9959203.3736481462</v>
      </c>
      <c r="H169" s="193"/>
      <c r="I169" s="182">
        <f t="shared" si="32"/>
        <v>9872699.8921966348</v>
      </c>
      <c r="K169" s="182">
        <v>8881389.4670000002</v>
      </c>
      <c r="M169" s="188">
        <f t="shared" si="33"/>
        <v>8907002.8393759653</v>
      </c>
      <c r="N169" s="189">
        <f t="shared" si="34"/>
        <v>-25613.372375965118</v>
      </c>
      <c r="O169" s="188">
        <v>9014144.2530000005</v>
      </c>
      <c r="Q169" s="185"/>
      <c r="S169" s="182">
        <f t="shared" si="39"/>
        <v>104201871.02069545</v>
      </c>
      <c r="W169" s="182">
        <v>4392971.416666667</v>
      </c>
      <c r="X169" s="183">
        <f t="shared" si="35"/>
        <v>23720.13408176522</v>
      </c>
      <c r="AA169" s="181" t="s">
        <v>75</v>
      </c>
      <c r="AC169" s="182">
        <f t="shared" si="38"/>
        <v>104325326.91668272</v>
      </c>
      <c r="AD169" s="191">
        <f t="shared" si="36"/>
        <v>23748.237131905469</v>
      </c>
    </row>
    <row r="170" spans="1:30" ht="14.4">
      <c r="A170" s="187">
        <v>39022</v>
      </c>
      <c r="B170" s="182">
        <v>8136376.6200000001</v>
      </c>
      <c r="C170" s="182">
        <v>69296.345190231194</v>
      </c>
      <c r="D170" s="182">
        <f t="shared" si="30"/>
        <v>8067080.2748097694</v>
      </c>
      <c r="E170" s="188">
        <v>-124045.07431343943</v>
      </c>
      <c r="F170" s="189">
        <f t="shared" si="37"/>
        <v>-1329687.669601772</v>
      </c>
      <c r="G170" s="182">
        <f t="shared" si="31"/>
        <v>8260421.6943134395</v>
      </c>
      <c r="H170" s="193"/>
      <c r="I170" s="182">
        <f t="shared" si="32"/>
        <v>8191125.3491232088</v>
      </c>
      <c r="K170" s="182">
        <v>7708437.8820000002</v>
      </c>
      <c r="M170" s="188">
        <f t="shared" si="33"/>
        <v>7826968.2197851622</v>
      </c>
      <c r="N170" s="189">
        <f t="shared" si="34"/>
        <v>-118530.33778516203</v>
      </c>
      <c r="O170" s="188">
        <v>7822425.824</v>
      </c>
      <c r="Q170" s="185"/>
      <c r="S170" s="182">
        <f t="shared" si="39"/>
        <v>104506664.86479671</v>
      </c>
      <c r="W170" s="182">
        <v>4401110.75</v>
      </c>
      <c r="X170" s="183">
        <f t="shared" si="35"/>
        <v>23745.520347288857</v>
      </c>
      <c r="AA170" s="181" t="s">
        <v>76</v>
      </c>
      <c r="AC170" s="182">
        <f t="shared" si="38"/>
        <v>106139842.12768966</v>
      </c>
      <c r="AD170" s="191">
        <f t="shared" si="36"/>
        <v>24116.603320579849</v>
      </c>
    </row>
    <row r="171" spans="1:30" s="198" customFormat="1" ht="14.4">
      <c r="A171" s="194">
        <v>39052</v>
      </c>
      <c r="B171" s="195">
        <v>8477013.5</v>
      </c>
      <c r="C171" s="195">
        <v>73056.386393117602</v>
      </c>
      <c r="D171" s="195">
        <f t="shared" si="30"/>
        <v>8403957.1136068832</v>
      </c>
      <c r="E171" s="196">
        <v>28570.512924866751</v>
      </c>
      <c r="F171" s="189">
        <f t="shared" si="37"/>
        <v>-1085353.0398396347</v>
      </c>
      <c r="G171" s="195">
        <f t="shared" si="31"/>
        <v>8448442.9870751332</v>
      </c>
      <c r="H171" s="197"/>
      <c r="I171" s="195">
        <f t="shared" si="32"/>
        <v>8375386.6006820155</v>
      </c>
      <c r="K171" s="195">
        <v>7585685.0039999997</v>
      </c>
      <c r="M171" s="196">
        <f t="shared" si="33"/>
        <v>7559896.3298645914</v>
      </c>
      <c r="N171" s="199">
        <f t="shared" si="34"/>
        <v>25788.674135408364</v>
      </c>
      <c r="O171" s="196">
        <v>7701079.4189999998</v>
      </c>
      <c r="Q171" s="200"/>
      <c r="S171" s="182">
        <f t="shared" si="39"/>
        <v>104614535.56904818</v>
      </c>
      <c r="W171" s="182">
        <v>4409562.5</v>
      </c>
      <c r="X171" s="183">
        <f t="shared" si="35"/>
        <v>23724.470527189078</v>
      </c>
      <c r="Y171" s="192">
        <f>X171/X159-1</f>
        <v>-3.2124586016432088E-3</v>
      </c>
      <c r="AA171" s="181" t="s">
        <v>77</v>
      </c>
      <c r="AB171" s="181">
        <f>YEAR(A171)</f>
        <v>2006</v>
      </c>
      <c r="AC171" s="182">
        <f>SUM(G160:G171)</f>
        <v>114462762.10500266</v>
      </c>
      <c r="AD171" s="191">
        <f t="shared" si="36"/>
        <v>25957.850037277542</v>
      </c>
    </row>
    <row r="172" spans="1:30" ht="14.4">
      <c r="A172" s="187">
        <v>39083</v>
      </c>
      <c r="B172" s="182">
        <v>8469671</v>
      </c>
      <c r="C172" s="182">
        <v>73956.217569160799</v>
      </c>
      <c r="D172" s="182">
        <v>8395714.7824308388</v>
      </c>
      <c r="E172" s="182">
        <v>52057.500003300607</v>
      </c>
      <c r="F172" s="189">
        <f t="shared" si="37"/>
        <v>-881413.31229250506</v>
      </c>
      <c r="G172" s="182">
        <v>8417613.4999966994</v>
      </c>
      <c r="H172" s="182"/>
      <c r="I172" s="182">
        <v>8343657.2824275382</v>
      </c>
      <c r="J172" s="182"/>
      <c r="K172" s="182">
        <v>7817338.1730000004</v>
      </c>
      <c r="L172" s="182"/>
      <c r="M172" s="182">
        <v>7768866.8882419299</v>
      </c>
      <c r="N172" s="182">
        <v>48471.284758070484</v>
      </c>
      <c r="O172" s="182">
        <v>7932169.6100000003</v>
      </c>
      <c r="P172" s="182">
        <v>0</v>
      </c>
      <c r="Q172" s="182">
        <v>0</v>
      </c>
      <c r="R172" s="182">
        <v>0</v>
      </c>
      <c r="S172" s="182">
        <f t="shared" si="39"/>
        <v>104829453.78649676</v>
      </c>
      <c r="W172" s="182">
        <v>4417603.833333333</v>
      </c>
      <c r="X172" s="183">
        <f t="shared" si="35"/>
        <v>23729.935444980132</v>
      </c>
      <c r="AA172" s="181" t="s">
        <v>66</v>
      </c>
      <c r="AC172" s="182">
        <f t="shared" si="38"/>
        <v>106201783.89038038</v>
      </c>
      <c r="AD172" s="191">
        <f t="shared" si="36"/>
        <v>24040.585778432083</v>
      </c>
    </row>
    <row r="173" spans="1:30" ht="14.4">
      <c r="A173" s="187">
        <v>39114</v>
      </c>
      <c r="B173" s="182">
        <v>7527571</v>
      </c>
      <c r="C173" s="182">
        <v>66836.2859058428</v>
      </c>
      <c r="D173" s="182">
        <v>7460734.7140941573</v>
      </c>
      <c r="E173" s="182">
        <v>847.0162265310064</v>
      </c>
      <c r="F173" s="189">
        <f t="shared" si="37"/>
        <v>-797347.63720270898</v>
      </c>
      <c r="G173" s="182">
        <v>7526723.983773469</v>
      </c>
      <c r="H173" s="182"/>
      <c r="I173" s="182">
        <v>7459887.6978676263</v>
      </c>
      <c r="J173" s="182"/>
      <c r="K173" s="182">
        <v>6930713.3940000003</v>
      </c>
      <c r="L173" s="182"/>
      <c r="M173" s="182">
        <v>6929926.5510239238</v>
      </c>
      <c r="N173" s="182">
        <v>786.84297607652843</v>
      </c>
      <c r="O173" s="182">
        <v>7042442.0940000005</v>
      </c>
      <c r="P173" s="182">
        <v>0</v>
      </c>
      <c r="Q173" s="182">
        <v>0</v>
      </c>
      <c r="R173" s="182">
        <v>0</v>
      </c>
      <c r="S173" s="182">
        <f t="shared" si="39"/>
        <v>104824553.38038987</v>
      </c>
      <c r="W173" s="182">
        <v>4425843.583333333</v>
      </c>
      <c r="X173" s="183">
        <f t="shared" si="35"/>
        <v>23684.649357047783</v>
      </c>
      <c r="AA173" s="181" t="s">
        <v>67</v>
      </c>
      <c r="AC173" s="182">
        <f t="shared" si="38"/>
        <v>107090097.71529061</v>
      </c>
      <c r="AD173" s="191">
        <f t="shared" si="36"/>
        <v>24196.539190532236</v>
      </c>
    </row>
    <row r="174" spans="1:30" ht="14.4">
      <c r="A174" s="187">
        <v>39142</v>
      </c>
      <c r="B174" s="182">
        <v>8435515</v>
      </c>
      <c r="C174" s="182">
        <v>76417.807947387599</v>
      </c>
      <c r="D174" s="182">
        <v>8359097.1920526121</v>
      </c>
      <c r="E174" s="182">
        <v>-178696.03145465069</v>
      </c>
      <c r="F174" s="189">
        <f t="shared" si="37"/>
        <v>-507354.29567731265</v>
      </c>
      <c r="G174" s="182">
        <v>8614211.0314546507</v>
      </c>
      <c r="H174" s="182"/>
      <c r="I174" s="182">
        <v>8537793.2235072628</v>
      </c>
      <c r="J174" s="182"/>
      <c r="K174" s="182">
        <v>7844528.9249999998</v>
      </c>
      <c r="L174" s="182"/>
      <c r="M174" s="182">
        <v>8012224.808337911</v>
      </c>
      <c r="N174" s="182">
        <v>-167695.88333791122</v>
      </c>
      <c r="O174" s="182">
        <v>7967937.9040000001</v>
      </c>
      <c r="P174" s="182">
        <v>0</v>
      </c>
      <c r="Q174" s="182">
        <v>0</v>
      </c>
      <c r="R174" s="182">
        <v>0</v>
      </c>
      <c r="S174" s="182">
        <f t="shared" si="39"/>
        <v>104934129.50990002</v>
      </c>
      <c r="W174" s="182">
        <v>4434035.166666667</v>
      </c>
      <c r="X174" s="183">
        <f t="shared" si="35"/>
        <v>23665.606059860223</v>
      </c>
      <c r="AA174" s="181" t="s">
        <v>68</v>
      </c>
      <c r="AC174" s="182">
        <f t="shared" si="38"/>
        <v>106038303.3737652</v>
      </c>
      <c r="AD174" s="191">
        <f t="shared" si="36"/>
        <v>23914.628411366575</v>
      </c>
    </row>
    <row r="175" spans="1:30" ht="14.4">
      <c r="A175" s="187">
        <v>39173</v>
      </c>
      <c r="B175" s="182">
        <v>8579552</v>
      </c>
      <c r="C175" s="182">
        <v>79493.177117467203</v>
      </c>
      <c r="D175" s="182">
        <v>8500058.8228825331</v>
      </c>
      <c r="E175" s="182">
        <v>-225727.71463203989</v>
      </c>
      <c r="F175" s="189">
        <f t="shared" si="37"/>
        <v>-856462.20312958863</v>
      </c>
      <c r="G175" s="182">
        <v>8805279.7146320399</v>
      </c>
      <c r="H175" s="182"/>
      <c r="I175" s="182">
        <v>8725786.537514573</v>
      </c>
      <c r="J175" s="182"/>
      <c r="K175" s="182">
        <v>8002666.4050000003</v>
      </c>
      <c r="L175" s="182"/>
      <c r="M175" s="182">
        <v>8215185.3576571606</v>
      </c>
      <c r="N175" s="182">
        <v>-212518.95265716035</v>
      </c>
      <c r="O175" s="182">
        <v>8132695.1555000003</v>
      </c>
      <c r="P175" s="182">
        <v>0</v>
      </c>
      <c r="Q175" s="182">
        <v>0</v>
      </c>
      <c r="R175" s="182">
        <v>0</v>
      </c>
      <c r="S175" s="182">
        <f t="shared" si="39"/>
        <v>104874223.86779246</v>
      </c>
      <c r="W175" s="182">
        <v>4441959.75</v>
      </c>
      <c r="X175" s="183">
        <f t="shared" si="35"/>
        <v>23609.89963220456</v>
      </c>
      <c r="AA175" s="181" t="s">
        <v>69</v>
      </c>
      <c r="AC175" s="182">
        <f t="shared" si="38"/>
        <v>105757971.28121749</v>
      </c>
      <c r="AD175" s="191">
        <f t="shared" si="36"/>
        <v>23808.854026923022</v>
      </c>
    </row>
    <row r="176" spans="1:30" ht="14.4">
      <c r="A176" s="187">
        <v>39203</v>
      </c>
      <c r="B176" s="182">
        <v>9663511</v>
      </c>
      <c r="C176" s="182">
        <v>85772.672029675203</v>
      </c>
      <c r="D176" s="182">
        <v>9577738.3279703241</v>
      </c>
      <c r="E176" s="182">
        <v>-572174.33994074538</v>
      </c>
      <c r="F176" s="189">
        <f t="shared" si="37"/>
        <v>-946667.46718065906</v>
      </c>
      <c r="G176" s="182">
        <v>10235685.339940745</v>
      </c>
      <c r="H176" s="182"/>
      <c r="I176" s="182">
        <v>10149912.667911069</v>
      </c>
      <c r="J176" s="182"/>
      <c r="K176" s="182">
        <v>8571665.2740000002</v>
      </c>
      <c r="L176" s="182"/>
      <c r="M176" s="182">
        <v>9083736.7832018286</v>
      </c>
      <c r="N176" s="182">
        <v>-512071.50920182839</v>
      </c>
      <c r="O176" s="182">
        <v>8701269.2670000009</v>
      </c>
      <c r="P176" s="182">
        <v>0</v>
      </c>
      <c r="Q176" s="182">
        <v>0</v>
      </c>
      <c r="R176" s="182">
        <v>0</v>
      </c>
      <c r="S176" s="182">
        <f t="shared" si="39"/>
        <v>105235315.21324623</v>
      </c>
      <c r="W176" s="182">
        <v>4450030.583333333</v>
      </c>
      <c r="X176" s="183">
        <f t="shared" si="35"/>
        <v>23648.222915002716</v>
      </c>
      <c r="AA176" s="181" t="s">
        <v>70</v>
      </c>
      <c r="AC176" s="182">
        <f t="shared" si="38"/>
        <v>104397358.54526854</v>
      </c>
      <c r="AD176" s="191">
        <f t="shared" si="36"/>
        <v>23459.919339940538</v>
      </c>
    </row>
    <row r="177" spans="1:30" ht="14.4">
      <c r="A177" s="187">
        <v>39234</v>
      </c>
      <c r="B177" s="182">
        <v>10343275</v>
      </c>
      <c r="C177" s="182">
        <v>90130.701867375596</v>
      </c>
      <c r="D177" s="182">
        <v>10253144.298132624</v>
      </c>
      <c r="E177" s="182">
        <v>-285086.51748255827</v>
      </c>
      <c r="F177" s="189">
        <f t="shared" si="37"/>
        <v>-1560325.7429358801</v>
      </c>
      <c r="G177" s="182">
        <v>10628361.517482558</v>
      </c>
      <c r="H177" s="182"/>
      <c r="I177" s="182">
        <v>10538230.815615183</v>
      </c>
      <c r="J177" s="182"/>
      <c r="K177" s="182">
        <v>9786085.3369999994</v>
      </c>
      <c r="L177" s="182"/>
      <c r="M177" s="182">
        <v>10058185.378449779</v>
      </c>
      <c r="N177" s="182">
        <v>-272100.04144977964</v>
      </c>
      <c r="O177" s="182">
        <v>9917019.693</v>
      </c>
      <c r="P177" s="182">
        <v>0</v>
      </c>
      <c r="Q177" s="182">
        <v>0</v>
      </c>
      <c r="R177" s="182">
        <v>0</v>
      </c>
      <c r="S177" s="182">
        <f t="shared" si="39"/>
        <v>105164176.50173807</v>
      </c>
      <c r="W177" s="182">
        <v>4457844.916666667</v>
      </c>
      <c r="X177" s="183">
        <f t="shared" si="35"/>
        <v>23590.810911469325</v>
      </c>
      <c r="AA177" s="181" t="s">
        <v>71</v>
      </c>
      <c r="AC177" s="182">
        <f t="shared" si="38"/>
        <v>103960475.82102376</v>
      </c>
      <c r="AD177" s="191">
        <f t="shared" si="36"/>
        <v>23320.792392831765</v>
      </c>
    </row>
    <row r="178" spans="1:30" ht="14.4">
      <c r="A178" s="187">
        <v>39264</v>
      </c>
      <c r="B178" s="182">
        <v>11373076</v>
      </c>
      <c r="C178" s="182">
        <v>99403.443204400799</v>
      </c>
      <c r="D178" s="182">
        <v>11273672.556795599</v>
      </c>
      <c r="E178" s="182">
        <v>-74894.326509017497</v>
      </c>
      <c r="F178" s="189">
        <f t="shared" si="37"/>
        <v>-1542235.6985424357</v>
      </c>
      <c r="G178" s="182">
        <v>11447970.326509017</v>
      </c>
      <c r="H178" s="182"/>
      <c r="I178" s="182">
        <v>11348566.883304616</v>
      </c>
      <c r="J178" s="182"/>
      <c r="K178" s="182">
        <v>9997955.2080000006</v>
      </c>
      <c r="L178" s="182"/>
      <c r="M178" s="182">
        <v>10064374.568505475</v>
      </c>
      <c r="N178" s="182">
        <v>-66419.360505474731</v>
      </c>
      <c r="O178" s="182">
        <v>10143932.837000001</v>
      </c>
      <c r="P178" s="182">
        <v>0</v>
      </c>
      <c r="Q178" s="182">
        <v>0</v>
      </c>
      <c r="R178" s="182">
        <v>0</v>
      </c>
      <c r="S178" s="182">
        <f t="shared" si="39"/>
        <v>105250146.81056406</v>
      </c>
      <c r="W178" s="182">
        <v>4465864.083333333</v>
      </c>
      <c r="X178" s="183">
        <f t="shared" si="35"/>
        <v>23567.70041510199</v>
      </c>
      <c r="AA178" s="181" t="s">
        <v>72</v>
      </c>
      <c r="AC178" s="182">
        <f t="shared" si="38"/>
        <v>103189863.81854244</v>
      </c>
      <c r="AD178" s="191">
        <f t="shared" si="36"/>
        <v>23106.360133898488</v>
      </c>
    </row>
    <row r="179" spans="1:30" ht="14.4">
      <c r="A179" s="187">
        <v>39295</v>
      </c>
      <c r="B179" s="182">
        <v>12110271</v>
      </c>
      <c r="C179" s="182">
        <v>99814.147509944407</v>
      </c>
      <c r="D179" s="182">
        <v>12010456.852490056</v>
      </c>
      <c r="E179" s="182">
        <v>474402.62555800565</v>
      </c>
      <c r="F179" s="189">
        <f t="shared" si="37"/>
        <v>-1539444.5003268747</v>
      </c>
      <c r="G179" s="182">
        <v>11635868.374441994</v>
      </c>
      <c r="H179" s="182"/>
      <c r="I179" s="182">
        <v>11536054.226932051</v>
      </c>
      <c r="J179" s="182"/>
      <c r="K179" s="182">
        <v>11078397.839</v>
      </c>
      <c r="L179" s="182"/>
      <c r="M179" s="182">
        <v>10640810.735832635</v>
      </c>
      <c r="N179" s="182">
        <v>437587.10316736437</v>
      </c>
      <c r="O179" s="182">
        <v>11231296.380999999</v>
      </c>
      <c r="P179" s="182">
        <v>0</v>
      </c>
      <c r="Q179" s="182">
        <v>0</v>
      </c>
      <c r="R179" s="182">
        <v>0</v>
      </c>
      <c r="S179" s="182">
        <f t="shared" si="39"/>
        <v>105076175.86741535</v>
      </c>
      <c r="W179" s="182">
        <v>4473538.083333333</v>
      </c>
      <c r="X179" s="183">
        <f t="shared" si="35"/>
        <v>23488.383000222668</v>
      </c>
      <c r="AA179" s="181" t="s">
        <v>73</v>
      </c>
      <c r="AC179" s="182">
        <f t="shared" si="38"/>
        <v>102996131.62032688</v>
      </c>
      <c r="AD179" s="191">
        <f t="shared" si="36"/>
        <v>23023.416745696319</v>
      </c>
    </row>
    <row r="180" spans="1:30" ht="14.4">
      <c r="A180" s="187">
        <v>39326</v>
      </c>
      <c r="B180" s="182">
        <v>10759821.5</v>
      </c>
      <c r="C180" s="182">
        <v>88635.667897433988</v>
      </c>
      <c r="D180" s="182">
        <v>10671185.832102565</v>
      </c>
      <c r="E180" s="182">
        <v>58655.558931404725</v>
      </c>
      <c r="F180" s="189">
        <f t="shared" si="37"/>
        <v>-933136.72326789331</v>
      </c>
      <c r="G180" s="182">
        <v>10701165.941068595</v>
      </c>
      <c r="H180" s="182"/>
      <c r="I180" s="182">
        <v>10612530.27317116</v>
      </c>
      <c r="J180" s="182"/>
      <c r="K180" s="182">
        <v>10330010.688999999</v>
      </c>
      <c r="L180" s="182"/>
      <c r="M180" s="182">
        <v>10273230.443555497</v>
      </c>
      <c r="N180" s="182">
        <v>56780.245444502681</v>
      </c>
      <c r="O180" s="182">
        <v>10468144.828</v>
      </c>
      <c r="P180" s="182">
        <v>0</v>
      </c>
      <c r="Q180" s="182">
        <v>0</v>
      </c>
      <c r="R180" s="182">
        <v>0</v>
      </c>
      <c r="S180" s="182">
        <f t="shared" si="39"/>
        <v>105340408.90383187</v>
      </c>
      <c r="W180" s="182">
        <v>4480409.083333333</v>
      </c>
      <c r="X180" s="183">
        <f t="shared" si="35"/>
        <v>23511.337233844893</v>
      </c>
      <c r="AA180" s="181" t="s">
        <v>74</v>
      </c>
      <c r="AC180" s="182">
        <f t="shared" si="38"/>
        <v>103979781.8432679</v>
      </c>
      <c r="AD180" s="191">
        <f t="shared" si="36"/>
        <v>23207.653566738391</v>
      </c>
    </row>
    <row r="181" spans="1:30" ht="14.4">
      <c r="A181" s="187">
        <v>39356</v>
      </c>
      <c r="B181" s="182">
        <v>10632392</v>
      </c>
      <c r="C181" s="182">
        <v>88294.541621095195</v>
      </c>
      <c r="D181" s="182">
        <v>10544097.458378905</v>
      </c>
      <c r="E181" s="182">
        <v>771742.2194798924</v>
      </c>
      <c r="F181" s="189">
        <f t="shared" si="37"/>
        <v>-846090.79068834241</v>
      </c>
      <c r="G181" s="182">
        <v>9860649.7805201076</v>
      </c>
      <c r="H181" s="182"/>
      <c r="I181" s="182">
        <v>9772355.238899013</v>
      </c>
      <c r="J181" s="182"/>
      <c r="K181" s="182">
        <v>9430393.8330000006</v>
      </c>
      <c r="L181" s="182"/>
      <c r="M181" s="182">
        <v>8740165.6654420886</v>
      </c>
      <c r="N181" s="182">
        <v>690228.16755791195</v>
      </c>
      <c r="O181" s="182">
        <v>9430137.7369999997</v>
      </c>
      <c r="P181" s="182">
        <v>0</v>
      </c>
      <c r="Q181" s="182">
        <v>0</v>
      </c>
      <c r="R181" s="182">
        <v>0</v>
      </c>
      <c r="S181" s="182">
        <f t="shared" si="39"/>
        <v>105173571.72989799</v>
      </c>
      <c r="W181" s="182">
        <v>4486889.083333333</v>
      </c>
      <c r="X181" s="183">
        <f t="shared" si="35"/>
        <v>23440.19871598074</v>
      </c>
      <c r="AA181" s="181" t="s">
        <v>75</v>
      </c>
      <c r="AC181" s="182">
        <f t="shared" si="38"/>
        <v>104721744.41068834</v>
      </c>
      <c r="AD181" s="191">
        <f t="shared" si="36"/>
        <v>23339.499253431517</v>
      </c>
    </row>
    <row r="182" spans="1:30" ht="14.4">
      <c r="A182" s="187">
        <v>39387</v>
      </c>
      <c r="B182" s="182">
        <v>8074326</v>
      </c>
      <c r="C182" s="182">
        <v>71330.497285927995</v>
      </c>
      <c r="D182" s="182">
        <v>8002995.5027140724</v>
      </c>
      <c r="E182" s="182">
        <v>-9752.1141533767805</v>
      </c>
      <c r="F182" s="189">
        <f t="shared" si="37"/>
        <v>49696.503104989417</v>
      </c>
      <c r="G182" s="182">
        <v>8084078.1141533768</v>
      </c>
      <c r="H182" s="182"/>
      <c r="I182" s="182">
        <v>8012747.6168674491</v>
      </c>
      <c r="J182" s="182"/>
      <c r="K182" s="182">
        <v>7794712.6430000002</v>
      </c>
      <c r="L182" s="182"/>
      <c r="M182" s="182">
        <v>7804210.9524094611</v>
      </c>
      <c r="N182" s="182">
        <v>-9498.3094094609842</v>
      </c>
      <c r="O182" s="182">
        <v>8004243.7800000003</v>
      </c>
      <c r="P182" s="182">
        <v>0</v>
      </c>
      <c r="Q182" s="182">
        <v>0</v>
      </c>
      <c r="R182" s="182">
        <v>0</v>
      </c>
      <c r="S182" s="182">
        <f t="shared" si="39"/>
        <v>105150814.4625223</v>
      </c>
      <c r="W182" s="182">
        <v>4492266.75</v>
      </c>
      <c r="X182" s="183">
        <f t="shared" si="35"/>
        <v>23407.072712795227</v>
      </c>
      <c r="AA182" s="181" t="s">
        <v>76</v>
      </c>
      <c r="AC182" s="182">
        <f t="shared" si="38"/>
        <v>106321972.49689502</v>
      </c>
      <c r="AD182" s="191">
        <f t="shared" si="36"/>
        <v>23667.778075933493</v>
      </c>
    </row>
    <row r="183" spans="1:30" ht="14.4">
      <c r="A183" s="187">
        <v>39417</v>
      </c>
      <c r="B183" s="182">
        <v>8563233</v>
      </c>
      <c r="C183" s="182">
        <v>72173.634749233199</v>
      </c>
      <c r="D183" s="182">
        <v>8491059.3652507663</v>
      </c>
      <c r="E183" s="182">
        <v>295127.96618641168</v>
      </c>
      <c r="F183" s="189">
        <f t="shared" si="37"/>
        <v>11373.876026745886</v>
      </c>
      <c r="G183" s="182">
        <v>8268105.0338135883</v>
      </c>
      <c r="H183" s="182"/>
      <c r="I183" s="182">
        <v>8195931.3990643555</v>
      </c>
      <c r="J183" s="182"/>
      <c r="K183" s="182">
        <v>7690163.6260000002</v>
      </c>
      <c r="L183" s="182"/>
      <c r="M183" s="182">
        <v>7422872.7906691059</v>
      </c>
      <c r="N183" s="182">
        <v>267290.83533089422</v>
      </c>
      <c r="O183" s="182">
        <v>7758008.8590000002</v>
      </c>
      <c r="P183" s="182">
        <v>0</v>
      </c>
      <c r="Q183" s="182">
        <v>0</v>
      </c>
      <c r="R183" s="182">
        <v>0</v>
      </c>
      <c r="S183" s="182">
        <f>SUM(M172:M183)</f>
        <v>105013790.92332682</v>
      </c>
      <c r="W183" s="182">
        <v>4496589.333333333</v>
      </c>
      <c r="X183" s="183">
        <f>S183/W183*1000</f>
        <v>23354.098659812422</v>
      </c>
      <c r="Y183" s="192">
        <f>X183/X171-1</f>
        <v>-1.5611386013955397E-2</v>
      </c>
      <c r="AA183" s="181" t="s">
        <v>77</v>
      </c>
      <c r="AB183" s="181">
        <f>YEAR(A183)</f>
        <v>2007</v>
      </c>
      <c r="AC183" s="182">
        <f>SUM(G172:G183)</f>
        <v>114225712.65778685</v>
      </c>
      <c r="AD183" s="191">
        <f t="shared" si="36"/>
        <v>25402.74510083202</v>
      </c>
    </row>
    <row r="184" spans="1:30" ht="14.4">
      <c r="A184" s="187">
        <v>39448</v>
      </c>
      <c r="B184" s="182">
        <v>8158564</v>
      </c>
      <c r="C184" s="182">
        <v>71866.509942663994</v>
      </c>
      <c r="D184" s="182">
        <v>8086697.4900573362</v>
      </c>
      <c r="E184" s="182">
        <v>-216798.13963105809</v>
      </c>
      <c r="F184" s="189">
        <f t="shared" si="37"/>
        <v>254444.34220985696</v>
      </c>
      <c r="G184" s="182">
        <v>8375362.1396310581</v>
      </c>
      <c r="H184" s="182"/>
      <c r="I184" s="182">
        <v>8303495.6296883943</v>
      </c>
      <c r="J184" s="182"/>
      <c r="K184" s="182">
        <v>7704555.1339999996</v>
      </c>
      <c r="L184" s="182"/>
      <c r="M184" s="182">
        <v>7911108.330999122</v>
      </c>
      <c r="N184" s="182">
        <v>-206553.19699912239</v>
      </c>
      <c r="O184" s="182">
        <v>7773957.2469999995</v>
      </c>
      <c r="P184" s="182">
        <v>0</v>
      </c>
      <c r="Q184" s="182">
        <v>1.8309162044270799E-2</v>
      </c>
      <c r="R184" s="182">
        <v>0</v>
      </c>
      <c r="S184" s="182">
        <f t="shared" ref="S184:S194" si="40">SUM(M173:M184)</f>
        <v>105156032.36608399</v>
      </c>
      <c r="W184" s="182">
        <v>4500489.75</v>
      </c>
      <c r="X184" s="183">
        <f t="shared" ref="X184:X247" si="41">S184/W184*1000</f>
        <v>23365.464251103782</v>
      </c>
      <c r="AA184" s="181" t="s">
        <v>66</v>
      </c>
      <c r="AC184" s="182">
        <f t="shared" si="38"/>
        <v>105808099.15779012</v>
      </c>
      <c r="AD184" s="191">
        <f t="shared" si="36"/>
        <v>23510.352213954076</v>
      </c>
    </row>
    <row r="185" spans="1:30" ht="14.4">
      <c r="A185" s="187">
        <v>39479</v>
      </c>
      <c r="B185" s="182">
        <v>7896972</v>
      </c>
      <c r="C185" s="182">
        <v>76623.658992241195</v>
      </c>
      <c r="D185" s="182">
        <v>7820348.3410077589</v>
      </c>
      <c r="E185" s="182">
        <v>156208.82604281977</v>
      </c>
      <c r="F185" s="189">
        <f t="shared" si="37"/>
        <v>36799.186352267861</v>
      </c>
      <c r="G185" s="182">
        <v>7740763.1739571802</v>
      </c>
      <c r="H185" s="182"/>
      <c r="I185" s="182">
        <v>7664139.5149649391</v>
      </c>
      <c r="J185" s="182"/>
      <c r="K185" s="182">
        <v>7299140.5180000002</v>
      </c>
      <c r="L185" s="182"/>
      <c r="M185" s="182">
        <v>7153342.6428005649</v>
      </c>
      <c r="N185" s="182">
        <v>145797.87519943528</v>
      </c>
      <c r="O185" s="182">
        <v>7368404.6550000003</v>
      </c>
      <c r="P185" s="182">
        <v>0</v>
      </c>
      <c r="Q185" s="182">
        <v>3.2239315977112382E-2</v>
      </c>
      <c r="R185" s="182">
        <v>0</v>
      </c>
      <c r="S185" s="182">
        <f t="shared" si="40"/>
        <v>105379448.45786063</v>
      </c>
      <c r="W185" s="182">
        <v>4504013.75</v>
      </c>
      <c r="X185" s="183">
        <f t="shared" si="41"/>
        <v>23396.786579050884</v>
      </c>
      <c r="AA185" s="181" t="s">
        <v>67</v>
      </c>
      <c r="AC185" s="182">
        <f t="shared" si="38"/>
        <v>106656737.31364772</v>
      </c>
      <c r="AD185" s="191">
        <f t="shared" si="36"/>
        <v>23680.375601350621</v>
      </c>
    </row>
    <row r="186" spans="1:30" ht="14.4">
      <c r="A186" s="187">
        <v>39508</v>
      </c>
      <c r="B186" s="182">
        <v>8325921</v>
      </c>
      <c r="C186" s="182">
        <v>85210.752911065589</v>
      </c>
      <c r="D186" s="182">
        <v>8240710.2470889343</v>
      </c>
      <c r="E186" s="182">
        <v>-140862.10288115405</v>
      </c>
      <c r="F186" s="189">
        <f t="shared" si="37"/>
        <v>371704.04384973831</v>
      </c>
      <c r="G186" s="182">
        <v>8466783.102881154</v>
      </c>
      <c r="H186" s="182"/>
      <c r="I186" s="182">
        <v>8381572.3499700883</v>
      </c>
      <c r="J186" s="182"/>
      <c r="K186" s="182">
        <v>7665045.3049999997</v>
      </c>
      <c r="L186" s="182"/>
      <c r="M186" s="182">
        <v>7796067.3125657951</v>
      </c>
      <c r="N186" s="182">
        <v>-131022.00756579544</v>
      </c>
      <c r="O186" s="182">
        <v>7754317.085</v>
      </c>
      <c r="P186" s="182">
        <v>0</v>
      </c>
      <c r="Q186" s="182">
        <v>-2.6978461156902611E-2</v>
      </c>
      <c r="R186" s="182">
        <v>0</v>
      </c>
      <c r="S186" s="182">
        <f t="shared" si="40"/>
        <v>105163290.9620885</v>
      </c>
      <c r="W186" s="182">
        <v>4506618.75</v>
      </c>
      <c r="X186" s="183">
        <f t="shared" si="41"/>
        <v>23335.297879832524</v>
      </c>
      <c r="AA186" s="181" t="s">
        <v>68</v>
      </c>
      <c r="AC186" s="182">
        <f t="shared" si="38"/>
        <v>105783289.45615025</v>
      </c>
      <c r="AD186" s="191">
        <f t="shared" si="36"/>
        <v>23472.872972924601</v>
      </c>
    </row>
    <row r="187" spans="1:30" ht="14.4">
      <c r="A187" s="187">
        <v>39539</v>
      </c>
      <c r="B187" s="182">
        <v>8619990</v>
      </c>
      <c r="C187" s="182">
        <v>84191.753445126393</v>
      </c>
      <c r="D187" s="182">
        <v>8535798.2465548739</v>
      </c>
      <c r="E187" s="182">
        <v>-122798.41804212146</v>
      </c>
      <c r="F187" s="189">
        <f t="shared" si="37"/>
        <v>456569.65560062416</v>
      </c>
      <c r="G187" s="182">
        <v>8742788.4180421215</v>
      </c>
      <c r="H187" s="182"/>
      <c r="I187" s="182">
        <v>8658596.6645969953</v>
      </c>
      <c r="J187" s="182"/>
      <c r="K187" s="182">
        <v>8131802.9970000004</v>
      </c>
      <c r="L187" s="182"/>
      <c r="M187" s="182">
        <v>8248789.4246331519</v>
      </c>
      <c r="N187" s="182">
        <v>-116986.42763315141</v>
      </c>
      <c r="O187" s="182">
        <v>8218531.1160000004</v>
      </c>
      <c r="P187" s="182">
        <v>0</v>
      </c>
      <c r="Q187" s="182">
        <v>4.0904818957820943E-3</v>
      </c>
      <c r="R187" s="182">
        <v>0</v>
      </c>
      <c r="S187" s="182">
        <f t="shared" si="40"/>
        <v>105196895.02906451</v>
      </c>
      <c r="W187" s="182">
        <v>4508703.25</v>
      </c>
      <c r="X187" s="183">
        <f t="shared" si="41"/>
        <v>23331.962472594423</v>
      </c>
      <c r="AA187" s="181" t="s">
        <v>69</v>
      </c>
      <c r="AC187" s="182">
        <f t="shared" si="38"/>
        <v>105444792.84439936</v>
      </c>
      <c r="AD187" s="191">
        <f t="shared" si="36"/>
        <v>23386.944537633823</v>
      </c>
    </row>
    <row r="188" spans="1:30" ht="14.4">
      <c r="A188" s="187">
        <v>39569</v>
      </c>
      <c r="B188" s="182">
        <v>10292599</v>
      </c>
      <c r="C188" s="182">
        <v>95713.962309029201</v>
      </c>
      <c r="D188" s="182">
        <v>10196885.037690971</v>
      </c>
      <c r="E188" s="182">
        <v>464377.38789721392</v>
      </c>
      <c r="F188" s="189">
        <f t="shared" si="37"/>
        <v>905945.57749924809</v>
      </c>
      <c r="G188" s="182">
        <v>9828221.6121027861</v>
      </c>
      <c r="H188" s="182"/>
      <c r="I188" s="182">
        <v>9732507.6497937571</v>
      </c>
      <c r="J188" s="182"/>
      <c r="K188" s="182">
        <v>9054095.4790000003</v>
      </c>
      <c r="L188" s="182"/>
      <c r="M188" s="182">
        <v>8641761.9876672309</v>
      </c>
      <c r="N188" s="182">
        <v>412333.49133276939</v>
      </c>
      <c r="O188" s="182">
        <v>9153877.1520000007</v>
      </c>
      <c r="P188" s="182">
        <v>0</v>
      </c>
      <c r="Q188" s="182">
        <v>-4.865561454311651E-2</v>
      </c>
      <c r="R188" s="182">
        <v>0</v>
      </c>
      <c r="S188" s="182">
        <f t="shared" si="40"/>
        <v>104754920.2335299</v>
      </c>
      <c r="W188" s="182">
        <v>4510378.583333333</v>
      </c>
      <c r="X188" s="183">
        <f t="shared" si="41"/>
        <v>23225.30543680265</v>
      </c>
      <c r="AA188" s="181" t="s">
        <v>70</v>
      </c>
      <c r="AC188" s="182">
        <f t="shared" si="38"/>
        <v>103951895.92250076</v>
      </c>
      <c r="AD188" s="191">
        <f t="shared" si="36"/>
        <v>23047.266211005408</v>
      </c>
    </row>
    <row r="189" spans="1:30" ht="14.4">
      <c r="A189" s="187">
        <v>39600</v>
      </c>
      <c r="B189" s="182">
        <v>10508760</v>
      </c>
      <c r="C189" s="182">
        <v>97078.567672720004</v>
      </c>
      <c r="D189" s="182">
        <v>10411681.43232728</v>
      </c>
      <c r="E189" s="182">
        <v>70500.555545911193</v>
      </c>
      <c r="F189" s="189">
        <f t="shared" si="37"/>
        <v>1655409.4828790203</v>
      </c>
      <c r="G189" s="182">
        <v>10438259.444454089</v>
      </c>
      <c r="H189" s="182"/>
      <c r="I189" s="182">
        <v>10341180.876781369</v>
      </c>
      <c r="J189" s="182"/>
      <c r="K189" s="182">
        <v>10015222.795</v>
      </c>
      <c r="L189" s="182"/>
      <c r="M189" s="182">
        <v>9947406.7774284985</v>
      </c>
      <c r="N189" s="182">
        <v>67816.017571501434</v>
      </c>
      <c r="O189" s="182">
        <v>10105443.911</v>
      </c>
      <c r="P189" s="182">
        <v>0</v>
      </c>
      <c r="Q189" s="182">
        <v>-1.101377602948439E-2</v>
      </c>
      <c r="R189" s="182">
        <v>0</v>
      </c>
      <c r="S189" s="182">
        <f t="shared" si="40"/>
        <v>104644141.63250861</v>
      </c>
      <c r="W189" s="182">
        <v>4511783.75</v>
      </c>
      <c r="X189" s="183">
        <f t="shared" si="41"/>
        <v>23193.518889842315</v>
      </c>
      <c r="AA189" s="181" t="s">
        <v>71</v>
      </c>
      <c r="AC189" s="182">
        <f t="shared" si="38"/>
        <v>103151756.01712099</v>
      </c>
      <c r="AD189" s="191">
        <f t="shared" si="36"/>
        <v>22862.743813269193</v>
      </c>
    </row>
    <row r="190" spans="1:30" ht="14.4">
      <c r="A190" s="187">
        <v>39630</v>
      </c>
      <c r="B190" s="182">
        <v>10745283</v>
      </c>
      <c r="C190" s="182">
        <v>99271.114556506393</v>
      </c>
      <c r="D190" s="182">
        <v>10646011.885443494</v>
      </c>
      <c r="E190" s="182">
        <v>-497038.36985432357</v>
      </c>
      <c r="F190" s="189">
        <f t="shared" si="37"/>
        <v>1800804.364933949</v>
      </c>
      <c r="G190" s="182">
        <v>11242321.369854324</v>
      </c>
      <c r="H190" s="182"/>
      <c r="I190" s="182">
        <v>11143050.255297817</v>
      </c>
      <c r="J190" s="182"/>
      <c r="K190" s="182">
        <v>9579253.9370000008</v>
      </c>
      <c r="L190" s="182"/>
      <c r="M190" s="182">
        <v>10026487.775596147</v>
      </c>
      <c r="N190" s="182">
        <v>-447233.83859614655</v>
      </c>
      <c r="O190" s="182">
        <v>9676714.2039999999</v>
      </c>
      <c r="P190" s="182">
        <v>0</v>
      </c>
      <c r="Q190" s="182">
        <v>-3.7644458333145892E-3</v>
      </c>
      <c r="R190" s="182">
        <v>0</v>
      </c>
      <c r="S190" s="182">
        <f t="shared" si="40"/>
        <v>104606254.83959928</v>
      </c>
      <c r="W190" s="182">
        <v>4512353.666666667</v>
      </c>
      <c r="X190" s="183">
        <f t="shared" si="41"/>
        <v>23182.193278053324</v>
      </c>
      <c r="AA190" s="181" t="s">
        <v>72</v>
      </c>
      <c r="AC190" s="182">
        <f t="shared" si="38"/>
        <v>102142045.13506605</v>
      </c>
      <c r="AD190" s="191">
        <f t="shared" si="36"/>
        <v>22636.090315704285</v>
      </c>
    </row>
    <row r="191" spans="1:30" ht="14.4">
      <c r="A191" s="187">
        <v>39661</v>
      </c>
      <c r="B191" s="182">
        <v>11090020</v>
      </c>
      <c r="C191" s="182">
        <v>98840.191413177992</v>
      </c>
      <c r="D191" s="182">
        <v>10991179.808586823</v>
      </c>
      <c r="E191" s="182">
        <v>-63116.513778897002</v>
      </c>
      <c r="F191" s="189">
        <f t="shared" si="37"/>
        <v>829363.36952161975</v>
      </c>
      <c r="G191" s="182">
        <v>11153136.513778897</v>
      </c>
      <c r="H191" s="182"/>
      <c r="I191" s="182">
        <v>11054296.32236572</v>
      </c>
      <c r="J191" s="182"/>
      <c r="K191" s="182">
        <v>10261837.747</v>
      </c>
      <c r="L191" s="182"/>
      <c r="M191" s="182">
        <v>10320766.036304239</v>
      </c>
      <c r="N191" s="182">
        <v>-58928.289304239675</v>
      </c>
      <c r="O191" s="182">
        <v>10362505.873</v>
      </c>
      <c r="P191" s="182">
        <v>0</v>
      </c>
      <c r="Q191" s="182">
        <v>-3.0077097269539332E-2</v>
      </c>
      <c r="R191" s="182">
        <v>0</v>
      </c>
      <c r="S191" s="182">
        <f t="shared" si="40"/>
        <v>104286210.14007089</v>
      </c>
      <c r="W191" s="182">
        <v>4512278.916666667</v>
      </c>
      <c r="X191" s="183">
        <f t="shared" si="41"/>
        <v>23111.649804021803</v>
      </c>
      <c r="AA191" s="181" t="s">
        <v>73</v>
      </c>
      <c r="AC191" s="182">
        <f t="shared" si="38"/>
        <v>101748498.13047838</v>
      </c>
      <c r="AD191" s="191">
        <f t="shared" si="36"/>
        <v>22549.248397446703</v>
      </c>
    </row>
    <row r="192" spans="1:30" ht="14.4">
      <c r="A192" s="187">
        <v>39692</v>
      </c>
      <c r="B192" s="182">
        <v>10640369</v>
      </c>
      <c r="C192" s="182">
        <v>86099.337725953592</v>
      </c>
      <c r="D192" s="182">
        <v>10554269.662274046</v>
      </c>
      <c r="E192" s="182">
        <v>212664.91013371386</v>
      </c>
      <c r="F192" s="189">
        <f t="shared" si="37"/>
        <v>707591.29681131802</v>
      </c>
      <c r="G192" s="182">
        <v>10427704.089866286</v>
      </c>
      <c r="H192" s="182"/>
      <c r="I192" s="182">
        <v>10341604.752140332</v>
      </c>
      <c r="J192" s="182"/>
      <c r="K192" s="182">
        <v>10219241.821</v>
      </c>
      <c r="L192" s="182"/>
      <c r="M192" s="182">
        <v>10013327.606844002</v>
      </c>
      <c r="N192" s="182">
        <v>205914.21415599808</v>
      </c>
      <c r="O192" s="182">
        <v>10299167.275</v>
      </c>
      <c r="P192" s="182">
        <v>0</v>
      </c>
      <c r="Q192" s="182">
        <v>-2.52990369620818E-2</v>
      </c>
      <c r="R192" s="182">
        <v>0</v>
      </c>
      <c r="S192" s="182">
        <f>SUM(M181:M192)</f>
        <v>104026307.3033594</v>
      </c>
      <c r="W192" s="182">
        <v>4511900.833333333</v>
      </c>
      <c r="X192" s="183">
        <f t="shared" si="41"/>
        <v>23055.982643684598</v>
      </c>
      <c r="AA192" s="181" t="s">
        <v>74</v>
      </c>
      <c r="AC192" s="182">
        <f t="shared" si="38"/>
        <v>102200468.70318869</v>
      </c>
      <c r="AD192" s="191">
        <f t="shared" si="36"/>
        <v>22651.310939315197</v>
      </c>
    </row>
    <row r="193" spans="1:30" ht="14.4">
      <c r="A193" s="187">
        <v>39722</v>
      </c>
      <c r="B193" s="182">
        <v>9367637</v>
      </c>
      <c r="C193" s="182">
        <v>78828.886598707599</v>
      </c>
      <c r="D193" s="182">
        <v>9288808.1134012919</v>
      </c>
      <c r="E193" s="182">
        <v>-368198.31075802818</v>
      </c>
      <c r="F193" s="189">
        <f t="shared" si="37"/>
        <v>148513.98746513948</v>
      </c>
      <c r="G193" s="182">
        <v>9735835.3107580282</v>
      </c>
      <c r="H193" s="182"/>
      <c r="I193" s="182">
        <v>9657006.4241593201</v>
      </c>
      <c r="J193" s="182"/>
      <c r="K193" s="182">
        <v>8552965.5869999994</v>
      </c>
      <c r="L193" s="182"/>
      <c r="M193" s="182">
        <v>8891995.8955884073</v>
      </c>
      <c r="N193" s="182">
        <v>-339030.30858840793</v>
      </c>
      <c r="O193" s="182">
        <v>8632523.1040000003</v>
      </c>
      <c r="P193" s="182">
        <v>0</v>
      </c>
      <c r="Q193" s="182">
        <v>1.7371550604200037E-2</v>
      </c>
      <c r="R193" s="182">
        <v>0</v>
      </c>
      <c r="S193" s="182">
        <f t="shared" si="40"/>
        <v>104178137.53350574</v>
      </c>
      <c r="W193" s="182">
        <v>4511415.916666667</v>
      </c>
      <c r="X193" s="183">
        <f t="shared" si="41"/>
        <v>23092.11552600086</v>
      </c>
      <c r="AA193" s="181" t="s">
        <v>75</v>
      </c>
      <c r="AC193" s="182">
        <f t="shared" si="38"/>
        <v>102767523.01253486</v>
      </c>
      <c r="AD193" s="191">
        <f t="shared" si="36"/>
        <v>22779.438852639931</v>
      </c>
    </row>
    <row r="194" spans="1:30" ht="14.4">
      <c r="A194" s="187">
        <v>39753</v>
      </c>
      <c r="B194" s="182">
        <v>7648144</v>
      </c>
      <c r="C194" s="182">
        <v>63334.934125893204</v>
      </c>
      <c r="D194" s="182">
        <v>7584809.0658741072</v>
      </c>
      <c r="E194" s="182">
        <v>-313766.71638458315</v>
      </c>
      <c r="F194" s="189">
        <f t="shared" si="37"/>
        <v>-209932.20913951192</v>
      </c>
      <c r="G194" s="182">
        <v>7961910.7163845832</v>
      </c>
      <c r="H194" s="182"/>
      <c r="I194" s="182">
        <v>7898575.7822586903</v>
      </c>
      <c r="J194" s="182"/>
      <c r="K194" s="182">
        <v>7313800.4759999998</v>
      </c>
      <c r="L194" s="182"/>
      <c r="M194" s="182">
        <v>7616356.1685317345</v>
      </c>
      <c r="N194" s="182">
        <v>-302555.6925317347</v>
      </c>
      <c r="O194" s="182">
        <v>7378389.8360000001</v>
      </c>
      <c r="P194" s="182">
        <v>0</v>
      </c>
      <c r="Q194" s="182">
        <v>-2.4070951570027588E-2</v>
      </c>
      <c r="R194" s="182">
        <v>0</v>
      </c>
      <c r="S194" s="182">
        <f t="shared" si="40"/>
        <v>103990282.74962801</v>
      </c>
      <c r="W194" s="182">
        <v>4510666.75</v>
      </c>
      <c r="X194" s="183">
        <f t="shared" si="41"/>
        <v>23054.304055964236</v>
      </c>
      <c r="AA194" s="181" t="s">
        <v>76</v>
      </c>
      <c r="AC194" s="182">
        <f t="shared" si="38"/>
        <v>104419280.2091395</v>
      </c>
      <c r="AD194" s="191">
        <f t="shared" si="36"/>
        <v>23149.411383392377</v>
      </c>
    </row>
    <row r="195" spans="1:30" ht="14.4">
      <c r="A195" s="187">
        <v>39783</v>
      </c>
      <c r="B195" s="182">
        <v>7806098</v>
      </c>
      <c r="C195" s="182">
        <v>68667.513088557607</v>
      </c>
      <c r="D195" s="182">
        <v>7737430.4869114421</v>
      </c>
      <c r="E195" s="182">
        <v>-379052.63617724553</v>
      </c>
      <c r="F195" s="189">
        <f t="shared" si="37"/>
        <v>-818826.89171050675</v>
      </c>
      <c r="G195" s="182">
        <v>8185150.6361772455</v>
      </c>
      <c r="H195" s="182"/>
      <c r="I195" s="182">
        <v>8116483.1230886877</v>
      </c>
      <c r="J195" s="182"/>
      <c r="K195" s="182">
        <v>6952468.6670000004</v>
      </c>
      <c r="L195" s="182"/>
      <c r="M195" s="182">
        <v>7293066.4378780695</v>
      </c>
      <c r="N195" s="182">
        <v>-340597.7708780691</v>
      </c>
      <c r="O195" s="182">
        <v>7016955.7699999996</v>
      </c>
      <c r="P195" s="182">
        <v>0</v>
      </c>
      <c r="Q195" s="182">
        <v>-1.7487347075947346E-2</v>
      </c>
      <c r="R195" s="182">
        <v>0</v>
      </c>
      <c r="S195" s="182">
        <f>SUM(M184:M195)</f>
        <v>103860476.39683698</v>
      </c>
      <c r="T195" s="192">
        <f t="shared" ref="T195:T258" si="42">S195/S183-1</f>
        <v>-1.0982505405712883E-2</v>
      </c>
      <c r="W195" s="182">
        <v>4509730.166666667</v>
      </c>
      <c r="X195" s="183">
        <f t="shared" si="41"/>
        <v>23030.308368450496</v>
      </c>
      <c r="Y195" s="192">
        <f t="shared" ref="Y195:Y258" si="43">X195/X183-1</f>
        <v>-1.3864388263422955E-2</v>
      </c>
      <c r="AA195" s="181" t="s">
        <v>77</v>
      </c>
      <c r="AB195" s="181">
        <f>YEAR(A195)</f>
        <v>2008</v>
      </c>
      <c r="AC195" s="182">
        <f>SUM(G184:G195)</f>
        <v>112298236.52788775</v>
      </c>
      <c r="AD195" s="191">
        <f t="shared" si="36"/>
        <v>24901.320561911165</v>
      </c>
    </row>
    <row r="196" spans="1:30" ht="14.4">
      <c r="A196" s="187">
        <v>39814</v>
      </c>
      <c r="B196" s="182">
        <v>8007278</v>
      </c>
      <c r="C196" s="182">
        <v>66458.485783763201</v>
      </c>
      <c r="D196" s="182">
        <v>7940819.5142162368</v>
      </c>
      <c r="E196" s="182">
        <v>-94834.89917990379</v>
      </c>
      <c r="F196" s="189">
        <f t="shared" si="37"/>
        <v>-981081.38825669419</v>
      </c>
      <c r="G196" s="182">
        <v>8102112.8991799038</v>
      </c>
      <c r="H196" s="182"/>
      <c r="I196" s="182">
        <v>8035654.4133961406</v>
      </c>
      <c r="J196" s="182"/>
      <c r="K196" s="182">
        <v>7458391.9630000005</v>
      </c>
      <c r="L196" s="182"/>
      <c r="M196" s="182">
        <v>7547465.370170258</v>
      </c>
      <c r="N196" s="182">
        <v>-89073.407170257531</v>
      </c>
      <c r="O196" s="182">
        <v>7513268.6620000005</v>
      </c>
      <c r="P196" s="182">
        <v>0</v>
      </c>
      <c r="Q196" s="182">
        <v>-4.5966120752506279E-2</v>
      </c>
      <c r="R196" s="182">
        <v>0</v>
      </c>
      <c r="S196" s="182">
        <f t="shared" ref="S196:S259" si="44">SUM(M185:M196)</f>
        <v>103496833.43600813</v>
      </c>
      <c r="T196" s="192">
        <f t="shared" si="42"/>
        <v>-1.5778447443696164E-2</v>
      </c>
      <c r="W196" s="182">
        <v>4508500.5</v>
      </c>
      <c r="X196" s="183">
        <f t="shared" si="41"/>
        <v>22955.932562502352</v>
      </c>
      <c r="Y196" s="192">
        <f t="shared" si="43"/>
        <v>-1.7527222408263654E-2</v>
      </c>
      <c r="AA196" s="181" t="s">
        <v>66</v>
      </c>
      <c r="AC196" s="182">
        <f t="shared" si="38"/>
        <v>103922874.38825668</v>
      </c>
      <c r="AD196" s="191">
        <f t="shared" si="36"/>
        <v>23050.429824341085</v>
      </c>
    </row>
    <row r="197" spans="1:30" ht="14.4">
      <c r="A197" s="187">
        <v>39845</v>
      </c>
      <c r="B197" s="182">
        <v>7235663</v>
      </c>
      <c r="C197" s="182">
        <v>72594.889473426796</v>
      </c>
      <c r="D197" s="182">
        <v>7163068.1105265729</v>
      </c>
      <c r="E197" s="182">
        <v>-98513.570368159562</v>
      </c>
      <c r="F197" s="189">
        <f t="shared" si="37"/>
        <v>-1232125.1134794177</v>
      </c>
      <c r="G197" s="182">
        <v>7334176.5703681596</v>
      </c>
      <c r="H197" s="182"/>
      <c r="I197" s="182">
        <v>7261581.6808947325</v>
      </c>
      <c r="J197" s="182"/>
      <c r="K197" s="182">
        <v>6752703.9239999996</v>
      </c>
      <c r="L197" s="182"/>
      <c r="M197" s="182">
        <v>6845573.7617465826</v>
      </c>
      <c r="N197" s="182">
        <v>-92869.837746582925</v>
      </c>
      <c r="O197" s="182">
        <v>6835326.1199999992</v>
      </c>
      <c r="P197" s="182">
        <v>0</v>
      </c>
      <c r="Q197" s="182">
        <v>-4.3024484695100451E-2</v>
      </c>
      <c r="R197" s="182">
        <v>0</v>
      </c>
      <c r="S197" s="182">
        <f t="shared" si="44"/>
        <v>103189064.55495411</v>
      </c>
      <c r="T197" s="192">
        <f t="shared" si="42"/>
        <v>-2.0785683878222438E-2</v>
      </c>
      <c r="W197" s="182">
        <v>4507130.583333333</v>
      </c>
      <c r="X197" s="183">
        <f t="shared" si="41"/>
        <v>22894.625005215334</v>
      </c>
      <c r="Y197" s="192">
        <f t="shared" si="43"/>
        <v>-2.1462843717400815E-2</v>
      </c>
      <c r="AA197" s="181" t="s">
        <v>67</v>
      </c>
      <c r="AC197" s="182">
        <f t="shared" si="38"/>
        <v>104284224.11347942</v>
      </c>
      <c r="AD197" s="191">
        <f t="shared" si="36"/>
        <v>23137.608770224284</v>
      </c>
    </row>
    <row r="198" spans="1:30" ht="14.4">
      <c r="A198" s="187">
        <v>39873</v>
      </c>
      <c r="B198" s="182">
        <v>8009351</v>
      </c>
      <c r="C198" s="182">
        <v>90141.778116962392</v>
      </c>
      <c r="D198" s="182">
        <v>7919209.2218830381</v>
      </c>
      <c r="E198" s="182">
        <v>-165790.46787200961</v>
      </c>
      <c r="F198" s="189">
        <f t="shared" si="37"/>
        <v>-1189776.5809664233</v>
      </c>
      <c r="G198" s="182">
        <v>8175141.4678720096</v>
      </c>
      <c r="H198" s="182"/>
      <c r="I198" s="182">
        <v>8084999.6897550477</v>
      </c>
      <c r="J198" s="182"/>
      <c r="K198" s="182">
        <v>7373744.0959999999</v>
      </c>
      <c r="L198" s="182"/>
      <c r="M198" s="182">
        <v>7528115.1259086691</v>
      </c>
      <c r="N198" s="182">
        <v>-154371.02990866918</v>
      </c>
      <c r="O198" s="182">
        <v>7460003.034</v>
      </c>
      <c r="P198" s="182">
        <v>0</v>
      </c>
      <c r="Q198" s="182">
        <v>-3.4370173564976514E-2</v>
      </c>
      <c r="R198" s="182">
        <v>0</v>
      </c>
      <c r="S198" s="182">
        <f t="shared" si="44"/>
        <v>102921112.36829698</v>
      </c>
      <c r="T198" s="192">
        <f t="shared" si="42"/>
        <v>-2.1320924566727628E-2</v>
      </c>
      <c r="W198" s="182">
        <v>4505741.833333333</v>
      </c>
      <c r="X198" s="183">
        <f t="shared" si="41"/>
        <v>22842.212486940531</v>
      </c>
      <c r="Y198" s="192">
        <f t="shared" si="43"/>
        <v>-2.1130452048702675E-2</v>
      </c>
      <c r="AA198" s="181" t="s">
        <v>68</v>
      </c>
      <c r="AC198" s="182">
        <f t="shared" si="38"/>
        <v>103151617.58096643</v>
      </c>
      <c r="AD198" s="191">
        <f t="shared" si="36"/>
        <v>22893.370591686828</v>
      </c>
    </row>
    <row r="199" spans="1:30" ht="14.4">
      <c r="A199" s="187">
        <v>39904</v>
      </c>
      <c r="B199" s="182">
        <v>8493145</v>
      </c>
      <c r="C199" s="182">
        <v>91197.864158970799</v>
      </c>
      <c r="D199" s="182">
        <v>8401947.1358410288</v>
      </c>
      <c r="E199" s="182">
        <v>82471.145538670942</v>
      </c>
      <c r="F199" s="189">
        <f t="shared" si="37"/>
        <v>-1232768.6307963114</v>
      </c>
      <c r="G199" s="182">
        <v>8410673.8544613291</v>
      </c>
      <c r="H199" s="182"/>
      <c r="I199" s="182">
        <v>8319475.9903023578</v>
      </c>
      <c r="J199" s="182"/>
      <c r="K199" s="182">
        <v>8068103.0180000002</v>
      </c>
      <c r="L199" s="182"/>
      <c r="M199" s="182">
        <v>7988908.7922496302</v>
      </c>
      <c r="N199" s="182">
        <v>79194.225750369951</v>
      </c>
      <c r="O199" s="182">
        <v>8152950.5530000003</v>
      </c>
      <c r="P199" s="182">
        <v>0</v>
      </c>
      <c r="Q199" s="182">
        <v>-3.1505305688547036E-2</v>
      </c>
      <c r="R199" s="182">
        <v>0</v>
      </c>
      <c r="S199" s="182">
        <f t="shared" si="44"/>
        <v>102661231.73591347</v>
      </c>
      <c r="T199" s="192">
        <f t="shared" si="42"/>
        <v>-2.4103974670074302E-2</v>
      </c>
      <c r="W199" s="182">
        <v>4504420.25</v>
      </c>
      <c r="X199" s="183">
        <f t="shared" si="41"/>
        <v>22791.219743742487</v>
      </c>
      <c r="Y199" s="192">
        <f t="shared" si="43"/>
        <v>-2.3176049999526938E-2</v>
      </c>
      <c r="AA199" s="181" t="s">
        <v>69</v>
      </c>
      <c r="AC199" s="182">
        <f t="shared" si="38"/>
        <v>102583970.63079631</v>
      </c>
      <c r="AD199" s="191">
        <f t="shared" si="36"/>
        <v>22774.067457581543</v>
      </c>
    </row>
    <row r="200" spans="1:30" ht="14.4">
      <c r="A200" s="187">
        <v>39934</v>
      </c>
      <c r="B200" s="182">
        <v>9656281</v>
      </c>
      <c r="C200" s="182">
        <v>104863.5615507428</v>
      </c>
      <c r="D200" s="182">
        <v>9551417.438449258</v>
      </c>
      <c r="E200" s="182">
        <v>-4639.0609318893403</v>
      </c>
      <c r="F200" s="189">
        <f t="shared" si="37"/>
        <v>-1614674.8731548544</v>
      </c>
      <c r="G200" s="182">
        <v>9660920.0609318893</v>
      </c>
      <c r="H200" s="182"/>
      <c r="I200" s="182">
        <v>9556056.4993811473</v>
      </c>
      <c r="J200" s="182"/>
      <c r="K200" s="182">
        <v>8507630.0020000003</v>
      </c>
      <c r="L200" s="182"/>
      <c r="M200" s="182">
        <v>8511762.1022060253</v>
      </c>
      <c r="N200" s="182">
        <v>-4132.1002060249448</v>
      </c>
      <c r="O200" s="182">
        <v>8618451.2829999998</v>
      </c>
      <c r="P200" s="182">
        <v>0</v>
      </c>
      <c r="Q200" s="182">
        <v>-1.5043215220082451E-2</v>
      </c>
      <c r="R200" s="182">
        <v>0</v>
      </c>
      <c r="S200" s="182">
        <f t="shared" si="44"/>
        <v>102531231.85045226</v>
      </c>
      <c r="T200" s="192">
        <f t="shared" si="42"/>
        <v>-2.1227531634030905E-2</v>
      </c>
      <c r="W200" s="182">
        <v>4503164.666666667</v>
      </c>
      <c r="X200" s="183">
        <f t="shared" si="41"/>
        <v>22768.705885753883</v>
      </c>
      <c r="Y200" s="192">
        <f t="shared" si="43"/>
        <v>-1.9659571422696698E-2</v>
      </c>
      <c r="AA200" s="181" t="s">
        <v>70</v>
      </c>
      <c r="AC200" s="182">
        <f t="shared" si="38"/>
        <v>101166422.87315485</v>
      </c>
      <c r="AD200" s="191">
        <f t="shared" si="36"/>
        <v>22465.628144138082</v>
      </c>
    </row>
    <row r="201" spans="1:30" ht="14.4">
      <c r="A201" s="187">
        <v>39965</v>
      </c>
      <c r="B201" s="182">
        <v>10367469</v>
      </c>
      <c r="C201" s="182">
        <v>111997.94115761521</v>
      </c>
      <c r="D201" s="182">
        <v>10255471.058842385</v>
      </c>
      <c r="E201" s="182">
        <v>163796.59066889621</v>
      </c>
      <c r="F201" s="189">
        <f t="shared" si="37"/>
        <v>-1689814.4896326549</v>
      </c>
      <c r="G201" s="182">
        <v>10203672.409331104</v>
      </c>
      <c r="H201" s="182"/>
      <c r="I201" s="182">
        <v>10091674.468173489</v>
      </c>
      <c r="J201" s="182"/>
      <c r="K201" s="182">
        <v>9860078.1809999999</v>
      </c>
      <c r="L201" s="182"/>
      <c r="M201" s="182">
        <v>9702596.6591362078</v>
      </c>
      <c r="N201" s="182">
        <v>157481.52186379209</v>
      </c>
      <c r="O201" s="182">
        <v>9950520.8550000004</v>
      </c>
      <c r="P201" s="182">
        <v>0</v>
      </c>
      <c r="Q201" s="182">
        <v>-2.4610446096140937E-2</v>
      </c>
      <c r="R201" s="182">
        <v>0</v>
      </c>
      <c r="S201" s="182">
        <f t="shared" si="44"/>
        <v>102286421.73215997</v>
      </c>
      <c r="T201" s="192">
        <f t="shared" si="42"/>
        <v>-2.2530835109991321E-2</v>
      </c>
      <c r="W201" s="182">
        <v>4501802.666666667</v>
      </c>
      <c r="X201" s="183">
        <f t="shared" si="41"/>
        <v>22721.213990460703</v>
      </c>
      <c r="Y201" s="192">
        <f t="shared" si="43"/>
        <v>-2.0363658555858866E-2</v>
      </c>
      <c r="AA201" s="181" t="s">
        <v>71</v>
      </c>
      <c r="AC201" s="182">
        <f t="shared" si="38"/>
        <v>100389083.48963265</v>
      </c>
      <c r="AD201" s="191">
        <f t="shared" si="36"/>
        <v>22299.75210440869</v>
      </c>
    </row>
    <row r="202" spans="1:30" ht="14.4">
      <c r="A202" s="187">
        <v>39995</v>
      </c>
      <c r="B202" s="182">
        <v>11007925</v>
      </c>
      <c r="C202" s="182">
        <v>129650.22349953961</v>
      </c>
      <c r="D202" s="182">
        <v>10878274.77650046</v>
      </c>
      <c r="E202" s="182">
        <v>135073.05386476591</v>
      </c>
      <c r="F202" s="189">
        <f t="shared" si="37"/>
        <v>-1028979.5291094352</v>
      </c>
      <c r="G202" s="182">
        <v>10872851.946135234</v>
      </c>
      <c r="H202" s="182"/>
      <c r="I202" s="182">
        <v>10743201.722635694</v>
      </c>
      <c r="J202" s="182"/>
      <c r="K202" s="182">
        <v>9750264.3390000015</v>
      </c>
      <c r="L202" s="182"/>
      <c r="M202" s="182">
        <v>9629197.5331584662</v>
      </c>
      <c r="N202" s="182">
        <v>121066.80584153533</v>
      </c>
      <c r="O202" s="182">
        <v>9896531.4030000009</v>
      </c>
      <c r="P202" s="182">
        <v>0</v>
      </c>
      <c r="Q202" s="182">
        <v>-3.9624068899247189E-2</v>
      </c>
      <c r="R202" s="182">
        <v>0</v>
      </c>
      <c r="S202" s="182">
        <f t="shared" si="44"/>
        <v>101889131.4897223</v>
      </c>
      <c r="T202" s="192">
        <f t="shared" si="42"/>
        <v>-2.5974769425053612E-2</v>
      </c>
      <c r="W202" s="182">
        <v>4500870.916666667</v>
      </c>
      <c r="X202" s="183">
        <f t="shared" si="41"/>
        <v>22637.647996619533</v>
      </c>
      <c r="Y202" s="192">
        <f t="shared" si="43"/>
        <v>-2.3489808531158896E-2</v>
      </c>
      <c r="AA202" s="181" t="s">
        <v>72</v>
      </c>
      <c r="AC202" s="182">
        <f t="shared" si="38"/>
        <v>99350434.529109433</v>
      </c>
      <c r="AD202" s="191">
        <f t="shared" si="36"/>
        <v>22073.602280220046</v>
      </c>
    </row>
    <row r="203" spans="1:30" ht="14.4">
      <c r="A203" s="187">
        <v>40026</v>
      </c>
      <c r="B203" s="182">
        <v>11448322</v>
      </c>
      <c r="C203" s="182">
        <v>129732.44346166559</v>
      </c>
      <c r="D203" s="182">
        <v>11318589.556538334</v>
      </c>
      <c r="E203" s="182">
        <v>402985.27324448712</v>
      </c>
      <c r="F203" s="189">
        <f t="shared" si="37"/>
        <v>-830789.96146577224</v>
      </c>
      <c r="G203" s="182">
        <v>11045336.726755513</v>
      </c>
      <c r="H203" s="182"/>
      <c r="I203" s="182">
        <v>10915604.283293847</v>
      </c>
      <c r="J203" s="182"/>
      <c r="K203" s="182">
        <v>10567020.692000002</v>
      </c>
      <c r="L203" s="182"/>
      <c r="M203" s="182">
        <v>10190794.157794962</v>
      </c>
      <c r="N203" s="182">
        <v>376226.53420503996</v>
      </c>
      <c r="O203" s="182">
        <v>10678186.994000001</v>
      </c>
      <c r="P203" s="182">
        <v>0</v>
      </c>
      <c r="Q203" s="182">
        <v>-1.2593239499092412E-2</v>
      </c>
      <c r="R203" s="182">
        <v>0</v>
      </c>
      <c r="S203" s="182">
        <f t="shared" si="44"/>
        <v>101759159.61121303</v>
      </c>
      <c r="T203" s="192">
        <f t="shared" si="42"/>
        <v>-2.4231876155665022E-2</v>
      </c>
      <c r="W203" s="182">
        <v>4500174.416666667</v>
      </c>
      <c r="X203" s="183">
        <f t="shared" si="41"/>
        <v>22612.270145428552</v>
      </c>
      <c r="Y203" s="192">
        <f t="shared" si="43"/>
        <v>-2.1607270048992766E-2</v>
      </c>
      <c r="AA203" s="181" t="s">
        <v>73</v>
      </c>
      <c r="AC203" s="182">
        <f t="shared" si="38"/>
        <v>99070149.961465761</v>
      </c>
      <c r="AD203" s="191">
        <f t="shared" si="36"/>
        <v>22014.735605480866</v>
      </c>
    </row>
    <row r="204" spans="1:30" ht="14.4">
      <c r="A204" s="187">
        <v>40057</v>
      </c>
      <c r="B204" s="182">
        <v>10342759</v>
      </c>
      <c r="C204" s="182">
        <v>119661.99634952639</v>
      </c>
      <c r="D204" s="182">
        <v>10223097.003650473</v>
      </c>
      <c r="E204" s="182">
        <v>194513.2044335939</v>
      </c>
      <c r="F204" s="189">
        <f t="shared" si="37"/>
        <v>-640469.59835499898</v>
      </c>
      <c r="G204" s="182">
        <v>10148245.795566406</v>
      </c>
      <c r="H204" s="182"/>
      <c r="I204" s="182">
        <v>10028583.79921688</v>
      </c>
      <c r="J204" s="182"/>
      <c r="K204" s="182">
        <v>9852631.8579999991</v>
      </c>
      <c r="L204" s="182"/>
      <c r="M204" s="182">
        <v>9665167.4336558133</v>
      </c>
      <c r="N204" s="182">
        <v>187464.42434418574</v>
      </c>
      <c r="O204" s="182">
        <v>9993213.2349999994</v>
      </c>
      <c r="P204" s="182">
        <v>0</v>
      </c>
      <c r="Q204" s="182">
        <v>-3.476967765942518E-2</v>
      </c>
      <c r="R204" s="182">
        <v>0</v>
      </c>
      <c r="S204" s="182">
        <f t="shared" si="44"/>
        <v>101410999.43802483</v>
      </c>
      <c r="T204" s="192">
        <f t="shared" si="42"/>
        <v>-2.514083151781854E-2</v>
      </c>
      <c r="W204" s="182">
        <v>4499573.25</v>
      </c>
      <c r="X204" s="183">
        <f t="shared" si="41"/>
        <v>22537.914998500099</v>
      </c>
      <c r="Y204" s="192">
        <f t="shared" si="43"/>
        <v>-2.2469987646629552E-2</v>
      </c>
      <c r="AA204" s="181" t="s">
        <v>74</v>
      </c>
      <c r="AC204" s="182">
        <f t="shared" si="38"/>
        <v>99687782.598354995</v>
      </c>
      <c r="AD204" s="191">
        <f t="shared" si="36"/>
        <v>22154.941604374369</v>
      </c>
    </row>
    <row r="205" spans="1:30" ht="14.4">
      <c r="A205" s="187">
        <v>40087</v>
      </c>
      <c r="B205" s="182">
        <v>10338743</v>
      </c>
      <c r="C205" s="182">
        <v>104474.66956530201</v>
      </c>
      <c r="D205" s="182">
        <v>10234268.330434699</v>
      </c>
      <c r="E205" s="182">
        <v>943950.97633374482</v>
      </c>
      <c r="F205" s="189">
        <f t="shared" si="37"/>
        <v>-77758.083163376898</v>
      </c>
      <c r="G205" s="182">
        <v>9394792.0236662552</v>
      </c>
      <c r="H205" s="182"/>
      <c r="I205" s="182">
        <v>9290317.3541009538</v>
      </c>
      <c r="J205" s="182"/>
      <c r="K205" s="182">
        <v>9233544.1659999993</v>
      </c>
      <c r="L205" s="182"/>
      <c r="M205" s="182">
        <v>8381894.3216631301</v>
      </c>
      <c r="N205" s="182">
        <v>851649.8443368692</v>
      </c>
      <c r="O205" s="182">
        <v>9331106.3080000002</v>
      </c>
      <c r="P205" s="182">
        <v>0</v>
      </c>
      <c r="Q205" s="182">
        <v>-5.7366375323942065E-2</v>
      </c>
      <c r="R205" s="182">
        <v>0</v>
      </c>
      <c r="S205" s="182">
        <f t="shared" si="44"/>
        <v>100900897.86409955</v>
      </c>
      <c r="T205" s="192">
        <f t="shared" si="42"/>
        <v>-3.1458036657184052E-2</v>
      </c>
      <c r="W205" s="182">
        <v>4499014.666666667</v>
      </c>
      <c r="X205" s="183">
        <f t="shared" si="41"/>
        <v>22427.332502753834</v>
      </c>
      <c r="Y205" s="192">
        <f t="shared" si="43"/>
        <v>-2.8788311859019755E-2</v>
      </c>
      <c r="AA205" s="181" t="s">
        <v>75</v>
      </c>
      <c r="AC205" s="182">
        <f t="shared" si="38"/>
        <v>100100193.08316338</v>
      </c>
      <c r="AD205" s="191">
        <f t="shared" si="36"/>
        <v>22249.359137414838</v>
      </c>
    </row>
    <row r="206" spans="1:30" ht="14.4">
      <c r="A206" s="187">
        <v>40118</v>
      </c>
      <c r="B206" s="182">
        <v>8115012</v>
      </c>
      <c r="C206" s="182">
        <v>81152.433981231618</v>
      </c>
      <c r="D206" s="182">
        <v>8033859.5660187686</v>
      </c>
      <c r="E206" s="182">
        <v>359166.77102785371</v>
      </c>
      <c r="F206" s="189">
        <f t="shared" si="37"/>
        <v>1179959.6095549511</v>
      </c>
      <c r="G206" s="182">
        <v>7755845.2289721463</v>
      </c>
      <c r="H206" s="182"/>
      <c r="I206" s="182">
        <v>7674692.7949909149</v>
      </c>
      <c r="J206" s="182"/>
      <c r="K206" s="182">
        <v>7996809.284</v>
      </c>
      <c r="L206" s="182"/>
      <c r="M206" s="182">
        <v>7639298.9061476802</v>
      </c>
      <c r="N206" s="182">
        <v>357510.37785231974</v>
      </c>
      <c r="O206" s="182">
        <v>8079339.5199999996</v>
      </c>
      <c r="P206" s="182">
        <v>0</v>
      </c>
      <c r="Q206" s="182">
        <v>3.0122984151841337E-3</v>
      </c>
      <c r="R206" s="182">
        <v>0</v>
      </c>
      <c r="S206" s="182">
        <f t="shared" si="44"/>
        <v>100923840.60171549</v>
      </c>
      <c r="T206" s="192">
        <f t="shared" si="42"/>
        <v>-2.9487775846282038E-2</v>
      </c>
      <c r="W206" s="182">
        <v>4498999.833333333</v>
      </c>
      <c r="X206" s="183">
        <f t="shared" si="41"/>
        <v>22432.505965873857</v>
      </c>
      <c r="Y206" s="192">
        <f t="shared" si="43"/>
        <v>-2.6971019753229908E-2</v>
      </c>
      <c r="AA206" s="181" t="s">
        <v>76</v>
      </c>
      <c r="AC206" s="182">
        <f t="shared" si="38"/>
        <v>101533074.39044505</v>
      </c>
      <c r="AD206" s="191">
        <f t="shared" si="36"/>
        <v>22567.92134958108</v>
      </c>
    </row>
    <row r="207" spans="1:30" ht="14.4">
      <c r="A207" s="187">
        <v>40148</v>
      </c>
      <c r="B207" s="182">
        <v>8215468</v>
      </c>
      <c r="C207" s="182">
        <v>74786.058557316399</v>
      </c>
      <c r="D207" s="182">
        <v>8140681.9414426833</v>
      </c>
      <c r="E207" s="182">
        <v>263882.44847458135</v>
      </c>
      <c r="F207" s="189">
        <f t="shared" si="37"/>
        <v>1918179.0167600503</v>
      </c>
      <c r="G207" s="182">
        <v>7951585.5515254186</v>
      </c>
      <c r="H207" s="182"/>
      <c r="I207" s="182">
        <v>7876799.492968102</v>
      </c>
      <c r="J207" s="182"/>
      <c r="K207" s="182">
        <v>7341320.04</v>
      </c>
      <c r="L207" s="182"/>
      <c r="M207" s="182">
        <v>7103349.1278423155</v>
      </c>
      <c r="N207" s="182">
        <v>237970.91215768456</v>
      </c>
      <c r="O207" s="182">
        <v>7414515.557</v>
      </c>
      <c r="P207" s="182">
        <v>0</v>
      </c>
      <c r="Q207" s="182">
        <v>-2.6013380194977676E-2</v>
      </c>
      <c r="R207" s="182">
        <v>0</v>
      </c>
      <c r="S207" s="182">
        <f t="shared" si="44"/>
        <v>100734123.29167974</v>
      </c>
      <c r="T207" s="192">
        <f t="shared" si="42"/>
        <v>-3.0101470873403868E-2</v>
      </c>
      <c r="W207" s="182">
        <v>4499066.75</v>
      </c>
      <c r="X207" s="183">
        <f t="shared" si="41"/>
        <v>22390.00416957133</v>
      </c>
      <c r="Y207" s="192">
        <f t="shared" si="43"/>
        <v>-2.7802675875427174E-2</v>
      </c>
      <c r="AA207" s="181" t="s">
        <v>77</v>
      </c>
      <c r="AB207" s="181">
        <f>YEAR(A207)</f>
        <v>2009</v>
      </c>
      <c r="AC207" s="182">
        <f>SUM(G196:G207)</f>
        <v>109055354.53476538</v>
      </c>
      <c r="AD207" s="191">
        <f t="shared" ref="AD207:AD270" si="45">AC207/W207*1000</f>
        <v>24239.550243339996</v>
      </c>
    </row>
    <row r="208" spans="1:30" ht="14.4">
      <c r="A208" s="187">
        <v>40179</v>
      </c>
      <c r="B208" s="182">
        <v>9390504</v>
      </c>
      <c r="C208" s="182">
        <v>183871.689519462</v>
      </c>
      <c r="D208" s="182">
        <v>9206632.3104805388</v>
      </c>
      <c r="E208" s="182">
        <v>1124262.1849595802</v>
      </c>
      <c r="F208" s="189">
        <f t="shared" ref="F208:F271" si="46">SUM(E197:E207)</f>
        <v>2276896.3644145355</v>
      </c>
      <c r="G208" s="182">
        <v>8266241.8150404198</v>
      </c>
      <c r="H208" s="182"/>
      <c r="I208" s="182">
        <v>8082370.1255209576</v>
      </c>
      <c r="J208" s="182"/>
      <c r="K208" s="182">
        <v>8657026.2540000007</v>
      </c>
      <c r="L208" s="182"/>
      <c r="M208" s="182">
        <v>7599878.8711839169</v>
      </c>
      <c r="N208" s="182">
        <v>1057147.3828160837</v>
      </c>
      <c r="O208" s="182">
        <v>8839621.3279999997</v>
      </c>
      <c r="P208" s="182">
        <v>182595.07399999999</v>
      </c>
      <c r="Q208" s="182">
        <v>6.9445169262798423E-3</v>
      </c>
      <c r="R208" s="182">
        <v>0</v>
      </c>
      <c r="S208" s="182">
        <f t="shared" si="44"/>
        <v>100786536.79269339</v>
      </c>
      <c r="T208" s="192">
        <f t="shared" si="42"/>
        <v>-2.6187242192202032E-2</v>
      </c>
      <c r="W208" s="182">
        <v>4499429.166666667</v>
      </c>
      <c r="X208" s="183">
        <f t="shared" si="41"/>
        <v>22399.84963856194</v>
      </c>
      <c r="Y208" s="192">
        <f t="shared" si="43"/>
        <v>-2.4223930891344114E-2</v>
      </c>
      <c r="AA208" s="181" t="s">
        <v>66</v>
      </c>
      <c r="AC208" s="182">
        <f t="shared" ref="AC208:AC271" si="47">SUM(G197:G207)</f>
        <v>100953241.63558547</v>
      </c>
      <c r="AD208" s="191">
        <f t="shared" si="45"/>
        <v>22436.899859093712</v>
      </c>
    </row>
    <row r="209" spans="1:30" ht="14.4">
      <c r="A209" s="187">
        <v>40210</v>
      </c>
      <c r="B209" s="182">
        <v>7653971</v>
      </c>
      <c r="C209" s="182">
        <v>148801.9816317028</v>
      </c>
      <c r="D209" s="182">
        <v>7505169.0183682973</v>
      </c>
      <c r="E209" s="182">
        <v>37509.6268291343</v>
      </c>
      <c r="F209" s="189">
        <f t="shared" si="46"/>
        <v>3499672.1197422752</v>
      </c>
      <c r="G209" s="182">
        <v>7616461.3731708657</v>
      </c>
      <c r="H209" s="182"/>
      <c r="I209" s="182">
        <v>7467659.391539163</v>
      </c>
      <c r="J209" s="182"/>
      <c r="K209" s="182">
        <v>6929803.4179999996</v>
      </c>
      <c r="L209" s="182"/>
      <c r="M209" s="182">
        <v>6895169.3758388879</v>
      </c>
      <c r="N209" s="182">
        <v>34634.04216111172</v>
      </c>
      <c r="O209" s="182">
        <v>7076735.0499999998</v>
      </c>
      <c r="P209" s="182">
        <v>146931.63200000001</v>
      </c>
      <c r="Q209" s="182">
        <v>7.244917054206379E-3</v>
      </c>
      <c r="R209" s="182">
        <v>0</v>
      </c>
      <c r="S209" s="182">
        <f t="shared" si="44"/>
        <v>100836132.40678571</v>
      </c>
      <c r="T209" s="192">
        <f t="shared" si="42"/>
        <v>-2.2802146315759386E-2</v>
      </c>
      <c r="W209" s="182">
        <v>4500093.75</v>
      </c>
      <c r="X209" s="183">
        <f t="shared" si="41"/>
        <v>22407.562599509332</v>
      </c>
      <c r="Y209" s="192">
        <f t="shared" si="43"/>
        <v>-2.1274094054611115E-2</v>
      </c>
      <c r="AA209" s="181" t="s">
        <v>67</v>
      </c>
      <c r="AC209" s="182">
        <f t="shared" si="47"/>
        <v>101885306.88025773</v>
      </c>
      <c r="AD209" s="191">
        <f t="shared" si="45"/>
        <v>22640.707625315077</v>
      </c>
    </row>
    <row r="210" spans="1:30" ht="14.4">
      <c r="A210" s="187">
        <v>40238</v>
      </c>
      <c r="B210" s="182">
        <v>7879751.5</v>
      </c>
      <c r="C210" s="182">
        <v>156882.31972620921</v>
      </c>
      <c r="D210" s="182">
        <v>7722869.1802737908</v>
      </c>
      <c r="E210" s="182">
        <v>-588231.0125338342</v>
      </c>
      <c r="F210" s="189">
        <f t="shared" si="46"/>
        <v>3702972.2144434191</v>
      </c>
      <c r="G210" s="182">
        <v>8467982.5125338342</v>
      </c>
      <c r="H210" s="182"/>
      <c r="I210" s="182">
        <v>8311100.192807625</v>
      </c>
      <c r="J210" s="182"/>
      <c r="K210" s="182">
        <v>7427271.5489999996</v>
      </c>
      <c r="L210" s="182"/>
      <c r="M210" s="182">
        <v>7992987.652904937</v>
      </c>
      <c r="N210" s="182">
        <v>-565716.10390493739</v>
      </c>
      <c r="O210" s="182">
        <v>7584294.3449999997</v>
      </c>
      <c r="P210" s="182">
        <v>157022.796</v>
      </c>
      <c r="Q210" s="182">
        <v>6.1751516710520038E-2</v>
      </c>
      <c r="R210" s="182">
        <v>0</v>
      </c>
      <c r="S210" s="182">
        <f t="shared" si="44"/>
        <v>101301004.93378198</v>
      </c>
      <c r="T210" s="192">
        <f t="shared" si="42"/>
        <v>-1.5741254609817457E-2</v>
      </c>
      <c r="W210" s="182">
        <v>4501237.5</v>
      </c>
      <c r="X210" s="183">
        <f t="shared" si="41"/>
        <v>22505.145514712782</v>
      </c>
      <c r="Y210" s="192">
        <f t="shared" si="43"/>
        <v>-1.4756318917025113E-2</v>
      </c>
      <c r="AA210" s="181" t="s">
        <v>68</v>
      </c>
      <c r="AC210" s="182">
        <f t="shared" si="47"/>
        <v>101326626.7855566</v>
      </c>
      <c r="AD210" s="191">
        <f t="shared" si="45"/>
        <v>22510.837694202226</v>
      </c>
    </row>
    <row r="211" spans="1:30" ht="14.4">
      <c r="A211" s="187">
        <v>40269</v>
      </c>
      <c r="B211" s="182">
        <v>8037871</v>
      </c>
      <c r="C211" s="182">
        <v>157068.02668771599</v>
      </c>
      <c r="D211" s="182">
        <v>7880802.9733122839</v>
      </c>
      <c r="E211" s="182">
        <v>-416257.77615505829</v>
      </c>
      <c r="F211" s="189">
        <f t="shared" si="46"/>
        <v>3032270.056370914</v>
      </c>
      <c r="G211" s="182">
        <v>8454128.7761550583</v>
      </c>
      <c r="H211" s="182"/>
      <c r="I211" s="182">
        <v>8297060.7494673422</v>
      </c>
      <c r="J211" s="182"/>
      <c r="K211" s="182">
        <v>7481070.8119999999</v>
      </c>
      <c r="L211" s="182"/>
      <c r="M211" s="182">
        <v>7876215.051743987</v>
      </c>
      <c r="N211" s="182">
        <v>-395144.2397439871</v>
      </c>
      <c r="O211" s="182">
        <v>7634483.4790000003</v>
      </c>
      <c r="P211" s="182">
        <v>153412.66699999999</v>
      </c>
      <c r="Q211" s="182">
        <v>-1.4106274515860329E-2</v>
      </c>
      <c r="R211" s="182">
        <v>0</v>
      </c>
      <c r="S211" s="182">
        <f t="shared" si="44"/>
        <v>101188311.19327633</v>
      </c>
      <c r="T211" s="192">
        <f t="shared" si="42"/>
        <v>-1.4347388178880371E-2</v>
      </c>
      <c r="W211" s="182">
        <v>4502717.833333333</v>
      </c>
      <c r="X211" s="183">
        <f t="shared" si="41"/>
        <v>22472.718686519886</v>
      </c>
      <c r="Y211" s="192">
        <f t="shared" si="43"/>
        <v>-1.3974726267559689E-2</v>
      </c>
      <c r="AA211" s="181" t="s">
        <v>69</v>
      </c>
      <c r="AC211" s="182">
        <f t="shared" si="47"/>
        <v>101383935.44362909</v>
      </c>
      <c r="AD211" s="191">
        <f t="shared" si="45"/>
        <v>22516.164502490094</v>
      </c>
    </row>
    <row r="212" spans="1:30" ht="14.4">
      <c r="A212" s="187">
        <v>40299</v>
      </c>
      <c r="B212" s="182">
        <v>10395115</v>
      </c>
      <c r="C212" s="182">
        <v>199283.66862024239</v>
      </c>
      <c r="D212" s="182">
        <v>10195831.331379758</v>
      </c>
      <c r="E212" s="182">
        <v>733984.18700369447</v>
      </c>
      <c r="F212" s="189">
        <f t="shared" si="46"/>
        <v>2620651.341147745</v>
      </c>
      <c r="G212" s="182">
        <v>9661130.8129963055</v>
      </c>
      <c r="H212" s="182"/>
      <c r="I212" s="182">
        <v>9461847.1443760637</v>
      </c>
      <c r="J212" s="182"/>
      <c r="K212" s="182">
        <v>9040849.5409999993</v>
      </c>
      <c r="L212" s="182"/>
      <c r="M212" s="182">
        <v>8390010.9399581738</v>
      </c>
      <c r="N212" s="182">
        <v>650838.60104182549</v>
      </c>
      <c r="O212" s="182">
        <v>9240213.0599999987</v>
      </c>
      <c r="P212" s="182">
        <v>199363.519</v>
      </c>
      <c r="Q212" s="182">
        <v>-1.4303872780501825E-2</v>
      </c>
      <c r="R212" s="182">
        <v>0</v>
      </c>
      <c r="S212" s="182">
        <f t="shared" si="44"/>
        <v>101066560.03102848</v>
      </c>
      <c r="T212" s="192">
        <f t="shared" si="42"/>
        <v>-1.428512847246477E-2</v>
      </c>
      <c r="W212" s="182">
        <v>4504603.75</v>
      </c>
      <c r="X212" s="183">
        <f t="shared" si="41"/>
        <v>22436.281999505169</v>
      </c>
      <c r="Y212" s="192">
        <f t="shared" si="43"/>
        <v>-1.4600034271456286E-2</v>
      </c>
      <c r="AA212" s="181" t="s">
        <v>70</v>
      </c>
      <c r="AC212" s="182">
        <f t="shared" si="47"/>
        <v>100177144.15885225</v>
      </c>
      <c r="AD212" s="191">
        <f t="shared" si="45"/>
        <v>22238.836026110454</v>
      </c>
    </row>
    <row r="213" spans="1:30" ht="14.4">
      <c r="A213" s="187">
        <v>40330</v>
      </c>
      <c r="B213" s="182">
        <v>11409507</v>
      </c>
      <c r="C213" s="182">
        <v>209538.24517031841</v>
      </c>
      <c r="D213" s="182">
        <v>11199968.754829682</v>
      </c>
      <c r="E213" s="182">
        <v>1107219.115820948</v>
      </c>
      <c r="F213" s="189">
        <f t="shared" si="46"/>
        <v>3190838.9374825433</v>
      </c>
      <c r="G213" s="182">
        <v>10302287.884179052</v>
      </c>
      <c r="H213" s="182"/>
      <c r="I213" s="182">
        <v>10092749.639008734</v>
      </c>
      <c r="J213" s="182"/>
      <c r="K213" s="182">
        <v>10695623.290999999</v>
      </c>
      <c r="L213" s="182"/>
      <c r="M213" s="182">
        <v>9638263.326642219</v>
      </c>
      <c r="N213" s="182">
        <v>1057359.9643577803</v>
      </c>
      <c r="O213" s="182">
        <v>10904588.499</v>
      </c>
      <c r="P213" s="182">
        <v>208965.20800000001</v>
      </c>
      <c r="Q213" s="182">
        <v>-6.6305273478941551E-3</v>
      </c>
      <c r="R213" s="182">
        <v>0</v>
      </c>
      <c r="S213" s="182">
        <f t="shared" si="44"/>
        <v>101002226.69853449</v>
      </c>
      <c r="T213" s="192">
        <f t="shared" si="42"/>
        <v>-1.2554892544664353E-2</v>
      </c>
      <c r="W213" s="182">
        <v>4506603.75</v>
      </c>
      <c r="X213" s="183">
        <f t="shared" si="41"/>
        <v>22412.049583577096</v>
      </c>
      <c r="Y213" s="192">
        <f t="shared" si="43"/>
        <v>-1.360686128009736E-2</v>
      </c>
      <c r="AA213" s="181" t="s">
        <v>71</v>
      </c>
      <c r="AC213" s="182">
        <f t="shared" si="47"/>
        <v>99634602.562517434</v>
      </c>
      <c r="AD213" s="191">
        <f t="shared" si="45"/>
        <v>22108.578452791073</v>
      </c>
    </row>
    <row r="214" spans="1:30" ht="14.4">
      <c r="A214" s="187">
        <v>40360</v>
      </c>
      <c r="B214" s="182">
        <v>11649520</v>
      </c>
      <c r="C214" s="182">
        <v>210132.75766480441</v>
      </c>
      <c r="D214" s="182">
        <v>11439387.242335195</v>
      </c>
      <c r="E214" s="182">
        <v>600166.96815349907</v>
      </c>
      <c r="F214" s="189">
        <f t="shared" si="46"/>
        <v>4162984.9994387254</v>
      </c>
      <c r="G214" s="182">
        <v>11049353.031846501</v>
      </c>
      <c r="H214" s="182"/>
      <c r="I214" s="182">
        <v>10839220.274181696</v>
      </c>
      <c r="J214" s="182"/>
      <c r="K214" s="182">
        <v>10234337.945</v>
      </c>
      <c r="L214" s="182"/>
      <c r="M214" s="182">
        <v>9697393.8372966312</v>
      </c>
      <c r="N214" s="182">
        <v>536944.10770336911</v>
      </c>
      <c r="O214" s="182">
        <v>10441919.721000001</v>
      </c>
      <c r="P214" s="182">
        <v>207581.77600000001</v>
      </c>
      <c r="Q214" s="182">
        <v>7.0822416824796175E-3</v>
      </c>
      <c r="R214" s="182">
        <v>0</v>
      </c>
      <c r="S214" s="182">
        <f t="shared" si="44"/>
        <v>101070423.00267264</v>
      </c>
      <c r="T214" s="192">
        <f t="shared" si="42"/>
        <v>-8.0352877198902606E-3</v>
      </c>
      <c r="W214" s="182">
        <v>4508636.833333333</v>
      </c>
      <c r="X214" s="183">
        <f t="shared" si="41"/>
        <v>22417.069003082488</v>
      </c>
      <c r="Y214" s="192">
        <f t="shared" si="43"/>
        <v>-9.743900672454342E-3</v>
      </c>
      <c r="AA214" s="181" t="s">
        <v>72</v>
      </c>
      <c r="AC214" s="182">
        <f t="shared" si="47"/>
        <v>99064038.500561267</v>
      </c>
      <c r="AD214" s="191">
        <f t="shared" si="45"/>
        <v>21972.059884743714</v>
      </c>
    </row>
    <row r="215" spans="1:30" ht="14.4">
      <c r="A215" s="187">
        <v>40391</v>
      </c>
      <c r="B215" s="182">
        <v>11521499</v>
      </c>
      <c r="C215" s="182">
        <v>208667.60937280557</v>
      </c>
      <c r="D215" s="182">
        <v>11312831.390627194</v>
      </c>
      <c r="E215" s="182">
        <v>346542.13335066102</v>
      </c>
      <c r="F215" s="189">
        <f t="shared" si="46"/>
        <v>4360166.6943477374</v>
      </c>
      <c r="G215" s="182">
        <v>11174956.866649339</v>
      </c>
      <c r="H215" s="182"/>
      <c r="I215" s="182">
        <v>10966289.257276533</v>
      </c>
      <c r="J215" s="182"/>
      <c r="K215" s="182">
        <v>10687427.754000001</v>
      </c>
      <c r="L215" s="182"/>
      <c r="M215" s="182">
        <v>10360043.398482183</v>
      </c>
      <c r="N215" s="182">
        <v>327384.35551781766</v>
      </c>
      <c r="O215" s="182">
        <v>10894853.421</v>
      </c>
      <c r="P215" s="182">
        <v>207425.66699999999</v>
      </c>
      <c r="Q215" s="182">
        <v>1.6608052136718232E-2</v>
      </c>
      <c r="R215" s="182">
        <v>0</v>
      </c>
      <c r="S215" s="182">
        <f t="shared" si="44"/>
        <v>101239672.24335988</v>
      </c>
      <c r="T215" s="192">
        <f t="shared" si="42"/>
        <v>-5.1050673947969916E-3</v>
      </c>
      <c r="W215" s="182">
        <v>4510954</v>
      </c>
      <c r="X215" s="183">
        <f t="shared" si="41"/>
        <v>22443.073514684449</v>
      </c>
      <c r="Y215" s="192">
        <f t="shared" si="43"/>
        <v>-7.4825141242312876E-3</v>
      </c>
      <c r="AA215" s="181" t="s">
        <v>73</v>
      </c>
      <c r="AC215" s="182">
        <f t="shared" si="47"/>
        <v>99068054.805652261</v>
      </c>
      <c r="AD215" s="191">
        <f t="shared" si="45"/>
        <v>21961.663720280067</v>
      </c>
    </row>
    <row r="216" spans="1:30" s="202" customFormat="1" ht="14.4">
      <c r="A216" s="201">
        <v>40422</v>
      </c>
      <c r="B216" s="182">
        <v>10666454</v>
      </c>
      <c r="C216" s="182">
        <v>193251.6042705912</v>
      </c>
      <c r="D216" s="182">
        <v>10473202.39572941</v>
      </c>
      <c r="E216" s="182">
        <v>418469.72590752691</v>
      </c>
      <c r="F216" s="189">
        <f t="shared" si="46"/>
        <v>4512195.6232648045</v>
      </c>
      <c r="G216" s="182">
        <v>10247984.274092473</v>
      </c>
      <c r="H216" s="182"/>
      <c r="I216" s="182">
        <v>10054732.669821883</v>
      </c>
      <c r="J216" s="182"/>
      <c r="K216" s="182">
        <v>10143338.036</v>
      </c>
      <c r="L216" s="182"/>
      <c r="M216" s="182">
        <v>9738048.4476460945</v>
      </c>
      <c r="N216" s="182">
        <v>405289.58835390583</v>
      </c>
      <c r="O216" s="182">
        <v>10335868.869000001</v>
      </c>
      <c r="P216" s="182">
        <v>192530.83300000001</v>
      </c>
      <c r="Q216" s="182">
        <v>7.5405847328102737E-3</v>
      </c>
      <c r="R216" s="182">
        <v>0</v>
      </c>
      <c r="S216" s="182">
        <f t="shared" si="44"/>
        <v>101312553.25735016</v>
      </c>
      <c r="T216" s="192">
        <f t="shared" si="42"/>
        <v>-9.7076432754061859E-4</v>
      </c>
      <c r="W216" s="182">
        <v>4513370.666666667</v>
      </c>
      <c r="X216" s="183">
        <f t="shared" si="41"/>
        <v>22447.204260352537</v>
      </c>
      <c r="Y216" s="192">
        <f t="shared" si="43"/>
        <v>-4.024806116874502E-3</v>
      </c>
      <c r="AA216" s="181" t="s">
        <v>74</v>
      </c>
      <c r="AC216" s="182">
        <f t="shared" si="47"/>
        <v>100094765.8767352</v>
      </c>
      <c r="AD216" s="191">
        <f t="shared" si="45"/>
        <v>22177.386540835523</v>
      </c>
    </row>
    <row r="217" spans="1:30" s="202" customFormat="1" ht="14.4">
      <c r="A217" s="201">
        <v>40452</v>
      </c>
      <c r="B217" s="182">
        <v>9299921</v>
      </c>
      <c r="C217" s="182">
        <v>172752.23836926121</v>
      </c>
      <c r="D217" s="182">
        <v>9127168.7616307382</v>
      </c>
      <c r="E217" s="182">
        <v>-249191.71954384446</v>
      </c>
      <c r="F217" s="189">
        <f t="shared" si="46"/>
        <v>3986714.3728385866</v>
      </c>
      <c r="G217" s="182">
        <v>9549112.7195438445</v>
      </c>
      <c r="H217" s="182"/>
      <c r="I217" s="182">
        <v>9376360.4811745826</v>
      </c>
      <c r="J217" s="182"/>
      <c r="K217" s="182">
        <v>8235791.7590000005</v>
      </c>
      <c r="L217" s="182"/>
      <c r="M217" s="182">
        <v>8460646.9319269825</v>
      </c>
      <c r="N217" s="182">
        <v>-224855.17292698193</v>
      </c>
      <c r="O217" s="182">
        <v>8406425.7740000002</v>
      </c>
      <c r="P217" s="182">
        <v>170633.98499999999</v>
      </c>
      <c r="Q217" s="182">
        <v>9.3955622967369923E-3</v>
      </c>
      <c r="R217" s="182">
        <v>0</v>
      </c>
      <c r="S217" s="182">
        <f t="shared" si="44"/>
        <v>101391305.86761402</v>
      </c>
      <c r="T217" s="192">
        <f t="shared" si="42"/>
        <v>4.8602937525390466E-3</v>
      </c>
      <c r="W217" s="182">
        <v>4515769.5</v>
      </c>
      <c r="X217" s="183">
        <f t="shared" si="41"/>
        <v>22452.719490579406</v>
      </c>
      <c r="Y217" s="192">
        <f t="shared" si="43"/>
        <v>1.1319664441793442E-3</v>
      </c>
      <c r="AA217" s="181" t="s">
        <v>75</v>
      </c>
      <c r="AC217" s="182">
        <f t="shared" si="47"/>
        <v>100947958.12716141</v>
      </c>
      <c r="AD217" s="191">
        <f t="shared" si="45"/>
        <v>22354.541817770241</v>
      </c>
    </row>
    <row r="218" spans="1:30" ht="14.4">
      <c r="A218" s="187">
        <v>40483</v>
      </c>
      <c r="B218" s="182">
        <v>7811927</v>
      </c>
      <c r="C218" s="182">
        <v>149069.77595533</v>
      </c>
      <c r="D218" s="182">
        <v>7662857.2240446704</v>
      </c>
      <c r="E218" s="182">
        <v>34779.288312866352</v>
      </c>
      <c r="F218" s="189">
        <f t="shared" si="46"/>
        <v>3378355.8822668884</v>
      </c>
      <c r="G218" s="182">
        <v>7777147.7116871336</v>
      </c>
      <c r="H218" s="182"/>
      <c r="I218" s="182">
        <v>7628077.935731804</v>
      </c>
      <c r="J218" s="182"/>
      <c r="K218" s="182">
        <v>7502443.4649999999</v>
      </c>
      <c r="L218" s="182"/>
      <c r="M218" s="182">
        <v>7468392.2440661862</v>
      </c>
      <c r="N218" s="182">
        <v>34051.220933813602</v>
      </c>
      <c r="O218" s="182">
        <v>7650107.727</v>
      </c>
      <c r="P218" s="182">
        <v>147664.26199999999</v>
      </c>
      <c r="Q218" s="182">
        <v>-2.2372034944719621E-2</v>
      </c>
      <c r="R218" s="182">
        <v>0</v>
      </c>
      <c r="S218" s="182">
        <f t="shared" si="44"/>
        <v>101220399.20553252</v>
      </c>
      <c r="T218" s="192">
        <f t="shared" si="42"/>
        <v>2.9384395406371056E-3</v>
      </c>
      <c r="W218" s="182">
        <v>4517958.333333333</v>
      </c>
      <c r="X218" s="183">
        <f t="shared" si="41"/>
        <v>22404.013436496763</v>
      </c>
      <c r="Y218" s="192">
        <f t="shared" si="43"/>
        <v>-1.2701447364124041E-3</v>
      </c>
      <c r="AA218" s="181" t="s">
        <v>76</v>
      </c>
      <c r="AC218" s="182">
        <f t="shared" si="47"/>
        <v>102741225.61773312</v>
      </c>
      <c r="AD218" s="191">
        <f t="shared" si="45"/>
        <v>22740.63150598625</v>
      </c>
    </row>
    <row r="219" spans="1:30" ht="14.4">
      <c r="A219" s="187">
        <v>40513</v>
      </c>
      <c r="B219" s="182">
        <v>8887492</v>
      </c>
      <c r="C219" s="182">
        <v>171251.0411126884</v>
      </c>
      <c r="D219" s="182">
        <v>8716240.9588873107</v>
      </c>
      <c r="E219" s="182">
        <v>749690.57226427179</v>
      </c>
      <c r="F219" s="189">
        <f t="shared" si="46"/>
        <v>3149252.7221051734</v>
      </c>
      <c r="G219" s="182">
        <v>8137801.4277357282</v>
      </c>
      <c r="H219" s="182"/>
      <c r="I219" s="182">
        <v>7966550.3866230398</v>
      </c>
      <c r="J219" s="182"/>
      <c r="K219" s="182">
        <v>7968391.693</v>
      </c>
      <c r="L219" s="182"/>
      <c r="M219" s="182">
        <v>7283024.2098695617</v>
      </c>
      <c r="N219" s="182">
        <v>685367.48313043825</v>
      </c>
      <c r="O219" s="182">
        <v>8139636.6040000003</v>
      </c>
      <c r="P219" s="182">
        <v>171244.91099999999</v>
      </c>
      <c r="Q219" s="182">
        <v>2.5294417998263707E-2</v>
      </c>
      <c r="R219" s="182">
        <v>0</v>
      </c>
      <c r="S219" s="182">
        <f t="shared" si="44"/>
        <v>101400074.28755978</v>
      </c>
      <c r="T219" s="192">
        <f t="shared" si="42"/>
        <v>6.6109772351097273E-3</v>
      </c>
      <c r="W219" s="182">
        <v>4520327.666666667</v>
      </c>
      <c r="X219" s="183">
        <f t="shared" si="41"/>
        <v>22432.018597964419</v>
      </c>
      <c r="Y219" s="192">
        <f t="shared" si="43"/>
        <v>1.876481490351356E-3</v>
      </c>
      <c r="AA219" s="181" t="s">
        <v>77</v>
      </c>
      <c r="AB219" s="181">
        <f>YEAR(A219)</f>
        <v>2010</v>
      </c>
      <c r="AC219" s="182">
        <f>SUM(G208:G219)</f>
        <v>110704589.20563057</v>
      </c>
      <c r="AD219" s="191">
        <f t="shared" si="45"/>
        <v>24490.390380763081</v>
      </c>
    </row>
    <row r="220" spans="1:30" ht="14.4">
      <c r="A220" s="187">
        <v>40544</v>
      </c>
      <c r="B220" s="182">
        <v>7922768</v>
      </c>
      <c r="C220" s="182">
        <v>153595.019605701</v>
      </c>
      <c r="D220" s="182">
        <v>7769172.9803942991</v>
      </c>
      <c r="E220" s="182">
        <v>-282853.58211663458</v>
      </c>
      <c r="F220" s="189">
        <f t="shared" si="46"/>
        <v>2774681.109409865</v>
      </c>
      <c r="G220" s="182">
        <v>8205621.5821166346</v>
      </c>
      <c r="H220" s="182"/>
      <c r="I220" s="182">
        <v>8052026.5625109337</v>
      </c>
      <c r="J220" s="182"/>
      <c r="K220" s="182">
        <v>7428031.5939999996</v>
      </c>
      <c r="L220" s="182"/>
      <c r="M220" s="182">
        <v>7698465.1845173528</v>
      </c>
      <c r="N220" s="182">
        <v>-270433.59051735327</v>
      </c>
      <c r="O220" s="182">
        <v>7581323.4469999997</v>
      </c>
      <c r="P220" s="182">
        <v>153291.853</v>
      </c>
      <c r="Q220" s="182">
        <v>1.2972090082546073E-2</v>
      </c>
      <c r="R220" s="182">
        <v>0</v>
      </c>
      <c r="S220" s="182">
        <f t="shared" si="44"/>
        <v>101498660.6008932</v>
      </c>
      <c r="T220" s="192">
        <f t="shared" si="42"/>
        <v>7.0656640347168675E-3</v>
      </c>
      <c r="W220" s="182">
        <v>4522902.583333333</v>
      </c>
      <c r="X220" s="183">
        <f t="shared" si="41"/>
        <v>22441.045043709459</v>
      </c>
      <c r="Y220" s="192">
        <f t="shared" si="43"/>
        <v>1.8390929319722638E-3</v>
      </c>
      <c r="AA220" s="181" t="s">
        <v>66</v>
      </c>
      <c r="AC220" s="182">
        <f t="shared" si="47"/>
        <v>102438347.39059013</v>
      </c>
      <c r="AD220" s="191">
        <f t="shared" si="45"/>
        <v>22648.806933863721</v>
      </c>
    </row>
    <row r="221" spans="1:30" ht="14.4">
      <c r="A221" s="187">
        <v>40575</v>
      </c>
      <c r="B221" s="182">
        <v>7253717</v>
      </c>
      <c r="C221" s="182">
        <v>144200.32985114891</v>
      </c>
      <c r="D221" s="182">
        <v>7109516.6701488513</v>
      </c>
      <c r="E221" s="182">
        <v>14906.635231874883</v>
      </c>
      <c r="F221" s="189">
        <f t="shared" si="46"/>
        <v>2454317.9004640961</v>
      </c>
      <c r="G221" s="182">
        <v>7238810.3647681251</v>
      </c>
      <c r="H221" s="182"/>
      <c r="I221" s="182">
        <v>7094610.0349169765</v>
      </c>
      <c r="J221" s="182"/>
      <c r="K221" s="182">
        <v>6668738.3879999993</v>
      </c>
      <c r="L221" s="182"/>
      <c r="M221" s="182">
        <v>6654755.9395131553</v>
      </c>
      <c r="N221" s="182">
        <v>13982.448486844078</v>
      </c>
      <c r="O221" s="182">
        <v>6800802.7250000006</v>
      </c>
      <c r="P221" s="182">
        <v>132064.337</v>
      </c>
      <c r="Q221" s="182">
        <v>-3.4866937013636856E-2</v>
      </c>
      <c r="R221" s="182">
        <v>0</v>
      </c>
      <c r="S221" s="182">
        <f t="shared" si="44"/>
        <v>101258247.16456749</v>
      </c>
      <c r="T221" s="192">
        <f t="shared" si="42"/>
        <v>4.1861458557226339E-3</v>
      </c>
      <c r="W221" s="182">
        <v>4525296.75</v>
      </c>
      <c r="X221" s="183">
        <f t="shared" si="41"/>
        <v>22376.045761986214</v>
      </c>
      <c r="Y221" s="192">
        <f t="shared" si="43"/>
        <v>-1.4065268091143501E-3</v>
      </c>
      <c r="AA221" s="181" t="s">
        <v>67</v>
      </c>
      <c r="AC221" s="182">
        <f t="shared" si="47"/>
        <v>103027507.59953591</v>
      </c>
      <c r="AD221" s="191">
        <f t="shared" si="45"/>
        <v>22767.016903264062</v>
      </c>
    </row>
    <row r="222" spans="1:30" ht="14.4">
      <c r="A222" s="187">
        <v>40603</v>
      </c>
      <c r="B222" s="182">
        <v>8196116.5</v>
      </c>
      <c r="C222" s="182">
        <v>165380.44268487231</v>
      </c>
      <c r="D222" s="182">
        <v>8030736.0573151279</v>
      </c>
      <c r="E222" s="182">
        <v>120463.2989401063</v>
      </c>
      <c r="F222" s="189">
        <f t="shared" si="46"/>
        <v>3057455.5482298052</v>
      </c>
      <c r="G222" s="182">
        <v>8075653.2010598937</v>
      </c>
      <c r="H222" s="182"/>
      <c r="I222" s="182">
        <v>7910272.7583750216</v>
      </c>
      <c r="J222" s="182"/>
      <c r="K222" s="182">
        <v>7482396.0779999997</v>
      </c>
      <c r="L222" s="182"/>
      <c r="M222" s="182">
        <v>7370158.0329317199</v>
      </c>
      <c r="N222" s="182">
        <v>112238.04506827984</v>
      </c>
      <c r="O222" s="182">
        <v>7656680.3389999997</v>
      </c>
      <c r="P222" s="182">
        <v>174284.261</v>
      </c>
      <c r="Q222" s="182">
        <v>-7.7922004514401899E-2</v>
      </c>
      <c r="R222" s="182">
        <v>0</v>
      </c>
      <c r="S222" s="182">
        <f t="shared" si="44"/>
        <v>100635417.54459424</v>
      </c>
      <c r="T222" s="192">
        <f t="shared" si="42"/>
        <v>-6.5703927579279231E-3</v>
      </c>
      <c r="W222" s="182">
        <v>4527785.25</v>
      </c>
      <c r="X222" s="183">
        <f t="shared" si="41"/>
        <v>22226.19050773096</v>
      </c>
      <c r="Y222" s="192">
        <f t="shared" si="43"/>
        <v>-1.2395165665534336E-2</v>
      </c>
      <c r="AA222" s="181" t="s">
        <v>68</v>
      </c>
      <c r="AC222" s="182">
        <f t="shared" si="47"/>
        <v>101798335.45177019</v>
      </c>
      <c r="AD222" s="191">
        <f t="shared" si="45"/>
        <v>22483.030848640665</v>
      </c>
    </row>
    <row r="223" spans="1:30" ht="14.4">
      <c r="A223" s="187">
        <v>40634</v>
      </c>
      <c r="B223" s="182">
        <v>9460285</v>
      </c>
      <c r="C223" s="182">
        <v>187986.37370643561</v>
      </c>
      <c r="D223" s="182">
        <v>9272298.6262935642</v>
      </c>
      <c r="E223" s="182">
        <v>1078023.879715478</v>
      </c>
      <c r="F223" s="189">
        <f t="shared" si="46"/>
        <v>3594176.6233249698</v>
      </c>
      <c r="G223" s="182">
        <v>8382261.120284522</v>
      </c>
      <c r="H223" s="182"/>
      <c r="I223" s="182">
        <v>8194274.7465780862</v>
      </c>
      <c r="J223" s="182"/>
      <c r="K223" s="182">
        <v>9030384.3930000011</v>
      </c>
      <c r="L223" s="182"/>
      <c r="M223" s="182">
        <v>7980486.1519038389</v>
      </c>
      <c r="N223" s="182">
        <v>1049898.2410961622</v>
      </c>
      <c r="O223" s="182">
        <v>9198493.8669999987</v>
      </c>
      <c r="P223" s="182">
        <v>168109.47399999999</v>
      </c>
      <c r="Q223" s="182">
        <v>1.323873198926484E-2</v>
      </c>
      <c r="R223" s="182">
        <v>0</v>
      </c>
      <c r="S223" s="182">
        <f t="shared" si="44"/>
        <v>100739688.6447541</v>
      </c>
      <c r="T223" s="192">
        <f t="shared" si="42"/>
        <v>-4.4335412186624623E-3</v>
      </c>
      <c r="W223" s="182">
        <v>4530287.333333333</v>
      </c>
      <c r="X223" s="183">
        <f t="shared" si="41"/>
        <v>22236.93139804247</v>
      </c>
      <c r="Y223" s="192">
        <f t="shared" si="43"/>
        <v>-1.049215681317861E-2</v>
      </c>
      <c r="AA223" s="181" t="s">
        <v>69</v>
      </c>
      <c r="AC223" s="182">
        <f t="shared" si="47"/>
        <v>101419859.87667502</v>
      </c>
      <c r="AD223" s="191">
        <f t="shared" si="45"/>
        <v>22387.070049716134</v>
      </c>
    </row>
    <row r="224" spans="1:30" ht="14.4">
      <c r="A224" s="187">
        <v>40664</v>
      </c>
      <c r="B224" s="182">
        <v>10098308</v>
      </c>
      <c r="C224" s="182">
        <v>198292.64457133261</v>
      </c>
      <c r="D224" s="182">
        <v>9900015.3554286677</v>
      </c>
      <c r="E224" s="182">
        <v>545548.90372926369</v>
      </c>
      <c r="F224" s="189">
        <f t="shared" si="46"/>
        <v>3938216.3160367534</v>
      </c>
      <c r="G224" s="182">
        <v>9552759.0962707363</v>
      </c>
      <c r="H224" s="182"/>
      <c r="I224" s="182">
        <v>9354466.451699404</v>
      </c>
      <c r="J224" s="182"/>
      <c r="K224" s="182">
        <v>8843049.5600000005</v>
      </c>
      <c r="L224" s="182"/>
      <c r="M224" s="182">
        <v>8355745.6700685443</v>
      </c>
      <c r="N224" s="182">
        <v>487303.88993145619</v>
      </c>
      <c r="O224" s="182">
        <v>9058096.4979999997</v>
      </c>
      <c r="P224" s="182">
        <v>215046.93799999999</v>
      </c>
      <c r="Q224" s="182">
        <v>-4.0840554481804681E-3</v>
      </c>
      <c r="R224" s="182">
        <v>0</v>
      </c>
      <c r="S224" s="182">
        <f t="shared" si="44"/>
        <v>100705423.37486447</v>
      </c>
      <c r="T224" s="192">
        <f t="shared" si="42"/>
        <v>-3.5732556451226749E-3</v>
      </c>
      <c r="W224" s="182">
        <v>4532627.583333333</v>
      </c>
      <c r="X224" s="183">
        <f t="shared" si="41"/>
        <v>22217.890511270471</v>
      </c>
      <c r="Y224" s="192">
        <f t="shared" si="43"/>
        <v>-9.7338537748595799E-3</v>
      </c>
      <c r="AA224" s="181" t="s">
        <v>70</v>
      </c>
      <c r="AC224" s="182">
        <f t="shared" si="47"/>
        <v>100140990.18396325</v>
      </c>
      <c r="AD224" s="191">
        <f t="shared" si="45"/>
        <v>22093.363803411954</v>
      </c>
    </row>
    <row r="225" spans="1:30" ht="14.4">
      <c r="A225" s="187">
        <v>40695</v>
      </c>
      <c r="B225" s="182">
        <v>10539641</v>
      </c>
      <c r="C225" s="182">
        <v>203786.3274172094</v>
      </c>
      <c r="D225" s="182">
        <v>10335854.67258279</v>
      </c>
      <c r="E225" s="182">
        <v>408087.37402051315</v>
      </c>
      <c r="F225" s="189">
        <f t="shared" si="46"/>
        <v>3376546.103945069</v>
      </c>
      <c r="G225" s="182">
        <v>10131553.625979487</v>
      </c>
      <c r="H225" s="182"/>
      <c r="I225" s="182">
        <v>9927767.2985622771</v>
      </c>
      <c r="J225" s="182"/>
      <c r="K225" s="182">
        <v>10107182.301000001</v>
      </c>
      <c r="L225" s="182"/>
      <c r="M225" s="182">
        <v>9708123.5279598981</v>
      </c>
      <c r="N225" s="182">
        <v>399058.77304010279</v>
      </c>
      <c r="O225" s="182">
        <v>10309364.151000001</v>
      </c>
      <c r="P225" s="182">
        <v>202181.85</v>
      </c>
      <c r="Q225" s="182">
        <v>7.2482146368184619E-3</v>
      </c>
      <c r="R225" s="182">
        <v>0</v>
      </c>
      <c r="S225" s="182">
        <f t="shared" si="44"/>
        <v>100775283.57618216</v>
      </c>
      <c r="T225" s="192">
        <f t="shared" si="42"/>
        <v>-2.2469120708565882E-3</v>
      </c>
      <c r="W225" s="182">
        <v>4534912.583333333</v>
      </c>
      <c r="X225" s="183">
        <f t="shared" si="41"/>
        <v>22222.100586139302</v>
      </c>
      <c r="Y225" s="192">
        <f t="shared" si="43"/>
        <v>-8.4753068535500242E-3</v>
      </c>
      <c r="AA225" s="181" t="s">
        <v>71</v>
      </c>
      <c r="AC225" s="182">
        <f t="shared" si="47"/>
        <v>99391461.396054938</v>
      </c>
      <c r="AD225" s="191">
        <f t="shared" si="45"/>
        <v>21916.951996238578</v>
      </c>
    </row>
    <row r="226" spans="1:30" ht="14.4">
      <c r="A226" s="187">
        <v>40725</v>
      </c>
      <c r="B226" s="182">
        <v>11211614</v>
      </c>
      <c r="C226" s="182">
        <v>215964.36599999998</v>
      </c>
      <c r="D226" s="182">
        <v>10995649.634</v>
      </c>
      <c r="E226" s="182">
        <v>446402.32191172242</v>
      </c>
      <c r="F226" s="189">
        <f t="shared" si="46"/>
        <v>3184466.5098120831</v>
      </c>
      <c r="G226" s="182">
        <v>10765211.678088278</v>
      </c>
      <c r="H226" s="182"/>
      <c r="I226" s="182">
        <v>10549247.312088277</v>
      </c>
      <c r="J226" s="182"/>
      <c r="K226" s="182">
        <v>10831587.262999998</v>
      </c>
      <c r="L226" s="182"/>
      <c r="M226" s="182">
        <v>10391845.559222769</v>
      </c>
      <c r="N226" s="182">
        <v>439741.70377722941</v>
      </c>
      <c r="O226" s="182">
        <v>11047731.073999999</v>
      </c>
      <c r="P226" s="182">
        <v>216143.81099999999</v>
      </c>
      <c r="Q226" s="182">
        <v>7.1612201543804987E-2</v>
      </c>
      <c r="R226" s="182">
        <v>0</v>
      </c>
      <c r="S226" s="182">
        <f t="shared" si="44"/>
        <v>101469735.29810829</v>
      </c>
      <c r="T226" s="192">
        <f t="shared" si="42"/>
        <v>3.9508323362325015E-3</v>
      </c>
      <c r="W226" s="182">
        <v>4537154</v>
      </c>
      <c r="X226" s="183">
        <f t="shared" si="41"/>
        <v>22364.181444603444</v>
      </c>
      <c r="Y226" s="192">
        <f t="shared" si="43"/>
        <v>-2.359253944918982E-3</v>
      </c>
      <c r="AA226" s="181" t="s">
        <v>72</v>
      </c>
      <c r="AC226" s="182">
        <f t="shared" si="47"/>
        <v>98473661.990187928</v>
      </c>
      <c r="AD226" s="191">
        <f t="shared" si="45"/>
        <v>21703.839453143519</v>
      </c>
    </row>
    <row r="227" spans="1:30" ht="14.4">
      <c r="A227" s="187">
        <v>40756</v>
      </c>
      <c r="B227" s="182">
        <v>11325605</v>
      </c>
      <c r="C227" s="182">
        <v>214171.87099999998</v>
      </c>
      <c r="D227" s="182">
        <v>11111433.129000001</v>
      </c>
      <c r="E227" s="182">
        <v>176797.11468968913</v>
      </c>
      <c r="F227" s="189">
        <f t="shared" si="46"/>
        <v>3284326.6983731445</v>
      </c>
      <c r="G227" s="182">
        <v>11148807.885310311</v>
      </c>
      <c r="H227" s="182"/>
      <c r="I227" s="182">
        <v>10934636.014310312</v>
      </c>
      <c r="J227" s="182"/>
      <c r="K227" s="182">
        <v>10352319.1</v>
      </c>
      <c r="L227" s="182"/>
      <c r="M227" s="182">
        <v>10187600.46056094</v>
      </c>
      <c r="N227" s="182">
        <v>164718.63943905942</v>
      </c>
      <c r="O227" s="182">
        <v>10567032.466</v>
      </c>
      <c r="P227" s="182">
        <v>214713.36600000001</v>
      </c>
      <c r="Q227" s="182">
        <v>-1.6645001501297441E-2</v>
      </c>
      <c r="R227" s="182">
        <v>0</v>
      </c>
      <c r="S227" s="182">
        <f t="shared" si="44"/>
        <v>101297292.36018705</v>
      </c>
      <c r="T227" s="192">
        <f t="shared" si="42"/>
        <v>5.6914562789844858E-4</v>
      </c>
      <c r="W227" s="182">
        <v>4539117.5</v>
      </c>
      <c r="X227" s="183">
        <f t="shared" si="41"/>
        <v>22316.51689126511</v>
      </c>
      <c r="Y227" s="192">
        <f t="shared" si="43"/>
        <v>-5.6390058757563866E-3</v>
      </c>
      <c r="AA227" s="181" t="s">
        <v>73</v>
      </c>
      <c r="AC227" s="182">
        <f t="shared" si="47"/>
        <v>98063916.801626861</v>
      </c>
      <c r="AD227" s="191">
        <f t="shared" si="45"/>
        <v>21604.181165529833</v>
      </c>
    </row>
    <row r="228" spans="1:30" ht="14.4">
      <c r="A228" s="187">
        <v>40787</v>
      </c>
      <c r="B228" s="182">
        <v>10530592</v>
      </c>
      <c r="C228" s="182">
        <v>198021.58000000002</v>
      </c>
      <c r="D228" s="182">
        <v>10332570.42</v>
      </c>
      <c r="E228" s="182">
        <v>268604.11029650271</v>
      </c>
      <c r="F228" s="189">
        <f t="shared" si="46"/>
        <v>3042654.0871553067</v>
      </c>
      <c r="G228" s="182">
        <v>10261987.889703497</v>
      </c>
      <c r="H228" s="182"/>
      <c r="I228" s="182">
        <v>10063966.309703497</v>
      </c>
      <c r="J228" s="182"/>
      <c r="K228" s="182">
        <v>9673442</v>
      </c>
      <c r="L228" s="182"/>
      <c r="M228" s="182">
        <v>9421972.5034180619</v>
      </c>
      <c r="N228" s="182">
        <v>251469.49658193812</v>
      </c>
      <c r="O228" s="182">
        <v>9870682.3800000008</v>
      </c>
      <c r="P228" s="182">
        <v>197241</v>
      </c>
      <c r="Q228" s="182">
        <v>-3.2457832380617835E-2</v>
      </c>
      <c r="R228" s="182">
        <v>0</v>
      </c>
      <c r="S228" s="182">
        <f t="shared" si="44"/>
        <v>100981216.415959</v>
      </c>
      <c r="T228" s="192">
        <f t="shared" si="42"/>
        <v>-3.2704421193443522E-3</v>
      </c>
      <c r="W228" s="182">
        <v>4540873.5</v>
      </c>
      <c r="X228" s="183">
        <f t="shared" si="41"/>
        <v>22238.280017260779</v>
      </c>
      <c r="Y228" s="192">
        <f t="shared" si="43"/>
        <v>-9.3073614276666383E-3</v>
      </c>
      <c r="AA228" s="181" t="s">
        <v>74</v>
      </c>
      <c r="AC228" s="182">
        <f t="shared" si="47"/>
        <v>98964740.412844688</v>
      </c>
      <c r="AD228" s="191">
        <f t="shared" si="45"/>
        <v>21794.207747219712</v>
      </c>
    </row>
    <row r="229" spans="1:30" ht="14.4">
      <c r="A229" s="187">
        <v>40817</v>
      </c>
      <c r="B229" s="182">
        <v>9050810</v>
      </c>
      <c r="C229" s="182">
        <v>174416.89799999999</v>
      </c>
      <c r="D229" s="182">
        <v>8876393.102</v>
      </c>
      <c r="E229" s="182">
        <v>-543723.50084531493</v>
      </c>
      <c r="F229" s="189">
        <f t="shared" si="46"/>
        <v>3560449.9169956539</v>
      </c>
      <c r="G229" s="182">
        <v>9594533.5008453149</v>
      </c>
      <c r="H229" s="182"/>
      <c r="I229" s="182">
        <v>9420116.6028453149</v>
      </c>
      <c r="J229" s="182"/>
      <c r="K229" s="182">
        <v>8313026.4949999992</v>
      </c>
      <c r="L229" s="182"/>
      <c r="M229" s="182">
        <v>8822240.9717070777</v>
      </c>
      <c r="N229" s="182">
        <v>-509214.47670707852</v>
      </c>
      <c r="O229" s="182">
        <v>8483851.0749999993</v>
      </c>
      <c r="P229" s="182">
        <v>170824.58</v>
      </c>
      <c r="Q229" s="182">
        <v>4.2738344087564828E-2</v>
      </c>
      <c r="R229" s="182">
        <v>0</v>
      </c>
      <c r="S229" s="182">
        <f t="shared" si="44"/>
        <v>101342810.45573911</v>
      </c>
      <c r="T229" s="192">
        <f t="shared" si="42"/>
        <v>-4.7829950960709411E-4</v>
      </c>
      <c r="W229" s="182">
        <v>4542776.833333333</v>
      </c>
      <c r="X229" s="183">
        <f t="shared" si="41"/>
        <v>22308.5601987138</v>
      </c>
      <c r="Y229" s="192">
        <f t="shared" si="43"/>
        <v>-6.4205715448452105E-3</v>
      </c>
      <c r="AA229" s="181" t="s">
        <v>75</v>
      </c>
      <c r="AC229" s="182">
        <f t="shared" si="47"/>
        <v>99677615.583004341</v>
      </c>
      <c r="AD229" s="191">
        <f t="shared" si="45"/>
        <v>21942.001388138702</v>
      </c>
    </row>
    <row r="230" spans="1:30" ht="14.4">
      <c r="A230" s="187">
        <v>40848</v>
      </c>
      <c r="B230" s="182">
        <v>8021393</v>
      </c>
      <c r="C230" s="182">
        <v>157438.016</v>
      </c>
      <c r="D230" s="182">
        <v>7863954.9840000002</v>
      </c>
      <c r="E230" s="182">
        <v>84334.380013857037</v>
      </c>
      <c r="F230" s="189">
        <f t="shared" si="46"/>
        <v>2981947.1278374726</v>
      </c>
      <c r="G230" s="182">
        <v>7937058.619986143</v>
      </c>
      <c r="H230" s="182"/>
      <c r="I230" s="182">
        <v>7779620.6039861431</v>
      </c>
      <c r="J230" s="182"/>
      <c r="K230" s="182">
        <v>7423424</v>
      </c>
      <c r="L230" s="182"/>
      <c r="M230" s="182">
        <v>7343813.9485826474</v>
      </c>
      <c r="N230" s="182">
        <v>79610.051417352632</v>
      </c>
      <c r="O230" s="182">
        <v>7586718</v>
      </c>
      <c r="P230" s="182">
        <v>163293.89799999999</v>
      </c>
      <c r="Q230" s="182">
        <v>-1.6680738157870523E-2</v>
      </c>
      <c r="R230" s="182">
        <v>0</v>
      </c>
      <c r="S230" s="182">
        <f t="shared" si="44"/>
        <v>101218232.16025555</v>
      </c>
      <c r="T230" s="192">
        <f t="shared" si="42"/>
        <v>-2.1409175363640287E-5</v>
      </c>
      <c r="W230" s="182">
        <v>4544794.25</v>
      </c>
      <c r="X230" s="183">
        <f t="shared" si="41"/>
        <v>22271.246307851132</v>
      </c>
      <c r="Y230" s="192">
        <f t="shared" si="43"/>
        <v>-5.9260421808777775E-3</v>
      </c>
      <c r="AA230" s="181" t="s">
        <v>76</v>
      </c>
      <c r="AC230" s="182">
        <f t="shared" si="47"/>
        <v>101495001.37216252</v>
      </c>
      <c r="AD230" s="191">
        <f t="shared" si="45"/>
        <v>22332.144380829235</v>
      </c>
    </row>
    <row r="231" spans="1:30" ht="14.4">
      <c r="A231" s="187">
        <v>40878</v>
      </c>
      <c r="B231" s="182">
        <v>7931422</v>
      </c>
      <c r="C231" s="182">
        <v>157798.44399999999</v>
      </c>
      <c r="D231" s="182">
        <v>7773623.5559999999</v>
      </c>
      <c r="E231" s="182">
        <v>-241576.92046247795</v>
      </c>
      <c r="F231" s="189">
        <f t="shared" si="46"/>
        <v>2316590.9355870578</v>
      </c>
      <c r="G231" s="182">
        <v>8172998.920462478</v>
      </c>
      <c r="H231" s="182"/>
      <c r="I231" s="182">
        <v>8015200.4764624778</v>
      </c>
      <c r="J231" s="182"/>
      <c r="K231" s="182">
        <v>7404061.023</v>
      </c>
      <c r="L231" s="182"/>
      <c r="M231" s="182">
        <v>7634153.2377782743</v>
      </c>
      <c r="N231" s="182">
        <v>-230092.2147782743</v>
      </c>
      <c r="O231" s="182">
        <v>7560800.04</v>
      </c>
      <c r="P231" s="182">
        <v>156739.01699999999</v>
      </c>
      <c r="Q231" s="182">
        <v>4.821198142289318E-2</v>
      </c>
      <c r="R231" s="182">
        <v>0</v>
      </c>
      <c r="S231" s="182">
        <f t="shared" si="44"/>
        <v>101569361.18816426</v>
      </c>
      <c r="T231" s="192">
        <f t="shared" si="42"/>
        <v>1.6694948380846508E-3</v>
      </c>
      <c r="W231" s="182">
        <v>4547050.833333333</v>
      </c>
      <c r="X231" s="183">
        <f t="shared" si="41"/>
        <v>22337.414933561722</v>
      </c>
      <c r="Y231" s="192">
        <f t="shared" si="43"/>
        <v>-4.2173495884708645E-3</v>
      </c>
      <c r="AA231" s="181" t="s">
        <v>77</v>
      </c>
      <c r="AB231" s="181">
        <f>YEAR(A231)</f>
        <v>2011</v>
      </c>
      <c r="AC231" s="182">
        <f>SUM(G220:G231)</f>
        <v>109467257.48487541</v>
      </c>
      <c r="AD231" s="191">
        <f t="shared" si="45"/>
        <v>24074.342138952426</v>
      </c>
    </row>
    <row r="232" spans="1:30" ht="14.4">
      <c r="A232" s="187">
        <v>40909</v>
      </c>
      <c r="B232" s="182">
        <v>7979304</v>
      </c>
      <c r="C232" s="182">
        <v>162071.60399999999</v>
      </c>
      <c r="D232" s="182">
        <v>7817232.3959999997</v>
      </c>
      <c r="E232" s="182">
        <v>-193498.53899823502</v>
      </c>
      <c r="F232" s="189">
        <f t="shared" si="46"/>
        <v>2357867.5972412145</v>
      </c>
      <c r="G232" s="182">
        <v>8172802.538998235</v>
      </c>
      <c r="H232" s="182"/>
      <c r="I232" s="182">
        <v>8010730.9349982347</v>
      </c>
      <c r="J232" s="182"/>
      <c r="K232" s="182">
        <v>7358778.4931979077</v>
      </c>
      <c r="L232" s="182"/>
      <c r="M232" s="182">
        <v>7540929.0056956597</v>
      </c>
      <c r="N232" s="182">
        <v>-182150.51249775197</v>
      </c>
      <c r="O232" s="182">
        <v>7519892.1339999996</v>
      </c>
      <c r="P232" s="182">
        <v>161113.44400000002</v>
      </c>
      <c r="Q232" s="182">
        <v>-2.0463322889154534E-2</v>
      </c>
      <c r="R232" s="182">
        <v>0</v>
      </c>
      <c r="S232" s="182">
        <f t="shared" si="44"/>
        <v>101411825.0093426</v>
      </c>
      <c r="T232" s="192">
        <f t="shared" si="42"/>
        <v>-8.5553435913854337E-4</v>
      </c>
      <c r="W232" s="182">
        <v>4549299.666666667</v>
      </c>
      <c r="X232" s="183">
        <f t="shared" si="41"/>
        <v>22291.744321087644</v>
      </c>
      <c r="Y232" s="192">
        <f t="shared" si="43"/>
        <v>-6.65302005013646E-3</v>
      </c>
      <c r="AA232" s="181" t="s">
        <v>66</v>
      </c>
      <c r="AC232" s="182">
        <f t="shared" si="47"/>
        <v>101261635.90275878</v>
      </c>
      <c r="AD232" s="191">
        <f t="shared" si="45"/>
        <v>22258.730644788353</v>
      </c>
    </row>
    <row r="233" spans="1:30" ht="14.4">
      <c r="A233" s="187">
        <v>40940</v>
      </c>
      <c r="B233" s="182">
        <v>7702146</v>
      </c>
      <c r="C233" s="182">
        <v>159613.859</v>
      </c>
      <c r="D233" s="182">
        <v>7542532.1409999998</v>
      </c>
      <c r="E233" s="182">
        <v>72426.503122698516</v>
      </c>
      <c r="F233" s="189">
        <f t="shared" si="46"/>
        <v>2149462.4230111046</v>
      </c>
      <c r="G233" s="182">
        <v>7629719.4968773015</v>
      </c>
      <c r="H233" s="182"/>
      <c r="I233" s="182">
        <v>7470105.6378773013</v>
      </c>
      <c r="J233" s="182"/>
      <c r="K233" s="182">
        <v>7121778.1245228592</v>
      </c>
      <c r="L233" s="182"/>
      <c r="M233" s="182">
        <v>7053391.8749275701</v>
      </c>
      <c r="N233" s="182">
        <v>68386.249595289119</v>
      </c>
      <c r="O233" s="182">
        <v>7280572</v>
      </c>
      <c r="P233" s="182">
        <v>158793.60399999999</v>
      </c>
      <c r="Q233" s="182">
        <v>5.9902412505841385E-2</v>
      </c>
      <c r="R233" s="182">
        <v>0</v>
      </c>
      <c r="S233" s="182">
        <f t="shared" si="44"/>
        <v>101810460.944757</v>
      </c>
      <c r="T233" s="192">
        <f t="shared" si="42"/>
        <v>5.4535190530411448E-3</v>
      </c>
      <c r="W233" s="182">
        <v>4551492.833333333</v>
      </c>
      <c r="X233" s="183">
        <f t="shared" si="41"/>
        <v>22368.586455665154</v>
      </c>
      <c r="Y233" s="192">
        <f t="shared" si="43"/>
        <v>-3.3336123819216468E-4</v>
      </c>
      <c r="AA233" s="181" t="s">
        <v>67</v>
      </c>
      <c r="AC233" s="182">
        <f t="shared" si="47"/>
        <v>102195628.07698889</v>
      </c>
      <c r="AD233" s="191">
        <f t="shared" si="45"/>
        <v>22453.210807792235</v>
      </c>
    </row>
    <row r="234" spans="1:30" ht="14.4">
      <c r="A234" s="187">
        <v>40969</v>
      </c>
      <c r="B234" s="182">
        <v>8639929</v>
      </c>
      <c r="C234" s="182">
        <v>179548.94899999999</v>
      </c>
      <c r="D234" s="182">
        <v>8460380.0510000009</v>
      </c>
      <c r="E234" s="182">
        <v>265279.30784825888</v>
      </c>
      <c r="F234" s="189">
        <f t="shared" si="46"/>
        <v>2101425.6271936968</v>
      </c>
      <c r="G234" s="182">
        <v>8374649.6921517411</v>
      </c>
      <c r="H234" s="182"/>
      <c r="I234" s="182">
        <v>8195100.7431517411</v>
      </c>
      <c r="J234" s="182"/>
      <c r="K234" s="182">
        <v>7968720.2680297131</v>
      </c>
      <c r="L234" s="182"/>
      <c r="M234" s="182">
        <v>7718857.1904378906</v>
      </c>
      <c r="N234" s="182">
        <v>249863.07759182248</v>
      </c>
      <c r="O234" s="182">
        <v>8149116.318</v>
      </c>
      <c r="P234" s="182">
        <v>180396.859</v>
      </c>
      <c r="Q234" s="182">
        <v>4.7312304016833062E-2</v>
      </c>
      <c r="R234" s="182">
        <v>0</v>
      </c>
      <c r="S234" s="182">
        <f t="shared" si="44"/>
        <v>102159160.10226318</v>
      </c>
      <c r="T234" s="192">
        <f t="shared" si="42"/>
        <v>1.5141215636072847E-2</v>
      </c>
      <c r="W234" s="182">
        <v>4553772.5</v>
      </c>
      <c r="X234" s="183">
        <f t="shared" si="41"/>
        <v>22433.962193382122</v>
      </c>
      <c r="Y234" s="192">
        <f t="shared" si="43"/>
        <v>9.3480565452226383E-3</v>
      </c>
      <c r="AA234" s="181" t="s">
        <v>68</v>
      </c>
      <c r="AC234" s="182">
        <f t="shared" si="47"/>
        <v>101749694.3728063</v>
      </c>
      <c r="AD234" s="191">
        <f t="shared" si="45"/>
        <v>22344.044278190508</v>
      </c>
    </row>
    <row r="235" spans="1:30" ht="14.4">
      <c r="A235" s="187">
        <v>41000</v>
      </c>
      <c r="B235" s="182">
        <v>8509236</v>
      </c>
      <c r="C235" s="182">
        <v>174621.68152319573</v>
      </c>
      <c r="D235" s="182">
        <v>8334614.3184768045</v>
      </c>
      <c r="E235" s="182">
        <v>-163159.42113757692</v>
      </c>
      <c r="F235" s="189">
        <f t="shared" si="46"/>
        <v>1288681.0553264776</v>
      </c>
      <c r="G235" s="182">
        <v>8672395.4211375769</v>
      </c>
      <c r="H235" s="182"/>
      <c r="I235" s="182">
        <v>8497773.7396143805</v>
      </c>
      <c r="J235" s="182"/>
      <c r="K235" s="182">
        <v>7842299.5860000001</v>
      </c>
      <c r="L235" s="182"/>
      <c r="M235" s="182">
        <v>7995821.3942020452</v>
      </c>
      <c r="N235" s="182">
        <v>-153521.80820204504</v>
      </c>
      <c r="O235" s="182">
        <v>8016770.5350000001</v>
      </c>
      <c r="P235" s="182">
        <v>174470.94899999999</v>
      </c>
      <c r="Q235" s="182">
        <v>1.9215924952826757E-3</v>
      </c>
      <c r="R235" s="182">
        <v>0</v>
      </c>
      <c r="S235" s="182">
        <f t="shared" si="44"/>
        <v>102174495.34456135</v>
      </c>
      <c r="T235" s="192">
        <f t="shared" si="42"/>
        <v>1.4242715250658788E-2</v>
      </c>
      <c r="W235" s="182">
        <v>4556004.5</v>
      </c>
      <c r="X235" s="183">
        <f t="shared" si="41"/>
        <v>22426.337670334029</v>
      </c>
      <c r="Y235" s="192">
        <f t="shared" si="43"/>
        <v>8.5176443143692993E-3</v>
      </c>
      <c r="AA235" s="181" t="s">
        <v>69</v>
      </c>
      <c r="AC235" s="182">
        <f t="shared" si="47"/>
        <v>101742082.94467351</v>
      </c>
      <c r="AD235" s="191">
        <f t="shared" si="45"/>
        <v>22331.427228544992</v>
      </c>
    </row>
    <row r="236" spans="1:30" ht="14.4">
      <c r="A236" s="187">
        <v>41030</v>
      </c>
      <c r="B236" s="182">
        <v>9894790</v>
      </c>
      <c r="C236" s="182">
        <v>205372.96460343874</v>
      </c>
      <c r="D236" s="182">
        <v>9689417.035396561</v>
      </c>
      <c r="E236" s="182">
        <v>-57534.031609222293</v>
      </c>
      <c r="F236" s="189">
        <f t="shared" si="46"/>
        <v>579972.73045963701</v>
      </c>
      <c r="G236" s="182">
        <v>9952324.0316092223</v>
      </c>
      <c r="H236" s="182"/>
      <c r="I236" s="182">
        <v>9746951.0670057833</v>
      </c>
      <c r="J236" s="182"/>
      <c r="K236" s="182">
        <v>9116431.287363667</v>
      </c>
      <c r="L236" s="182"/>
      <c r="M236" s="182">
        <v>9170563.0317126215</v>
      </c>
      <c r="N236" s="182">
        <v>-54131.744348954409</v>
      </c>
      <c r="O236" s="182">
        <v>9321939.8550000004</v>
      </c>
      <c r="P236" s="182">
        <v>205508.68099999998</v>
      </c>
      <c r="Q236" s="182">
        <v>9.7515816519268661E-2</v>
      </c>
      <c r="R236" s="182">
        <v>0</v>
      </c>
      <c r="S236" s="182">
        <f t="shared" si="44"/>
        <v>102989312.70620544</v>
      </c>
      <c r="T236" s="192">
        <f t="shared" si="42"/>
        <v>2.2678910974232691E-2</v>
      </c>
      <c r="W236" s="182">
        <v>4558249.5</v>
      </c>
      <c r="X236" s="183">
        <f t="shared" si="41"/>
        <v>22594.049032683586</v>
      </c>
      <c r="Y236" s="192">
        <f t="shared" si="43"/>
        <v>1.6930433662111222E-2</v>
      </c>
      <c r="AA236" s="181" t="s">
        <v>70</v>
      </c>
      <c r="AC236" s="182">
        <f t="shared" si="47"/>
        <v>100861719.26954034</v>
      </c>
      <c r="AD236" s="191">
        <f t="shared" si="45"/>
        <v>22127.292345348877</v>
      </c>
    </row>
    <row r="237" spans="1:30" ht="14.4">
      <c r="A237" s="187">
        <v>41061</v>
      </c>
      <c r="B237" s="182">
        <v>10242699</v>
      </c>
      <c r="C237" s="182">
        <v>205879.921</v>
      </c>
      <c r="D237" s="182">
        <v>10036819.079</v>
      </c>
      <c r="E237" s="182">
        <v>35469.395614406094</v>
      </c>
      <c r="F237" s="189">
        <f t="shared" si="46"/>
        <v>114351.32482990157</v>
      </c>
      <c r="G237" s="182">
        <v>10207229.604385594</v>
      </c>
      <c r="H237" s="182"/>
      <c r="I237" s="182">
        <v>10001349.683385594</v>
      </c>
      <c r="J237" s="182"/>
      <c r="K237" s="182">
        <v>9440381.8751888722</v>
      </c>
      <c r="L237" s="182"/>
      <c r="M237" s="182">
        <v>9407020.245687874</v>
      </c>
      <c r="N237" s="182">
        <v>33361.629500998184</v>
      </c>
      <c r="O237" s="182">
        <v>9643564.682</v>
      </c>
      <c r="P237" s="182">
        <v>203182.96499999997</v>
      </c>
      <c r="Q237" s="182">
        <v>-3.1015600636398077E-2</v>
      </c>
      <c r="R237" s="182">
        <v>0</v>
      </c>
      <c r="S237" s="182">
        <f t="shared" si="44"/>
        <v>102688209.42393343</v>
      </c>
      <c r="T237" s="192">
        <f t="shared" si="42"/>
        <v>1.898209342477486E-2</v>
      </c>
      <c r="W237" s="182">
        <v>4560416.916666667</v>
      </c>
      <c r="X237" s="183">
        <f t="shared" si="41"/>
        <v>22517.285436918133</v>
      </c>
      <c r="Y237" s="192">
        <f t="shared" si="43"/>
        <v>1.3283390993331645E-2</v>
      </c>
      <c r="AA237" s="181" t="s">
        <v>71</v>
      </c>
      <c r="AC237" s="182">
        <f t="shared" si="47"/>
        <v>100682489.67517008</v>
      </c>
      <c r="AD237" s="191">
        <f t="shared" si="45"/>
        <v>22077.474826306374</v>
      </c>
    </row>
    <row r="238" spans="1:30" ht="14.4">
      <c r="A238" s="187">
        <v>41091</v>
      </c>
      <c r="B238" s="182">
        <v>11225750</v>
      </c>
      <c r="C238" s="182">
        <v>223288.74248104289</v>
      </c>
      <c r="D238" s="182">
        <v>11002461.257518956</v>
      </c>
      <c r="E238" s="182">
        <v>-20761.111012168229</v>
      </c>
      <c r="F238" s="189">
        <f t="shared" si="46"/>
        <v>-296581.60146741476</v>
      </c>
      <c r="G238" s="182">
        <v>11246511.111012168</v>
      </c>
      <c r="H238" s="182"/>
      <c r="I238" s="182">
        <v>11023222.368531125</v>
      </c>
      <c r="J238" s="182"/>
      <c r="K238" s="182">
        <v>10318818.687670443</v>
      </c>
      <c r="L238" s="182"/>
      <c r="M238" s="182">
        <v>10338289.798295146</v>
      </c>
      <c r="N238" s="182">
        <v>-19471.110624702647</v>
      </c>
      <c r="O238" s="182">
        <v>10544138.489</v>
      </c>
      <c r="P238" s="182">
        <v>225319.92099999997</v>
      </c>
      <c r="Q238" s="182">
        <v>-5.1536332620043535E-3</v>
      </c>
      <c r="R238" s="182">
        <v>0</v>
      </c>
      <c r="S238" s="182">
        <f t="shared" si="44"/>
        <v>102634653.6630058</v>
      </c>
      <c r="T238" s="192">
        <f t="shared" si="42"/>
        <v>1.1480451402332781E-2</v>
      </c>
      <c r="W238" s="182">
        <v>4562703.25</v>
      </c>
      <c r="X238" s="183">
        <f t="shared" si="41"/>
        <v>22494.264483013616</v>
      </c>
      <c r="Y238" s="192">
        <f t="shared" si="43"/>
        <v>5.8165794590958608E-3</v>
      </c>
      <c r="AA238" s="181" t="s">
        <v>72</v>
      </c>
      <c r="AC238" s="182">
        <f t="shared" si="47"/>
        <v>100124507.6014674</v>
      </c>
      <c r="AD238" s="191">
        <f t="shared" si="45"/>
        <v>21944.119991031061</v>
      </c>
    </row>
    <row r="239" spans="1:30" ht="14.4">
      <c r="A239" s="187">
        <v>41122</v>
      </c>
      <c r="B239" s="182">
        <v>11202980</v>
      </c>
      <c r="C239" s="182">
        <v>226481.851</v>
      </c>
      <c r="D239" s="182">
        <v>10976498.149</v>
      </c>
      <c r="E239" s="182">
        <v>-103013.65000393428</v>
      </c>
      <c r="F239" s="189">
        <f t="shared" si="46"/>
        <v>-494139.82716927212</v>
      </c>
      <c r="G239" s="182">
        <v>11305993.650003934</v>
      </c>
      <c r="H239" s="182"/>
      <c r="I239" s="182">
        <v>11079511.799003934</v>
      </c>
      <c r="J239" s="182"/>
      <c r="K239" s="182">
        <v>10288183.238910183</v>
      </c>
      <c r="L239" s="182"/>
      <c r="M239" s="182">
        <v>10384737.102716556</v>
      </c>
      <c r="N239" s="182">
        <v>-96553.863806372508</v>
      </c>
      <c r="O239" s="182">
        <v>10514843.429</v>
      </c>
      <c r="P239" s="182">
        <v>226659.74199999997</v>
      </c>
      <c r="Q239" s="182">
        <v>1.9350645220018947E-2</v>
      </c>
      <c r="R239" s="182">
        <v>0</v>
      </c>
      <c r="S239" s="182">
        <f t="shared" si="44"/>
        <v>102831790.30516143</v>
      </c>
      <c r="T239" s="192">
        <f t="shared" si="42"/>
        <v>1.5148459640146106E-2</v>
      </c>
      <c r="W239" s="182">
        <v>4565141.333333333</v>
      </c>
      <c r="X239" s="183">
        <f t="shared" si="41"/>
        <v>22525.434109632846</v>
      </c>
      <c r="Y239" s="192">
        <f t="shared" si="43"/>
        <v>9.3615513292537589E-3</v>
      </c>
      <c r="AA239" s="181" t="s">
        <v>73</v>
      </c>
      <c r="AC239" s="182">
        <f t="shared" si="47"/>
        <v>100222210.82716927</v>
      </c>
      <c r="AD239" s="191">
        <f t="shared" si="45"/>
        <v>21953.802414697628</v>
      </c>
    </row>
    <row r="240" spans="1:30" ht="14.4">
      <c r="A240" s="187">
        <v>41153</v>
      </c>
      <c r="B240" s="182">
        <v>10233593</v>
      </c>
      <c r="C240" s="182">
        <v>202962.89411704201</v>
      </c>
      <c r="D240" s="182">
        <v>10030630.105882958</v>
      </c>
      <c r="E240" s="182">
        <v>-49023.817671829835</v>
      </c>
      <c r="F240" s="189">
        <f t="shared" si="46"/>
        <v>-865757.58746970911</v>
      </c>
      <c r="G240" s="182">
        <v>10282616.81767183</v>
      </c>
      <c r="H240" s="182"/>
      <c r="I240" s="182">
        <v>10079653.923554787</v>
      </c>
      <c r="J240" s="182"/>
      <c r="K240" s="182">
        <v>9373916.1858759075</v>
      </c>
      <c r="L240" s="182"/>
      <c r="M240" s="182">
        <v>9419730.37233443</v>
      </c>
      <c r="N240" s="182">
        <v>-45814.186458522454</v>
      </c>
      <c r="O240" s="182">
        <v>9577272.0368759073</v>
      </c>
      <c r="P240" s="182">
        <v>203355.85100000002</v>
      </c>
      <c r="Q240" s="182">
        <v>-2.3796833230183001E-4</v>
      </c>
      <c r="R240" s="182">
        <v>0</v>
      </c>
      <c r="S240" s="182">
        <f t="shared" si="44"/>
        <v>102829548.17407779</v>
      </c>
      <c r="T240" s="192">
        <f t="shared" si="42"/>
        <v>1.8303718490626952E-2</v>
      </c>
      <c r="W240" s="182">
        <v>4567889.75</v>
      </c>
      <c r="X240" s="183">
        <f t="shared" si="41"/>
        <v>22511.390117083673</v>
      </c>
      <c r="Y240" s="192">
        <f t="shared" si="43"/>
        <v>1.2281080173957459E-2</v>
      </c>
      <c r="AA240" s="181" t="s">
        <v>74</v>
      </c>
      <c r="AC240" s="182">
        <f t="shared" si="47"/>
        <v>101266216.58746973</v>
      </c>
      <c r="AD240" s="191">
        <f t="shared" si="45"/>
        <v>22169.146395766169</v>
      </c>
    </row>
    <row r="241" spans="1:30" ht="14.4">
      <c r="A241" s="187">
        <v>41183</v>
      </c>
      <c r="B241" s="182">
        <v>9654295</v>
      </c>
      <c r="C241" s="182">
        <v>190442.03687939679</v>
      </c>
      <c r="D241" s="182">
        <v>9463852.9631206039</v>
      </c>
      <c r="E241" s="182">
        <v>-1737.2275259997696</v>
      </c>
      <c r="F241" s="189">
        <f t="shared" si="46"/>
        <v>-371057.90429622401</v>
      </c>
      <c r="G241" s="182">
        <v>9656032.2275259998</v>
      </c>
      <c r="H241" s="182"/>
      <c r="I241" s="182">
        <v>9465590.1906466037</v>
      </c>
      <c r="J241" s="182"/>
      <c r="K241" s="182">
        <v>8914044.0984483454</v>
      </c>
      <c r="L241" s="182"/>
      <c r="M241" s="182">
        <v>8915680.4005798493</v>
      </c>
      <c r="N241" s="182">
        <v>-1636.3021315038204</v>
      </c>
      <c r="O241" s="182">
        <v>9109917.993448345</v>
      </c>
      <c r="P241" s="182">
        <v>195873.89500000002</v>
      </c>
      <c r="Q241" s="182">
        <v>1.0591348521586719E-2</v>
      </c>
      <c r="R241" s="182">
        <v>0</v>
      </c>
      <c r="S241" s="182">
        <f t="shared" si="44"/>
        <v>102922987.60295057</v>
      </c>
      <c r="T241" s="192">
        <f t="shared" si="42"/>
        <v>1.5592395159611305E-2</v>
      </c>
      <c r="W241" s="182">
        <v>4570715.666666667</v>
      </c>
      <c r="X241" s="183">
        <f t="shared" si="41"/>
        <v>22517.91516010233</v>
      </c>
      <c r="Y241" s="192">
        <f t="shared" si="43"/>
        <v>9.3845124707152561E-3</v>
      </c>
      <c r="AA241" s="181" t="s">
        <v>75</v>
      </c>
      <c r="AC241" s="182">
        <f t="shared" si="47"/>
        <v>101954299.90429625</v>
      </c>
      <c r="AD241" s="191">
        <f t="shared" si="45"/>
        <v>22305.981675436291</v>
      </c>
    </row>
    <row r="242" spans="1:30" ht="14.4">
      <c r="A242" s="187">
        <v>41214</v>
      </c>
      <c r="B242" s="182">
        <v>7423333</v>
      </c>
      <c r="C242" s="182">
        <v>148917.33127036318</v>
      </c>
      <c r="D242" s="182">
        <v>7274415.6687296368</v>
      </c>
      <c r="E242" s="182">
        <v>-543889.30506297946</v>
      </c>
      <c r="F242" s="189">
        <f t="shared" si="46"/>
        <v>-457129.51183608081</v>
      </c>
      <c r="G242" s="182">
        <v>7967222.3050629795</v>
      </c>
      <c r="H242" s="182"/>
      <c r="I242" s="182">
        <v>7818304.9737926163</v>
      </c>
      <c r="J242" s="182"/>
      <c r="K242" s="182">
        <v>6871525.0036185598</v>
      </c>
      <c r="L242" s="182"/>
      <c r="M242" s="182">
        <v>7385291.2123611588</v>
      </c>
      <c r="N242" s="182">
        <v>-513766.208742599</v>
      </c>
      <c r="O242" s="182">
        <v>7016295.9009999996</v>
      </c>
      <c r="P242" s="182">
        <v>144771.03700000001</v>
      </c>
      <c r="Q242" s="182">
        <v>5.6479186522033764E-3</v>
      </c>
      <c r="R242" s="182">
        <v>0</v>
      </c>
      <c r="S242" s="182">
        <f t="shared" si="44"/>
        <v>102964464.86672908</v>
      </c>
      <c r="T242" s="192">
        <f t="shared" si="42"/>
        <v>1.7252155754990728E-2</v>
      </c>
      <c r="W242" s="182">
        <v>4573614.333333333</v>
      </c>
      <c r="X242" s="183">
        <f t="shared" si="41"/>
        <v>22512.712564394715</v>
      </c>
      <c r="Y242" s="192">
        <f t="shared" si="43"/>
        <v>1.0842063044242956E-2</v>
      </c>
      <c r="AA242" s="181" t="s">
        <v>76</v>
      </c>
      <c r="AC242" s="182">
        <f t="shared" si="47"/>
        <v>103673273.51183608</v>
      </c>
      <c r="AD242" s="191">
        <f t="shared" si="45"/>
        <v>22667.690355141316</v>
      </c>
    </row>
    <row r="243" spans="1:30" ht="14.4">
      <c r="A243" s="187">
        <v>41244</v>
      </c>
      <c r="B243" s="182">
        <v>8157450</v>
      </c>
      <c r="C243" s="182">
        <v>164806.54975294133</v>
      </c>
      <c r="D243" s="182">
        <v>7992643.4502470586</v>
      </c>
      <c r="E243" s="182">
        <v>-10660.431262062863</v>
      </c>
      <c r="F243" s="189">
        <f t="shared" si="46"/>
        <v>-759441.89643658232</v>
      </c>
      <c r="G243" s="182">
        <v>8168110.4312620629</v>
      </c>
      <c r="H243" s="182"/>
      <c r="I243" s="182">
        <v>8003303.8815091215</v>
      </c>
      <c r="J243" s="182"/>
      <c r="K243" s="182">
        <v>7513052.7083483301</v>
      </c>
      <c r="L243" s="182"/>
      <c r="M243" s="182">
        <v>7523073.4708737899</v>
      </c>
      <c r="N243" s="182">
        <v>-10020.762525459751</v>
      </c>
      <c r="O243" s="182">
        <v>7675796.0393483303</v>
      </c>
      <c r="P243" s="182">
        <v>162743.33100000001</v>
      </c>
      <c r="Q243" s="182">
        <v>-1.4550371658089922E-2</v>
      </c>
      <c r="R243" s="182">
        <v>0</v>
      </c>
      <c r="S243" s="182">
        <f t="shared" si="44"/>
        <v>102853385.09982459</v>
      </c>
      <c r="T243" s="192">
        <f t="shared" si="42"/>
        <v>1.2641842940033676E-2</v>
      </c>
      <c r="W243" s="182">
        <v>4576448.666666667</v>
      </c>
      <c r="X243" s="183">
        <f t="shared" si="41"/>
        <v>22474.497714565117</v>
      </c>
      <c r="Y243" s="192">
        <f t="shared" si="43"/>
        <v>6.1369133989372937E-3</v>
      </c>
      <c r="AA243" s="181" t="s">
        <v>77</v>
      </c>
      <c r="AB243" s="181">
        <f>YEAR(A243)</f>
        <v>2012</v>
      </c>
      <c r="AC243" s="182">
        <f>SUM(G232:G243)</f>
        <v>111635607.32769865</v>
      </c>
      <c r="AD243" s="191">
        <f t="shared" si="45"/>
        <v>24393.501480922394</v>
      </c>
    </row>
    <row r="244" spans="1:30" ht="14.4">
      <c r="A244" s="187">
        <v>41275</v>
      </c>
      <c r="B244" s="182">
        <v>8088864</v>
      </c>
      <c r="C244" s="182">
        <v>169045.98070822741</v>
      </c>
      <c r="D244" s="182">
        <v>7919818.0192917725</v>
      </c>
      <c r="E244" s="182">
        <v>-67545.440343906172</v>
      </c>
      <c r="F244" s="189">
        <f t="shared" si="46"/>
        <v>-576603.78870041016</v>
      </c>
      <c r="G244" s="182">
        <v>8156409.4403439062</v>
      </c>
      <c r="H244" s="182"/>
      <c r="I244" s="182">
        <v>7987363.4596356787</v>
      </c>
      <c r="J244" s="182"/>
      <c r="K244" s="182">
        <v>7440640.8571988074</v>
      </c>
      <c r="L244" s="182"/>
      <c r="M244" s="182">
        <v>7504099.5581331123</v>
      </c>
      <c r="N244" s="182">
        <v>-63458.700934304856</v>
      </c>
      <c r="O244" s="182">
        <v>7611099.4071988072</v>
      </c>
      <c r="P244" s="182">
        <v>170458.55</v>
      </c>
      <c r="Q244" s="182">
        <v>-4.8839403652692903E-3</v>
      </c>
      <c r="R244" s="182">
        <v>0</v>
      </c>
      <c r="S244" s="182">
        <f t="shared" si="44"/>
        <v>102816555.65226205</v>
      </c>
      <c r="T244" s="192">
        <f t="shared" si="42"/>
        <v>1.385174404257139E-2</v>
      </c>
      <c r="W244" s="182">
        <v>4579361.5</v>
      </c>
      <c r="X244" s="183">
        <f t="shared" si="41"/>
        <v>22452.15968476436</v>
      </c>
      <c r="Y244" s="192">
        <f t="shared" si="43"/>
        <v>7.1961781620186738E-3</v>
      </c>
      <c r="AA244" s="181" t="s">
        <v>66</v>
      </c>
      <c r="AC244" s="182">
        <f t="shared" si="47"/>
        <v>103462804.7887004</v>
      </c>
      <c r="AD244" s="191">
        <f t="shared" si="45"/>
        <v>22593.281790201625</v>
      </c>
    </row>
    <row r="245" spans="1:30" ht="14.4">
      <c r="A245" s="187">
        <v>41306</v>
      </c>
      <c r="B245" s="182">
        <v>7467802</v>
      </c>
      <c r="C245" s="182">
        <v>158679.34496201589</v>
      </c>
      <c r="D245" s="182">
        <v>7309122.6550379843</v>
      </c>
      <c r="E245" s="182">
        <v>74394.806871313602</v>
      </c>
      <c r="F245" s="189">
        <f t="shared" si="46"/>
        <v>-716575.73216701485</v>
      </c>
      <c r="G245" s="182">
        <v>7393407.1931286864</v>
      </c>
      <c r="H245" s="182"/>
      <c r="I245" s="182">
        <v>7234727.8481666707</v>
      </c>
      <c r="J245" s="182"/>
      <c r="K245" s="182">
        <v>6896297.8034819067</v>
      </c>
      <c r="L245" s="182"/>
      <c r="M245" s="182">
        <v>6826104.8723421525</v>
      </c>
      <c r="N245" s="182">
        <v>70192.931139754131</v>
      </c>
      <c r="O245" s="182">
        <v>7056147.7844819063</v>
      </c>
      <c r="P245" s="182">
        <v>159849.98100000003</v>
      </c>
      <c r="Q245" s="182">
        <v>-3.2223787734429798E-2</v>
      </c>
      <c r="R245" s="182">
        <v>0</v>
      </c>
      <c r="S245" s="182">
        <f t="shared" si="44"/>
        <v>102589268.64967662</v>
      </c>
      <c r="T245" s="192">
        <f t="shared" si="42"/>
        <v>7.6495843127770691E-3</v>
      </c>
      <c r="W245" s="182">
        <v>4582158</v>
      </c>
      <c r="X245" s="183">
        <f t="shared" si="41"/>
        <v>22388.854476357345</v>
      </c>
      <c r="Y245" s="192">
        <f t="shared" si="43"/>
        <v>9.06093048497425E-4</v>
      </c>
      <c r="AA245" s="181" t="s">
        <v>67</v>
      </c>
      <c r="AC245" s="182">
        <f t="shared" si="47"/>
        <v>103989494.73216701</v>
      </c>
      <c r="AD245" s="191">
        <f t="shared" si="45"/>
        <v>22694.436711297822</v>
      </c>
    </row>
    <row r="246" spans="1:30" ht="14.4">
      <c r="A246" s="187">
        <v>41334</v>
      </c>
      <c r="B246" s="182">
        <v>7936038</v>
      </c>
      <c r="C246" s="182">
        <v>170695.63486586095</v>
      </c>
      <c r="D246" s="182">
        <v>7765342.3651341386</v>
      </c>
      <c r="E246" s="182">
        <v>-351877.37796083</v>
      </c>
      <c r="F246" s="189">
        <f t="shared" si="46"/>
        <v>-907460.23314396013</v>
      </c>
      <c r="G246" s="182">
        <v>8287915.37796083</v>
      </c>
      <c r="H246" s="182"/>
      <c r="I246" s="182">
        <v>8117219.7430949686</v>
      </c>
      <c r="J246" s="182"/>
      <c r="K246" s="182">
        <v>7318867.8091589771</v>
      </c>
      <c r="L246" s="182"/>
      <c r="M246" s="182">
        <v>7650513.7164781326</v>
      </c>
      <c r="N246" s="182">
        <v>-331645.90731915552</v>
      </c>
      <c r="O246" s="182">
        <v>7490007.1541589769</v>
      </c>
      <c r="P246" s="182">
        <v>171139.34499999997</v>
      </c>
      <c r="Q246" s="182">
        <v>-8.8540922928878052E-3</v>
      </c>
      <c r="R246" s="182">
        <v>0</v>
      </c>
      <c r="S246" s="182">
        <f t="shared" si="44"/>
        <v>102520925.17571688</v>
      </c>
      <c r="T246" s="192">
        <f t="shared" si="42"/>
        <v>3.5411907565758849E-3</v>
      </c>
      <c r="W246" s="182">
        <v>4584811.416666667</v>
      </c>
      <c r="X246" s="183">
        <f t="shared" si="41"/>
        <v>22360.990640320273</v>
      </c>
      <c r="Y246" s="192">
        <f t="shared" si="43"/>
        <v>-3.2527269339597265E-3</v>
      </c>
      <c r="AA246" s="181" t="s">
        <v>68</v>
      </c>
      <c r="AC246" s="182">
        <f t="shared" si="47"/>
        <v>103008252.23314396</v>
      </c>
      <c r="AD246" s="191">
        <f t="shared" si="45"/>
        <v>22467.282265676018</v>
      </c>
    </row>
    <row r="247" spans="1:30" ht="14.4">
      <c r="A247" s="187">
        <v>41365</v>
      </c>
      <c r="B247" s="182">
        <v>8967220</v>
      </c>
      <c r="C247" s="182">
        <v>189027.46634605288</v>
      </c>
      <c r="D247" s="182">
        <v>8778192.5336539466</v>
      </c>
      <c r="E247" s="182">
        <v>268453.91900369525</v>
      </c>
      <c r="F247" s="189">
        <f t="shared" si="46"/>
        <v>-1096178.1899672132</v>
      </c>
      <c r="G247" s="182">
        <v>8698766.0809963048</v>
      </c>
      <c r="H247" s="182"/>
      <c r="I247" s="182">
        <v>8509738.6146502513</v>
      </c>
      <c r="J247" s="182"/>
      <c r="K247" s="182">
        <v>8270589.6580165066</v>
      </c>
      <c r="L247" s="182"/>
      <c r="M247" s="182">
        <v>8017659.2059155917</v>
      </c>
      <c r="N247" s="182">
        <v>252930.4521009149</v>
      </c>
      <c r="O247" s="182">
        <v>8456993.2930165064</v>
      </c>
      <c r="P247" s="182">
        <v>186403.63500000001</v>
      </c>
      <c r="Q247" s="182">
        <v>2.7311530156715058E-3</v>
      </c>
      <c r="R247" s="182">
        <v>0</v>
      </c>
      <c r="S247" s="182">
        <f t="shared" si="44"/>
        <v>102542762.98743041</v>
      </c>
      <c r="T247" s="192">
        <f t="shared" si="42"/>
        <v>3.6043010697253131E-3</v>
      </c>
      <c r="W247" s="182">
        <v>4587517.333333333</v>
      </c>
      <c r="X247" s="183">
        <f t="shared" si="41"/>
        <v>22352.561426274082</v>
      </c>
      <c r="Y247" s="192">
        <f t="shared" si="43"/>
        <v>-3.2897143146800589E-3</v>
      </c>
      <c r="AA247" s="181" t="s">
        <v>69</v>
      </c>
      <c r="AC247" s="182">
        <f t="shared" si="47"/>
        <v>102623772.1899672</v>
      </c>
      <c r="AD247" s="191">
        <f t="shared" si="45"/>
        <v>22370.220041304958</v>
      </c>
    </row>
    <row r="248" spans="1:30" ht="14.4">
      <c r="A248" s="187">
        <v>41395</v>
      </c>
      <c r="B248" s="182">
        <v>9493988</v>
      </c>
      <c r="C248" s="182">
        <v>196428.36657620835</v>
      </c>
      <c r="D248" s="182">
        <v>9297559.6334237922</v>
      </c>
      <c r="E248" s="182">
        <v>-636638.22125419788</v>
      </c>
      <c r="F248" s="189">
        <f t="shared" si="46"/>
        <v>-770190.23935429566</v>
      </c>
      <c r="G248" s="182">
        <v>10130626.221254198</v>
      </c>
      <c r="H248" s="182"/>
      <c r="I248" s="182">
        <v>9934197.8546779901</v>
      </c>
      <c r="J248" s="182"/>
      <c r="K248" s="182">
        <v>8748504.383058114</v>
      </c>
      <c r="L248" s="182"/>
      <c r="M248" s="182">
        <v>9347546.7650012635</v>
      </c>
      <c r="N248" s="182">
        <v>-599042.38194314949</v>
      </c>
      <c r="O248" s="182">
        <v>8945753.8500581104</v>
      </c>
      <c r="P248" s="182">
        <v>197249.467</v>
      </c>
      <c r="Q248" s="182">
        <v>1.9299113116241218E-2</v>
      </c>
      <c r="R248" s="182">
        <v>0</v>
      </c>
      <c r="S248" s="182">
        <f t="shared" si="44"/>
        <v>102719746.72071905</v>
      </c>
      <c r="T248" s="192">
        <f t="shared" si="42"/>
        <v>-2.6174170737052194E-3</v>
      </c>
      <c r="W248" s="182">
        <v>4590417.5</v>
      </c>
      <c r="X248" s="183">
        <f t="shared" ref="X248:X311" si="48">S248/W248*1000</f>
        <v>22376.994406438862</v>
      </c>
      <c r="Y248" s="192">
        <f t="shared" si="43"/>
        <v>-9.6067166151025951E-3</v>
      </c>
      <c r="AA248" s="181" t="s">
        <v>70</v>
      </c>
      <c r="AC248" s="182">
        <f t="shared" si="47"/>
        <v>101370214.2393543</v>
      </c>
      <c r="AD248" s="191">
        <f t="shared" si="45"/>
        <v>22083.005356125952</v>
      </c>
    </row>
    <row r="249" spans="1:30" ht="14.4">
      <c r="A249" s="187">
        <v>41426</v>
      </c>
      <c r="B249" s="182">
        <v>10459525</v>
      </c>
      <c r="C249" s="182">
        <v>189064.62407600172</v>
      </c>
      <c r="D249" s="182">
        <v>10270460.375923999</v>
      </c>
      <c r="E249" s="182">
        <v>-12391.293743724003</v>
      </c>
      <c r="F249" s="189">
        <f t="shared" si="46"/>
        <v>-1442297.8562228996</v>
      </c>
      <c r="G249" s="182">
        <v>10471916.293743724</v>
      </c>
      <c r="H249" s="182"/>
      <c r="I249" s="182">
        <v>10282851.669667723</v>
      </c>
      <c r="J249" s="182"/>
      <c r="K249" s="182">
        <v>9638808.6484932285</v>
      </c>
      <c r="L249" s="182"/>
      <c r="M249" s="182">
        <v>9650437.855454877</v>
      </c>
      <c r="N249" s="182">
        <v>-11629.206961648539</v>
      </c>
      <c r="O249" s="182">
        <v>9826784.015493229</v>
      </c>
      <c r="P249" s="182">
        <v>187975.36699999997</v>
      </c>
      <c r="Q249" s="182">
        <v>2.5876165184037347E-2</v>
      </c>
      <c r="R249" s="182">
        <v>0</v>
      </c>
      <c r="S249" s="182">
        <f t="shared" si="44"/>
        <v>102963164.33048606</v>
      </c>
      <c r="T249" s="192">
        <f t="shared" si="42"/>
        <v>2.6775703665988804E-3</v>
      </c>
      <c r="W249" s="182">
        <v>4593616.833333333</v>
      </c>
      <c r="X249" s="183">
        <f t="shared" si="48"/>
        <v>22414.39982180042</v>
      </c>
      <c r="Y249" s="192">
        <f t="shared" si="43"/>
        <v>-4.5691837679966429E-3</v>
      </c>
      <c r="AA249" s="181" t="s">
        <v>71</v>
      </c>
      <c r="AC249" s="182">
        <f t="shared" si="47"/>
        <v>101293610.8562229</v>
      </c>
      <c r="AD249" s="191">
        <f t="shared" si="45"/>
        <v>22050.949073764983</v>
      </c>
    </row>
    <row r="250" spans="1:30" ht="14.4">
      <c r="A250" s="187">
        <v>41456</v>
      </c>
      <c r="B250" s="182">
        <v>10649066</v>
      </c>
      <c r="C250" s="182">
        <v>194252.47652391711</v>
      </c>
      <c r="D250" s="182">
        <v>10454813.523476083</v>
      </c>
      <c r="E250" s="182">
        <v>-410397.94067909382</v>
      </c>
      <c r="F250" s="189">
        <f t="shared" si="46"/>
        <v>-1433928.0389544554</v>
      </c>
      <c r="G250" s="182">
        <v>11059463.940679094</v>
      </c>
      <c r="H250" s="182"/>
      <c r="I250" s="182">
        <v>10865211.464155177</v>
      </c>
      <c r="J250" s="182"/>
      <c r="K250" s="182">
        <v>9814502.6103855316</v>
      </c>
      <c r="L250" s="182"/>
      <c r="M250" s="182">
        <v>10199765.499201994</v>
      </c>
      <c r="N250" s="182">
        <v>-385262.88881646283</v>
      </c>
      <c r="O250" s="182">
        <v>10012460.234385531</v>
      </c>
      <c r="P250" s="182">
        <v>197957.62400000001</v>
      </c>
      <c r="Q250" s="182">
        <v>-1.339915032329575E-2</v>
      </c>
      <c r="R250" s="182">
        <v>0</v>
      </c>
      <c r="S250" s="182">
        <f t="shared" si="44"/>
        <v>102824640.0313929</v>
      </c>
      <c r="T250" s="192">
        <f>S250/S238-1</f>
        <v>1.8510937739499855E-3</v>
      </c>
      <c r="W250" s="182">
        <v>4597268.5</v>
      </c>
      <c r="X250" s="183">
        <f t="shared" si="48"/>
        <v>22366.46391904082</v>
      </c>
      <c r="Y250" s="192">
        <f>X250/X238-1</f>
        <v>-5.6814733404287887E-3</v>
      </c>
      <c r="AA250" s="181" t="s">
        <v>72</v>
      </c>
      <c r="AC250" s="182">
        <f t="shared" si="47"/>
        <v>100519016.03895447</v>
      </c>
      <c r="AD250" s="191">
        <f t="shared" si="45"/>
        <v>21864.94350698778</v>
      </c>
    </row>
    <row r="251" spans="1:30" ht="14.4">
      <c r="A251" s="187">
        <v>41487</v>
      </c>
      <c r="B251" s="182">
        <v>11392218</v>
      </c>
      <c r="C251" s="182">
        <v>204570.26052256257</v>
      </c>
      <c r="D251" s="182">
        <v>11187647.739477437</v>
      </c>
      <c r="E251" s="182">
        <v>111120.41767900251</v>
      </c>
      <c r="F251" s="189">
        <f t="shared" si="46"/>
        <v>-1741312.3296296149</v>
      </c>
      <c r="G251" s="182">
        <v>11281097.582320997</v>
      </c>
      <c r="H251" s="182"/>
      <c r="I251" s="182">
        <v>11076527.321798434</v>
      </c>
      <c r="J251" s="182"/>
      <c r="K251" s="182">
        <v>10530133.33790097</v>
      </c>
      <c r="L251" s="182"/>
      <c r="M251" s="182">
        <v>10425543.629503716</v>
      </c>
      <c r="N251" s="182">
        <v>104589.70839725435</v>
      </c>
      <c r="O251" s="182">
        <v>10731202.81390097</v>
      </c>
      <c r="P251" s="182">
        <v>201069.47600000002</v>
      </c>
      <c r="Q251" s="182">
        <v>3.9294713369764089E-3</v>
      </c>
      <c r="R251" s="182">
        <v>0</v>
      </c>
      <c r="S251" s="182">
        <f t="shared" si="44"/>
        <v>102865446.55818006</v>
      </c>
      <c r="T251" s="192">
        <f>S251/S239-1</f>
        <v>3.2729424352861969E-4</v>
      </c>
      <c r="W251" s="182">
        <v>4601532.333333333</v>
      </c>
      <c r="X251" s="183">
        <f t="shared" si="48"/>
        <v>22354.6069236603</v>
      </c>
      <c r="Y251" s="192">
        <f>X251/X239-1</f>
        <v>-7.5837466723668312E-3</v>
      </c>
      <c r="AA251" s="181" t="s">
        <v>73</v>
      </c>
      <c r="AC251" s="182">
        <f t="shared" si="47"/>
        <v>100272486.32962961</v>
      </c>
      <c r="AD251" s="191">
        <f t="shared" si="45"/>
        <v>21791.10762805237</v>
      </c>
    </row>
    <row r="252" spans="1:30" ht="14.4">
      <c r="A252" s="187">
        <v>41518</v>
      </c>
      <c r="B252" s="182">
        <v>10228764</v>
      </c>
      <c r="C252" s="182">
        <v>183181.51380830863</v>
      </c>
      <c r="D252" s="182">
        <v>10045582.486191692</v>
      </c>
      <c r="E252" s="182">
        <v>-109629.56006792001</v>
      </c>
      <c r="F252" s="189">
        <f t="shared" si="46"/>
        <v>-1581168.0942787826</v>
      </c>
      <c r="G252" s="182">
        <v>10338393.56006792</v>
      </c>
      <c r="H252" s="182"/>
      <c r="I252" s="182">
        <v>10155212.046259612</v>
      </c>
      <c r="J252" s="182"/>
      <c r="K252" s="182">
        <v>9450097.6733469889</v>
      </c>
      <c r="L252" s="182"/>
      <c r="M252" s="182">
        <v>9553228.5820774641</v>
      </c>
      <c r="N252" s="182">
        <v>-103130.90873047523</v>
      </c>
      <c r="O252" s="182">
        <v>9633417.9343469888</v>
      </c>
      <c r="P252" s="182">
        <v>183320.261</v>
      </c>
      <c r="Q252" s="182">
        <v>1.417219012288462E-2</v>
      </c>
      <c r="R252" s="182">
        <v>0</v>
      </c>
      <c r="S252" s="182">
        <f t="shared" si="44"/>
        <v>102998944.7679231</v>
      </c>
      <c r="T252" s="192">
        <f>S252/S240-1</f>
        <v>1.6473532836938087E-3</v>
      </c>
      <c r="W252" s="182">
        <v>4606975.666666667</v>
      </c>
      <c r="X252" s="183">
        <f t="shared" si="48"/>
        <v>22357.171433129581</v>
      </c>
      <c r="Y252" s="192">
        <f>X252/X240-1</f>
        <v>-6.8506957212320918E-3</v>
      </c>
      <c r="AA252" s="181" t="s">
        <v>74</v>
      </c>
      <c r="AC252" s="182">
        <f t="shared" si="47"/>
        <v>101270967.0942788</v>
      </c>
      <c r="AD252" s="191">
        <f t="shared" si="45"/>
        <v>21982.092900341369</v>
      </c>
    </row>
    <row r="253" spans="1:30" ht="14.4">
      <c r="A253" s="187">
        <v>41548</v>
      </c>
      <c r="B253" s="182">
        <v>9968681</v>
      </c>
      <c r="C253" s="182">
        <v>181301.03388399078</v>
      </c>
      <c r="D253" s="182">
        <v>9787379.9661160093</v>
      </c>
      <c r="E253" s="182">
        <v>215557.06320553273</v>
      </c>
      <c r="F253" s="189">
        <f t="shared" si="46"/>
        <v>-1689060.4268207029</v>
      </c>
      <c r="G253" s="182">
        <v>9753123.9367944673</v>
      </c>
      <c r="H253" s="182"/>
      <c r="I253" s="182">
        <v>9571822.9029104766</v>
      </c>
      <c r="J253" s="182"/>
      <c r="K253" s="182">
        <v>9211276.8499156088</v>
      </c>
      <c r="L253" s="182"/>
      <c r="M253" s="182">
        <v>9008407.87037104</v>
      </c>
      <c r="N253" s="182">
        <v>202868.97954456881</v>
      </c>
      <c r="O253" s="182">
        <v>9390018.3639156092</v>
      </c>
      <c r="P253" s="182">
        <v>178741.51399999997</v>
      </c>
      <c r="Q253" s="182">
        <v>1.0400492797516536E-2</v>
      </c>
      <c r="R253" s="182">
        <v>0</v>
      </c>
      <c r="S253" s="182">
        <f t="shared" si="44"/>
        <v>103091672.23771429</v>
      </c>
      <c r="T253" s="192">
        <f>S253/S241-1</f>
        <v>1.6389403251142465E-3</v>
      </c>
      <c r="W253" s="182">
        <v>4613197.5</v>
      </c>
      <c r="X253" s="183">
        <f t="shared" si="48"/>
        <v>22347.118725724249</v>
      </c>
      <c r="Y253" s="192">
        <f>X253/X241-1</f>
        <v>-7.5849133085242881E-3</v>
      </c>
      <c r="AA253" s="181" t="s">
        <v>75</v>
      </c>
      <c r="AC253" s="182">
        <f t="shared" si="47"/>
        <v>101953328.42682071</v>
      </c>
      <c r="AD253" s="191">
        <f t="shared" si="45"/>
        <v>22100.360634206689</v>
      </c>
    </row>
    <row r="254" spans="1:30" ht="14.4">
      <c r="A254" s="187">
        <v>41579</v>
      </c>
      <c r="B254" s="182">
        <v>8505690</v>
      </c>
      <c r="C254" s="182">
        <v>157135.77539219937</v>
      </c>
      <c r="D254" s="182">
        <v>8348554.2246078011</v>
      </c>
      <c r="E254" s="182">
        <v>522529.33537230548</v>
      </c>
      <c r="F254" s="189">
        <f t="shared" si="46"/>
        <v>-929614.05855219066</v>
      </c>
      <c r="G254" s="182">
        <v>7983160.6646276945</v>
      </c>
      <c r="H254" s="182"/>
      <c r="I254" s="182">
        <v>7826024.8892354956</v>
      </c>
      <c r="J254" s="182"/>
      <c r="K254" s="182">
        <v>7856953.0761444457</v>
      </c>
      <c r="L254" s="182"/>
      <c r="M254" s="182">
        <v>7365192.6636854829</v>
      </c>
      <c r="N254" s="182">
        <v>491760.41245896276</v>
      </c>
      <c r="O254" s="182">
        <v>8021497.1101444457</v>
      </c>
      <c r="P254" s="182">
        <v>164544.03399999999</v>
      </c>
      <c r="Q254" s="182">
        <v>-2.7214294057945621E-3</v>
      </c>
      <c r="R254" s="182">
        <v>0</v>
      </c>
      <c r="S254" s="182">
        <f t="shared" si="44"/>
        <v>103071573.68903862</v>
      </c>
      <c r="T254" s="192">
        <f>S254/S242-1</f>
        <v>1.0402503664557194E-3</v>
      </c>
      <c r="W254" s="182">
        <v>4619956</v>
      </c>
      <c r="X254" s="183">
        <f t="shared" si="48"/>
        <v>22310.076911779812</v>
      </c>
      <c r="Y254" s="192">
        <f>X254/X242-1</f>
        <v>-9.0009434462990923E-3</v>
      </c>
      <c r="AA254" s="181" t="s">
        <v>76</v>
      </c>
      <c r="AC254" s="182">
        <f t="shared" si="47"/>
        <v>103739230.05855221</v>
      </c>
      <c r="AD254" s="191">
        <f t="shared" si="45"/>
        <v>22454.592653815795</v>
      </c>
    </row>
    <row r="255" spans="1:30" ht="14.4">
      <c r="A255" s="187">
        <v>41609</v>
      </c>
      <c r="B255" s="182">
        <v>8497355</v>
      </c>
      <c r="C255" s="182">
        <v>159075.37704623531</v>
      </c>
      <c r="D255" s="182">
        <v>8338279.6229537651</v>
      </c>
      <c r="E255" s="182">
        <v>245448.01388167031</v>
      </c>
      <c r="F255" s="189">
        <f t="shared" si="46"/>
        <v>-396424.29191782232</v>
      </c>
      <c r="G255" s="182">
        <v>8251906.9861183297</v>
      </c>
      <c r="H255" s="182"/>
      <c r="I255" s="182">
        <v>8092831.6090720948</v>
      </c>
      <c r="J255" s="182"/>
      <c r="K255" s="182">
        <v>7881915.9252643762</v>
      </c>
      <c r="L255" s="182"/>
      <c r="M255" s="182">
        <v>7649901.5653581861</v>
      </c>
      <c r="N255" s="182">
        <v>232014.35990619007</v>
      </c>
      <c r="O255" s="182">
        <v>8036085.7002643766</v>
      </c>
      <c r="P255" s="182">
        <v>154169.77500000002</v>
      </c>
      <c r="Q255" s="182">
        <v>1.6858547902718568E-2</v>
      </c>
      <c r="R255" s="182">
        <v>0</v>
      </c>
      <c r="S255" s="182">
        <f t="shared" si="44"/>
        <v>103198401.78352302</v>
      </c>
      <c r="T255" s="192">
        <f t="shared" si="42"/>
        <v>3.3544514199856934E-3</v>
      </c>
      <c r="W255" s="182">
        <v>4626934.333333333</v>
      </c>
      <c r="X255" s="183">
        <f t="shared" si="48"/>
        <v>22303.839723866771</v>
      </c>
      <c r="Y255" s="192">
        <f t="shared" si="43"/>
        <v>-7.5934062182732021E-3</v>
      </c>
      <c r="AA255" s="181" t="s">
        <v>77</v>
      </c>
      <c r="AB255" s="181">
        <f>YEAR(A255)</f>
        <v>2013</v>
      </c>
      <c r="AC255" s="182">
        <f>SUM(G244:G255)</f>
        <v>111806187.27803616</v>
      </c>
      <c r="AD255" s="191">
        <f t="shared" si="45"/>
        <v>24164.20446526822</v>
      </c>
    </row>
    <row r="256" spans="1:30" ht="14.4">
      <c r="A256" s="187">
        <v>41640</v>
      </c>
      <c r="B256" s="182">
        <v>8633765</v>
      </c>
      <c r="C256" s="182">
        <v>381299.85840911628</v>
      </c>
      <c r="D256" s="182">
        <v>8252465.141590884</v>
      </c>
      <c r="E256" s="182">
        <v>67586.237259056419</v>
      </c>
      <c r="F256" s="189">
        <f t="shared" si="46"/>
        <v>-83430.837692245841</v>
      </c>
      <c r="G256" s="182">
        <v>8566178.7627409436</v>
      </c>
      <c r="H256" s="182"/>
      <c r="I256" s="182">
        <v>8184878.9043318275</v>
      </c>
      <c r="J256" s="182"/>
      <c r="K256" s="182">
        <v>7722287.132680011</v>
      </c>
      <c r="L256" s="182"/>
      <c r="M256" s="182">
        <v>7659042.9600143814</v>
      </c>
      <c r="N256" s="182">
        <v>63244.172665629536</v>
      </c>
      <c r="O256" s="182">
        <v>8103587.5096800113</v>
      </c>
      <c r="P256" s="182">
        <v>381300.37699999998</v>
      </c>
      <c r="Q256" s="182">
        <v>2.0647833984736685E-2</v>
      </c>
      <c r="R256" s="182">
        <v>0</v>
      </c>
      <c r="S256" s="182">
        <f t="shared" si="44"/>
        <v>103353345.1854043</v>
      </c>
      <c r="T256" s="192">
        <f t="shared" si="42"/>
        <v>5.2208472627477409E-3</v>
      </c>
      <c r="W256" s="182">
        <v>4633983.25</v>
      </c>
      <c r="X256" s="183">
        <f t="shared" si="48"/>
        <v>22303.348892209375</v>
      </c>
      <c r="Y256" s="192">
        <f t="shared" si="43"/>
        <v>-6.6279054952546046E-3</v>
      </c>
      <c r="AA256" s="181" t="s">
        <v>66</v>
      </c>
      <c r="AC256" s="182">
        <f t="shared" si="47"/>
        <v>103649777.83769225</v>
      </c>
      <c r="AD256" s="191">
        <f t="shared" si="45"/>
        <v>22367.318189527821</v>
      </c>
    </row>
    <row r="257" spans="1:30" ht="14.4">
      <c r="A257" s="187">
        <v>41671</v>
      </c>
      <c r="B257" s="182">
        <v>7957338</v>
      </c>
      <c r="C257" s="182">
        <v>344281.02748392033</v>
      </c>
      <c r="D257" s="182">
        <v>7613056.9725160794</v>
      </c>
      <c r="E257" s="182">
        <v>132023.36653851718</v>
      </c>
      <c r="F257" s="189">
        <f t="shared" si="46"/>
        <v>-90239.407304503024</v>
      </c>
      <c r="G257" s="182">
        <v>7825314.6334614828</v>
      </c>
      <c r="H257" s="182"/>
      <c r="I257" s="182">
        <v>7481033.6059775623</v>
      </c>
      <c r="J257" s="182"/>
      <c r="K257" s="182">
        <v>7222438.7404026352</v>
      </c>
      <c r="L257" s="182"/>
      <c r="M257" s="182">
        <v>7097189.3589033885</v>
      </c>
      <c r="N257" s="182">
        <v>125249.38149924669</v>
      </c>
      <c r="O257" s="182">
        <v>7548084.540402635</v>
      </c>
      <c r="P257" s="182">
        <v>325645.80000000005</v>
      </c>
      <c r="Q257" s="182">
        <v>3.971290972390551E-2</v>
      </c>
      <c r="R257" s="182">
        <v>0</v>
      </c>
      <c r="S257" s="182">
        <f t="shared" si="44"/>
        <v>103624429.67196554</v>
      </c>
      <c r="T257" s="192">
        <f t="shared" si="42"/>
        <v>1.0090344106300275E-2</v>
      </c>
      <c r="W257" s="182">
        <v>4641301.916666667</v>
      </c>
      <c r="X257" s="183">
        <f t="shared" si="48"/>
        <v>22326.586706168746</v>
      </c>
      <c r="Y257" s="192">
        <f t="shared" si="43"/>
        <v>-2.7811950028240329E-3</v>
      </c>
      <c r="AA257" s="181" t="s">
        <v>67</v>
      </c>
      <c r="AC257" s="182">
        <f t="shared" si="47"/>
        <v>104822549.40730451</v>
      </c>
      <c r="AD257" s="191">
        <f t="shared" si="45"/>
        <v>22584.729735183213</v>
      </c>
    </row>
    <row r="258" spans="1:30" ht="14.4">
      <c r="A258" s="187">
        <v>41699</v>
      </c>
      <c r="B258" s="182">
        <v>8490634</v>
      </c>
      <c r="C258" s="182">
        <v>376135.93025888689</v>
      </c>
      <c r="D258" s="182">
        <v>8114498.0697411131</v>
      </c>
      <c r="E258" s="182">
        <v>-215150.73558101058</v>
      </c>
      <c r="F258" s="189">
        <f t="shared" si="46"/>
        <v>393661.33719484415</v>
      </c>
      <c r="G258" s="182">
        <v>8705784.7355810106</v>
      </c>
      <c r="H258" s="182"/>
      <c r="I258" s="182">
        <v>8329648.8053221237</v>
      </c>
      <c r="J258" s="182"/>
      <c r="K258" s="182">
        <v>7659978.4882180374</v>
      </c>
      <c r="L258" s="182"/>
      <c r="M258" s="182">
        <v>7863077.9272850556</v>
      </c>
      <c r="N258" s="182">
        <v>-203099.43906701822</v>
      </c>
      <c r="O258" s="182">
        <v>8054749.7902180376</v>
      </c>
      <c r="P258" s="182">
        <v>394771.30200000003</v>
      </c>
      <c r="Q258" s="182">
        <v>2.7784305562264411E-2</v>
      </c>
      <c r="R258" s="182">
        <v>0</v>
      </c>
      <c r="S258" s="182">
        <f t="shared" si="44"/>
        <v>103836993.88277246</v>
      </c>
      <c r="T258" s="192">
        <f t="shared" si="42"/>
        <v>1.2837074039274254E-2</v>
      </c>
      <c r="W258" s="182">
        <v>4648724.75</v>
      </c>
      <c r="X258" s="183">
        <f t="shared" si="48"/>
        <v>22336.662088408753</v>
      </c>
      <c r="Y258" s="192">
        <f t="shared" si="43"/>
        <v>-1.0879907917697995E-3</v>
      </c>
      <c r="AA258" s="181" t="s">
        <v>68</v>
      </c>
      <c r="AC258" s="182">
        <f t="shared" si="47"/>
        <v>104359948.66280517</v>
      </c>
      <c r="AD258" s="191">
        <f t="shared" si="45"/>
        <v>22449.156333208408</v>
      </c>
    </row>
    <row r="259" spans="1:30" ht="14.4">
      <c r="A259" s="187">
        <v>41730</v>
      </c>
      <c r="B259" s="182">
        <v>9229956</v>
      </c>
      <c r="C259" s="182">
        <v>404235.1523767414</v>
      </c>
      <c r="D259" s="182">
        <v>8825720.8476232588</v>
      </c>
      <c r="E259" s="182">
        <v>300810.22483831272</v>
      </c>
      <c r="F259" s="189">
        <f t="shared" si="46"/>
        <v>-89943.317389861681</v>
      </c>
      <c r="G259" s="182">
        <v>8929145.7751616873</v>
      </c>
      <c r="H259" s="182"/>
      <c r="I259" s="182">
        <v>8524910.6227849461</v>
      </c>
      <c r="J259" s="182"/>
      <c r="K259" s="182">
        <v>8341756.4463813454</v>
      </c>
      <c r="L259" s="182"/>
      <c r="M259" s="182">
        <v>8057441.3546732096</v>
      </c>
      <c r="N259" s="182">
        <v>284315.09170813579</v>
      </c>
      <c r="O259" s="182">
        <v>8745991.3473813459</v>
      </c>
      <c r="P259" s="182">
        <v>404234.90100000007</v>
      </c>
      <c r="Q259" s="182">
        <v>4.9618158786626232E-3</v>
      </c>
      <c r="R259" s="182">
        <v>0</v>
      </c>
      <c r="S259" s="182">
        <f t="shared" si="44"/>
        <v>103876776.03153008</v>
      </c>
      <c r="T259" s="192">
        <f t="shared" ref="T259:T290" si="49">S259/S247-1</f>
        <v>1.3009333913337251E-2</v>
      </c>
      <c r="W259" s="182">
        <v>4656230.833333333</v>
      </c>
      <c r="X259" s="183">
        <f t="shared" si="48"/>
        <v>22309.198093850966</v>
      </c>
      <c r="Y259" s="192">
        <f t="shared" ref="Y259:Y290" si="50">X259/X247-1</f>
        <v>-1.9399715136066975E-3</v>
      </c>
      <c r="AA259" s="181" t="s">
        <v>69</v>
      </c>
      <c r="AC259" s="182">
        <f t="shared" si="47"/>
        <v>104366967.31738988</v>
      </c>
      <c r="AD259" s="191">
        <f t="shared" si="45"/>
        <v>22414.474508059335</v>
      </c>
    </row>
    <row r="260" spans="1:30" ht="14.4">
      <c r="A260" s="187">
        <v>41760</v>
      </c>
      <c r="B260" s="182">
        <v>10400290</v>
      </c>
      <c r="C260" s="182">
        <v>456352.08554473054</v>
      </c>
      <c r="D260" s="182">
        <v>9943937.9144552685</v>
      </c>
      <c r="E260" s="182">
        <v>228805.48007635772</v>
      </c>
      <c r="F260" s="189">
        <f t="shared" si="46"/>
        <v>847505.12870264892</v>
      </c>
      <c r="G260" s="182">
        <v>10171484.519923642</v>
      </c>
      <c r="H260" s="182"/>
      <c r="I260" s="182">
        <v>9715132.4343789108</v>
      </c>
      <c r="J260" s="182"/>
      <c r="K260" s="182">
        <v>9394723.2679032832</v>
      </c>
      <c r="L260" s="182"/>
      <c r="M260" s="182">
        <v>9178554.9665734489</v>
      </c>
      <c r="N260" s="182">
        <v>216168.30132983439</v>
      </c>
      <c r="O260" s="182">
        <v>9851075.4389032833</v>
      </c>
      <c r="P260" s="182">
        <v>456352.17099999997</v>
      </c>
      <c r="Q260" s="182">
        <v>-1.8078732599717706E-2</v>
      </c>
      <c r="R260" s="182">
        <v>0</v>
      </c>
      <c r="S260" s="182">
        <f t="shared" ref="S260:S323" si="51">SUM(M249:M260)</f>
        <v>103707784.23310225</v>
      </c>
      <c r="T260" s="192">
        <f t="shared" si="49"/>
        <v>9.618768970191649E-3</v>
      </c>
      <c r="W260" s="182">
        <v>4663802.583333333</v>
      </c>
      <c r="X260" s="183">
        <f t="shared" si="48"/>
        <v>22236.744025940261</v>
      </c>
      <c r="Y260" s="192">
        <f t="shared" si="50"/>
        <v>-6.2676147632340085E-3</v>
      </c>
      <c r="AA260" s="181" t="s">
        <v>70</v>
      </c>
      <c r="AC260" s="182">
        <f t="shared" si="47"/>
        <v>103165486.87129733</v>
      </c>
      <c r="AD260" s="191">
        <f t="shared" si="45"/>
        <v>22120.466084900712</v>
      </c>
    </row>
    <row r="261" spans="1:30" ht="14.4">
      <c r="A261" s="187">
        <v>41791</v>
      </c>
      <c r="B261" s="182">
        <v>10437993</v>
      </c>
      <c r="C261" s="182">
        <v>567584.67627681454</v>
      </c>
      <c r="D261" s="182">
        <v>9870408.3237231858</v>
      </c>
      <c r="E261" s="182">
        <v>-359647.9812663421</v>
      </c>
      <c r="F261" s="189">
        <f t="shared" si="46"/>
        <v>1088701.9025227306</v>
      </c>
      <c r="G261" s="182">
        <v>10797640.981266342</v>
      </c>
      <c r="H261" s="182"/>
      <c r="I261" s="182">
        <v>10230056.304989528</v>
      </c>
      <c r="J261" s="182"/>
      <c r="K261" s="182">
        <v>9342340.8031526133</v>
      </c>
      <c r="L261" s="182"/>
      <c r="M261" s="182">
        <v>9682747.5928170774</v>
      </c>
      <c r="N261" s="182">
        <v>-340406.78966446407</v>
      </c>
      <c r="O261" s="182">
        <v>9909924.8631526139</v>
      </c>
      <c r="P261" s="182">
        <v>567584.06000000006</v>
      </c>
      <c r="Q261" s="182">
        <v>3.348007400922004E-3</v>
      </c>
      <c r="R261" s="182">
        <v>0</v>
      </c>
      <c r="S261" s="182">
        <f t="shared" si="51"/>
        <v>103740093.97046445</v>
      </c>
      <c r="T261" s="192">
        <f t="shared" si="49"/>
        <v>7.5457047676259492E-3</v>
      </c>
      <c r="W261" s="182">
        <v>4671448.833333333</v>
      </c>
      <c r="X261" s="183">
        <f t="shared" si="48"/>
        <v>22207.263243519305</v>
      </c>
      <c r="Y261" s="192">
        <f t="shared" si="50"/>
        <v>-9.2412279573800271E-3</v>
      </c>
      <c r="AA261" s="181" t="s">
        <v>71</v>
      </c>
      <c r="AC261" s="182">
        <f t="shared" si="47"/>
        <v>102865055.09747727</v>
      </c>
      <c r="AD261" s="191">
        <f t="shared" si="45"/>
        <v>22019.94686605129</v>
      </c>
    </row>
    <row r="262" spans="1:30" ht="14.4">
      <c r="A262" s="187">
        <v>41821</v>
      </c>
      <c r="B262" s="182">
        <v>11387222</v>
      </c>
      <c r="C262" s="182">
        <v>568317.98575270048</v>
      </c>
      <c r="D262" s="182">
        <v>10818904.0142473</v>
      </c>
      <c r="E262" s="182">
        <v>-163689.25041462108</v>
      </c>
      <c r="F262" s="189">
        <f t="shared" si="46"/>
        <v>1139451.8619354824</v>
      </c>
      <c r="G262" s="182">
        <v>11550911.250414621</v>
      </c>
      <c r="H262" s="182"/>
      <c r="I262" s="182">
        <v>10982593.264661921</v>
      </c>
      <c r="J262" s="182"/>
      <c r="K262" s="182">
        <v>10283164.695867747</v>
      </c>
      <c r="L262" s="182"/>
      <c r="M262" s="182">
        <v>10438748.248392111</v>
      </c>
      <c r="N262" s="182">
        <v>-155583.55252436362</v>
      </c>
      <c r="O262" s="182">
        <v>10851483.258867748</v>
      </c>
      <c r="P262" s="182">
        <v>568318.56300000008</v>
      </c>
      <c r="Q262" s="182">
        <v>2.3430219960332899E-2</v>
      </c>
      <c r="R262" s="182">
        <v>0</v>
      </c>
      <c r="S262" s="182">
        <f t="shared" si="51"/>
        <v>103979076.71965455</v>
      </c>
      <c r="T262" s="192">
        <f t="shared" si="49"/>
        <v>1.1227237828493219E-2</v>
      </c>
      <c r="W262" s="182">
        <v>4678806.833333333</v>
      </c>
      <c r="X262" s="183">
        <f t="shared" si="48"/>
        <v>22223.41729922979</v>
      </c>
      <c r="Y262" s="192">
        <f t="shared" si="50"/>
        <v>-6.395584940418475E-3</v>
      </c>
      <c r="AA262" s="181" t="s">
        <v>72</v>
      </c>
      <c r="AC262" s="182">
        <f t="shared" si="47"/>
        <v>102603232.1380645</v>
      </c>
      <c r="AD262" s="191">
        <f t="shared" si="45"/>
        <v>21929.358443927606</v>
      </c>
    </row>
    <row r="263" spans="1:30" ht="14.4">
      <c r="A263" s="187">
        <v>41852</v>
      </c>
      <c r="B263" s="182">
        <v>12124907</v>
      </c>
      <c r="C263" s="182">
        <v>653378.30976663041</v>
      </c>
      <c r="D263" s="182">
        <v>11471528.69023337</v>
      </c>
      <c r="E263" s="182">
        <v>307238.36378229409</v>
      </c>
      <c r="F263" s="189">
        <f t="shared" si="46"/>
        <v>864642.19384185877</v>
      </c>
      <c r="G263" s="182">
        <v>11817668.636217706</v>
      </c>
      <c r="H263" s="182"/>
      <c r="I263" s="182">
        <v>11164290.326451076</v>
      </c>
      <c r="J263" s="182"/>
      <c r="K263" s="182">
        <v>10862430.091974344</v>
      </c>
      <c r="L263" s="182"/>
      <c r="M263" s="182">
        <v>10571505.025378896</v>
      </c>
      <c r="N263" s="182">
        <v>290925.06659544818</v>
      </c>
      <c r="O263" s="182">
        <v>11516183.249974344</v>
      </c>
      <c r="P263" s="182">
        <v>653753.15800000005</v>
      </c>
      <c r="Q263" s="182">
        <v>1.4000363056571707E-2</v>
      </c>
      <c r="R263" s="182">
        <v>0</v>
      </c>
      <c r="S263" s="182">
        <f t="shared" si="51"/>
        <v>104125038.11552973</v>
      </c>
      <c r="T263" s="192">
        <f t="shared" si="49"/>
        <v>1.2245040482444791E-2</v>
      </c>
      <c r="W263" s="182">
        <v>4685654.75</v>
      </c>
      <c r="X263" s="183">
        <f t="shared" si="48"/>
        <v>22222.089264158811</v>
      </c>
      <c r="Y263" s="192">
        <f t="shared" si="50"/>
        <v>-5.9279798546236773E-3</v>
      </c>
      <c r="AA263" s="181" t="s">
        <v>73</v>
      </c>
      <c r="AC263" s="182">
        <f t="shared" si="47"/>
        <v>102873045.80615814</v>
      </c>
      <c r="AD263" s="191">
        <f t="shared" si="45"/>
        <v>21954.892388552133</v>
      </c>
    </row>
    <row r="264" spans="1:30" ht="14.4">
      <c r="A264" s="187">
        <v>41883</v>
      </c>
      <c r="B264" s="182">
        <v>10640900</v>
      </c>
      <c r="C264" s="182">
        <v>549725.12425526208</v>
      </c>
      <c r="D264" s="182">
        <v>10091174.875744738</v>
      </c>
      <c r="E264" s="182">
        <v>-325369.44584413432</v>
      </c>
      <c r="F264" s="189">
        <f t="shared" si="46"/>
        <v>1281510.1176920729</v>
      </c>
      <c r="G264" s="182">
        <v>10966269.445844134</v>
      </c>
      <c r="H264" s="182"/>
      <c r="I264" s="182">
        <v>10416544.321588872</v>
      </c>
      <c r="J264" s="182"/>
      <c r="K264" s="182">
        <v>9565930.3535074405</v>
      </c>
      <c r="L264" s="182"/>
      <c r="M264" s="182">
        <v>9874364.3561314009</v>
      </c>
      <c r="N264" s="182">
        <v>-308434.00262396038</v>
      </c>
      <c r="O264" s="182">
        <v>10115280.291507442</v>
      </c>
      <c r="P264" s="182">
        <v>549349.93800000008</v>
      </c>
      <c r="Q264" s="182">
        <v>3.361541821122227E-2</v>
      </c>
      <c r="R264" s="182">
        <v>0</v>
      </c>
      <c r="S264" s="182">
        <f t="shared" si="51"/>
        <v>104446173.88958366</v>
      </c>
      <c r="T264" s="192">
        <f t="shared" si="49"/>
        <v>1.4050912122657744E-2</v>
      </c>
      <c r="W264" s="182">
        <v>4691857.916666667</v>
      </c>
      <c r="X264" s="183">
        <f t="shared" si="48"/>
        <v>22261.154481802274</v>
      </c>
      <c r="Y264" s="192">
        <f t="shared" si="50"/>
        <v>-4.2946824295055919E-3</v>
      </c>
      <c r="AA264" s="181" t="s">
        <v>74</v>
      </c>
      <c r="AC264" s="182">
        <f t="shared" si="47"/>
        <v>104352320.88230792</v>
      </c>
      <c r="AD264" s="191">
        <f t="shared" si="45"/>
        <v>22241.151103835018</v>
      </c>
    </row>
    <row r="265" spans="1:30" ht="14.4">
      <c r="A265" s="187">
        <v>41913</v>
      </c>
      <c r="B265" s="182">
        <v>10073732</v>
      </c>
      <c r="C265" s="182">
        <v>514236.19213414652</v>
      </c>
      <c r="D265" s="182">
        <v>9559495.8078658544</v>
      </c>
      <c r="E265" s="182">
        <v>-148818.18572106399</v>
      </c>
      <c r="F265" s="189">
        <f t="shared" si="46"/>
        <v>740583.60864240583</v>
      </c>
      <c r="G265" s="182">
        <v>10222550.185721064</v>
      </c>
      <c r="H265" s="182"/>
      <c r="I265" s="182">
        <v>9708313.9935869183</v>
      </c>
      <c r="J265" s="182"/>
      <c r="K265" s="182">
        <v>9035791.3832478598</v>
      </c>
      <c r="L265" s="182"/>
      <c r="M265" s="182">
        <v>9176456.7600873485</v>
      </c>
      <c r="N265" s="182">
        <v>-140665.37683948874</v>
      </c>
      <c r="O265" s="182">
        <v>9552272.7272478603</v>
      </c>
      <c r="P265" s="182">
        <v>516481.34400000004</v>
      </c>
      <c r="Q265" s="182">
        <v>1.865467151737521E-2</v>
      </c>
      <c r="R265" s="182">
        <v>0</v>
      </c>
      <c r="S265" s="182">
        <f t="shared" si="51"/>
        <v>104614222.77929997</v>
      </c>
      <c r="T265" s="192">
        <f t="shared" si="49"/>
        <v>1.4768899451693018E-2</v>
      </c>
      <c r="W265" s="182">
        <v>4697649.25</v>
      </c>
      <c r="X265" s="183">
        <f t="shared" si="48"/>
        <v>22269.483567616287</v>
      </c>
      <c r="Y265" s="192">
        <f t="shared" si="50"/>
        <v>-3.4740567256482668E-3</v>
      </c>
      <c r="AA265" s="181" t="s">
        <v>75</v>
      </c>
      <c r="AC265" s="182">
        <f t="shared" si="47"/>
        <v>105565466.39135759</v>
      </c>
      <c r="AD265" s="191">
        <f t="shared" si="45"/>
        <v>22471.977104582165</v>
      </c>
    </row>
    <row r="266" spans="1:30" ht="14.4">
      <c r="A266" s="187">
        <v>41944</v>
      </c>
      <c r="B266" s="182">
        <v>8128958</v>
      </c>
      <c r="C266" s="182">
        <v>361611.10968608659</v>
      </c>
      <c r="D266" s="182">
        <v>7767346.8903139131</v>
      </c>
      <c r="E266" s="182">
        <v>-190406.15703111142</v>
      </c>
      <c r="F266" s="189">
        <f t="shared" si="46"/>
        <v>69236.087549036369</v>
      </c>
      <c r="G266" s="182">
        <v>8319364.1570311114</v>
      </c>
      <c r="H266" s="182"/>
      <c r="I266" s="182">
        <v>7957753.0473450245</v>
      </c>
      <c r="J266" s="182"/>
      <c r="K266" s="182">
        <v>7358859.4206027668</v>
      </c>
      <c r="L266" s="182"/>
      <c r="M266" s="182">
        <v>7539252.051728392</v>
      </c>
      <c r="N266" s="182">
        <v>-180392.63112562522</v>
      </c>
      <c r="O266" s="182">
        <v>7720250.5306027671</v>
      </c>
      <c r="P266" s="182">
        <v>361391.11</v>
      </c>
      <c r="Q266" s="182">
        <v>2.3632699915796973E-2</v>
      </c>
      <c r="R266" s="182">
        <v>0</v>
      </c>
      <c r="S266" s="182">
        <f t="shared" si="51"/>
        <v>104788282.1673429</v>
      </c>
      <c r="T266" s="192">
        <f t="shared" si="49"/>
        <v>1.6655498862212958E-2</v>
      </c>
      <c r="W266" s="182">
        <v>4703211.25</v>
      </c>
      <c r="X266" s="183">
        <f t="shared" si="48"/>
        <v>22280.156386201641</v>
      </c>
      <c r="Y266" s="192">
        <f t="shared" si="50"/>
        <v>-1.341121579118032E-3</v>
      </c>
      <c r="AA266" s="181" t="s">
        <v>76</v>
      </c>
      <c r="AC266" s="182">
        <f t="shared" si="47"/>
        <v>107804855.91245095</v>
      </c>
      <c r="AD266" s="191">
        <f t="shared" si="45"/>
        <v>22921.542363730943</v>
      </c>
    </row>
    <row r="267" spans="1:30" ht="14.4">
      <c r="A267" s="187">
        <v>41974</v>
      </c>
      <c r="B267" s="182">
        <v>8457394</v>
      </c>
      <c r="C267" s="182">
        <v>420073.94179909502</v>
      </c>
      <c r="D267" s="182">
        <v>8037320.0582009051</v>
      </c>
      <c r="E267" s="182">
        <v>-72851.783822117373</v>
      </c>
      <c r="F267" s="189">
        <f t="shared" si="46"/>
        <v>-366618.08336374536</v>
      </c>
      <c r="G267" s="182">
        <v>8530245.7838221174</v>
      </c>
      <c r="H267" s="182"/>
      <c r="I267" s="182">
        <v>8110171.8420230225</v>
      </c>
      <c r="J267" s="182"/>
      <c r="K267" s="182">
        <v>7641396.3037575698</v>
      </c>
      <c r="L267" s="182"/>
      <c r="M267" s="182">
        <v>7710659.3600486349</v>
      </c>
      <c r="N267" s="182">
        <v>-69263.056291065179</v>
      </c>
      <c r="O267" s="182">
        <v>8061689.91875757</v>
      </c>
      <c r="P267" s="182">
        <v>420293.61499999999</v>
      </c>
      <c r="Q267" s="182">
        <v>7.942297580087132E-3</v>
      </c>
      <c r="R267" s="182">
        <v>0</v>
      </c>
      <c r="S267" s="182">
        <f t="shared" si="51"/>
        <v>104849039.96203335</v>
      </c>
      <c r="T267" s="192">
        <f t="shared" si="49"/>
        <v>1.5994803698344384E-2</v>
      </c>
      <c r="W267" s="182">
        <v>4708829.333333333</v>
      </c>
      <c r="X267" s="183">
        <f t="shared" si="48"/>
        <v>22266.476981830165</v>
      </c>
      <c r="Y267" s="192">
        <f t="shared" si="50"/>
        <v>-1.6751708449834757E-3</v>
      </c>
      <c r="AA267" s="181" t="s">
        <v>77</v>
      </c>
      <c r="AB267" s="181">
        <f>YEAR(A267)</f>
        <v>2014</v>
      </c>
      <c r="AC267" s="182">
        <f>SUM(G256:G267)</f>
        <v>116402558.86718586</v>
      </c>
      <c r="AD267" s="191">
        <f t="shared" si="45"/>
        <v>24720.063231679211</v>
      </c>
    </row>
    <row r="268" spans="1:30" ht="14.4">
      <c r="A268" s="187">
        <v>42005</v>
      </c>
      <c r="B268" s="182">
        <v>8447758</v>
      </c>
      <c r="C268" s="182">
        <v>443023.26890106068</v>
      </c>
      <c r="D268" s="182">
        <v>8004734.7310989397</v>
      </c>
      <c r="E268" s="182">
        <v>-254587.45195674896</v>
      </c>
      <c r="F268" s="189">
        <f t="shared" si="46"/>
        <v>-507056.10444491915</v>
      </c>
      <c r="G268" s="182">
        <v>8702345.451956749</v>
      </c>
      <c r="H268" s="182"/>
      <c r="I268" s="182">
        <v>8259322.1830556886</v>
      </c>
      <c r="J268" s="182"/>
      <c r="K268" s="182">
        <v>7569769.2782006413</v>
      </c>
      <c r="L268" s="182"/>
      <c r="M268" s="182">
        <v>7810522.8243425768</v>
      </c>
      <c r="N268" s="182">
        <v>-240753.54614193551</v>
      </c>
      <c r="O268" s="182">
        <v>8014092.697200641</v>
      </c>
      <c r="P268" s="182">
        <v>444323.41899999999</v>
      </c>
      <c r="Q268" s="182">
        <v>1.9777910258373943E-2</v>
      </c>
      <c r="R268" s="182">
        <v>0</v>
      </c>
      <c r="S268" s="182">
        <f t="shared" si="51"/>
        <v>105000519.82636155</v>
      </c>
      <c r="T268" s="192">
        <f t="shared" si="49"/>
        <v>1.5937313281949361E-2</v>
      </c>
      <c r="W268" s="182">
        <v>4714384</v>
      </c>
      <c r="X268" s="183">
        <f t="shared" si="48"/>
        <v>22272.373193690106</v>
      </c>
      <c r="Y268" s="192">
        <f t="shared" si="50"/>
        <v>-1.3888362088120276E-3</v>
      </c>
      <c r="AA268" s="181" t="s">
        <v>66</v>
      </c>
      <c r="AC268" s="182">
        <f t="shared" si="47"/>
        <v>107836380.10444492</v>
      </c>
      <c r="AD268" s="191">
        <f t="shared" si="45"/>
        <v>22873.906772219852</v>
      </c>
    </row>
    <row r="269" spans="1:30" ht="14.4">
      <c r="A269" s="187">
        <v>42036</v>
      </c>
      <c r="B269" s="182">
        <v>7676502</v>
      </c>
      <c r="C269" s="182">
        <v>476843.80740650056</v>
      </c>
      <c r="D269" s="182">
        <v>7199658.1925934991</v>
      </c>
      <c r="E269" s="182">
        <v>-113262.27789223474</v>
      </c>
      <c r="F269" s="189">
        <f t="shared" si="46"/>
        <v>-893666.92294018529</v>
      </c>
      <c r="G269" s="182">
        <v>7789764.2778922347</v>
      </c>
      <c r="H269" s="182"/>
      <c r="I269" s="182">
        <v>7312920.4704857338</v>
      </c>
      <c r="J269" s="182"/>
      <c r="K269" s="182">
        <v>6776322.0433878656</v>
      </c>
      <c r="L269" s="182"/>
      <c r="M269" s="182">
        <v>6882924.5583732324</v>
      </c>
      <c r="N269" s="182">
        <v>-106602.51498536672</v>
      </c>
      <c r="O269" s="182">
        <v>7256241.2413878655</v>
      </c>
      <c r="P269" s="182">
        <v>479919.19799999997</v>
      </c>
      <c r="Q269" s="182">
        <v>-3.0190092118841716E-2</v>
      </c>
      <c r="R269" s="182">
        <v>0</v>
      </c>
      <c r="S269" s="182">
        <f t="shared" si="51"/>
        <v>104786255.0258314</v>
      </c>
      <c r="T269" s="192">
        <f t="shared" si="49"/>
        <v>1.1211886594153064E-2</v>
      </c>
      <c r="W269" s="182">
        <v>4719905.833333333</v>
      </c>
      <c r="X269" s="183">
        <f t="shared" si="48"/>
        <v>22200.920680620515</v>
      </c>
      <c r="Y269" s="192">
        <f t="shared" si="50"/>
        <v>-5.628537277196477E-3</v>
      </c>
      <c r="AA269" s="181" t="s">
        <v>67</v>
      </c>
      <c r="AC269" s="182">
        <f t="shared" si="47"/>
        <v>108713410.92294019</v>
      </c>
      <c r="AD269" s="191">
        <f t="shared" si="45"/>
        <v>23032.961834783822</v>
      </c>
    </row>
    <row r="270" spans="1:30" ht="14.4">
      <c r="A270" s="187">
        <v>42064</v>
      </c>
      <c r="B270" s="182">
        <v>9442613</v>
      </c>
      <c r="C270" s="182">
        <v>521623.24214881909</v>
      </c>
      <c r="D270" s="182">
        <v>8920989.7578511816</v>
      </c>
      <c r="E270" s="182">
        <v>731490.9893482402</v>
      </c>
      <c r="F270" s="189">
        <f t="shared" si="46"/>
        <v>-791778.46525140945</v>
      </c>
      <c r="G270" s="182">
        <v>8711122.0106517598</v>
      </c>
      <c r="H270" s="182"/>
      <c r="I270" s="182">
        <v>8189498.7685029404</v>
      </c>
      <c r="J270" s="182"/>
      <c r="K270" s="182">
        <v>8477643.4214381725</v>
      </c>
      <c r="L270" s="182"/>
      <c r="M270" s="182">
        <v>7782505.3322780812</v>
      </c>
      <c r="N270" s="182">
        <v>695138.08916009124</v>
      </c>
      <c r="O270" s="182">
        <v>8994891.3234381732</v>
      </c>
      <c r="P270" s="182">
        <v>517247.902</v>
      </c>
      <c r="Q270" s="182">
        <v>-1.0246953642337187E-2</v>
      </c>
      <c r="R270" s="182">
        <v>0</v>
      </c>
      <c r="S270" s="182">
        <f t="shared" si="51"/>
        <v>104705682.43082441</v>
      </c>
      <c r="T270" s="192">
        <f t="shared" si="49"/>
        <v>8.3658869114862089E-3</v>
      </c>
      <c r="W270" s="182">
        <v>4725434.25</v>
      </c>
      <c r="X270" s="183">
        <f t="shared" si="48"/>
        <v>22157.89637340196</v>
      </c>
      <c r="Y270" s="192">
        <f t="shared" si="50"/>
        <v>-8.0032421271915011E-3</v>
      </c>
      <c r="AA270" s="181" t="s">
        <v>68</v>
      </c>
      <c r="AC270" s="182">
        <f t="shared" si="47"/>
        <v>107797390.46525142</v>
      </c>
      <c r="AD270" s="191">
        <f t="shared" si="45"/>
        <v>22812.165985644901</v>
      </c>
    </row>
    <row r="271" spans="1:30" ht="14.4">
      <c r="A271" s="187">
        <v>42095</v>
      </c>
      <c r="B271" s="182">
        <v>10158631</v>
      </c>
      <c r="C271" s="182">
        <v>571592.51912795834</v>
      </c>
      <c r="D271" s="182">
        <v>9587038.4808720425</v>
      </c>
      <c r="E271" s="182">
        <v>1161625.9937181305</v>
      </c>
      <c r="F271" s="189">
        <f t="shared" si="46"/>
        <v>-361097.70074148197</v>
      </c>
      <c r="G271" s="182">
        <v>8997005.0062818695</v>
      </c>
      <c r="H271" s="182"/>
      <c r="I271" s="182">
        <v>8425412.487153912</v>
      </c>
      <c r="J271" s="182"/>
      <c r="K271" s="182">
        <v>9129379.7947578803</v>
      </c>
      <c r="L271" s="182"/>
      <c r="M271" s="182">
        <v>8023206.6113212341</v>
      </c>
      <c r="N271" s="182">
        <v>1106173.1834366461</v>
      </c>
      <c r="O271" s="182">
        <v>9700972.3627578802</v>
      </c>
      <c r="P271" s="182">
        <v>571592.56799999997</v>
      </c>
      <c r="Q271" s="182">
        <v>-4.2488355602017247E-3</v>
      </c>
      <c r="R271" s="182">
        <v>0</v>
      </c>
      <c r="S271" s="182">
        <f t="shared" si="51"/>
        <v>104671447.68747245</v>
      </c>
      <c r="T271" s="192">
        <f t="shared" si="49"/>
        <v>7.6501378489177707E-3</v>
      </c>
      <c r="W271" s="182">
        <v>4730934.833333333</v>
      </c>
      <c r="X271" s="183">
        <f t="shared" si="48"/>
        <v>22124.897377570262</v>
      </c>
      <c r="Y271" s="192">
        <f t="shared" si="50"/>
        <v>-8.2611986098909407E-3</v>
      </c>
      <c r="AA271" s="181" t="s">
        <v>69</v>
      </c>
      <c r="AC271" s="182">
        <f t="shared" si="47"/>
        <v>107579366.7007415</v>
      </c>
      <c r="AD271" s="191">
        <f t="shared" ref="AD271:AD334" si="52">AC271/W271*1000</f>
        <v>22739.557928964958</v>
      </c>
    </row>
    <row r="272" spans="1:30" ht="14.4">
      <c r="A272" s="187">
        <v>42125</v>
      </c>
      <c r="B272" s="182">
        <v>10806023</v>
      </c>
      <c r="C272" s="182">
        <v>597264.48991897935</v>
      </c>
      <c r="D272" s="182">
        <v>10208758.510081021</v>
      </c>
      <c r="E272" s="182">
        <v>441307.48957394063</v>
      </c>
      <c r="F272" s="189">
        <f t="shared" ref="F272:F335" si="53">SUM(E261:E271)</f>
        <v>571722.81290029082</v>
      </c>
      <c r="G272" s="182">
        <v>10364715.510426059</v>
      </c>
      <c r="H272" s="182"/>
      <c r="I272" s="182">
        <v>9767451.0205070805</v>
      </c>
      <c r="J272" s="182"/>
      <c r="K272" s="182">
        <v>9735085.1057484709</v>
      </c>
      <c r="L272" s="182"/>
      <c r="M272" s="182">
        <v>9314253.7221317366</v>
      </c>
      <c r="N272" s="182">
        <v>420831.3836167343</v>
      </c>
      <c r="O272" s="182">
        <v>10332459.44374847</v>
      </c>
      <c r="P272" s="182">
        <v>597374.33799999999</v>
      </c>
      <c r="Q272" s="182">
        <v>1.478432673252783E-2</v>
      </c>
      <c r="R272" s="182">
        <v>0</v>
      </c>
      <c r="S272" s="182">
        <f t="shared" si="51"/>
        <v>104807146.44303074</v>
      </c>
      <c r="T272" s="192">
        <f t="shared" si="49"/>
        <v>1.0600575627548681E-2</v>
      </c>
      <c r="W272" s="182">
        <v>4736389.166666667</v>
      </c>
      <c r="X272" s="183">
        <f t="shared" si="48"/>
        <v>22128.069032129588</v>
      </c>
      <c r="Y272" s="192">
        <f t="shared" si="50"/>
        <v>-4.8871810407089544E-3</v>
      </c>
      <c r="AA272" s="181" t="s">
        <v>70</v>
      </c>
      <c r="AC272" s="182">
        <f t="shared" ref="AC272:AC335" si="54">SUM(G261:G271)</f>
        <v>106404887.18709971</v>
      </c>
      <c r="AD272" s="191">
        <f t="shared" si="52"/>
        <v>22465.402111791496</v>
      </c>
    </row>
    <row r="273" spans="1:30" ht="14.4">
      <c r="A273" s="187">
        <v>42156</v>
      </c>
      <c r="B273" s="182">
        <v>11385195</v>
      </c>
      <c r="C273" s="182">
        <v>613910.39584542776</v>
      </c>
      <c r="D273" s="182">
        <v>10771284.604154572</v>
      </c>
      <c r="E273" s="182">
        <v>360807.51109022088</v>
      </c>
      <c r="F273" s="189">
        <f t="shared" si="53"/>
        <v>1372678.2837405736</v>
      </c>
      <c r="G273" s="182">
        <v>11024387.488909779</v>
      </c>
      <c r="H273" s="182"/>
      <c r="I273" s="182">
        <v>10410477.093064351</v>
      </c>
      <c r="J273" s="182"/>
      <c r="K273" s="182">
        <v>10263481.310760314</v>
      </c>
      <c r="L273" s="182"/>
      <c r="M273" s="182">
        <v>9919683.7710102182</v>
      </c>
      <c r="N273" s="182">
        <v>343797.53975009546</v>
      </c>
      <c r="O273" s="182">
        <v>10877291.551760314</v>
      </c>
      <c r="P273" s="182">
        <v>613810.24099999992</v>
      </c>
      <c r="Q273" s="182">
        <v>2.446993231228145E-2</v>
      </c>
      <c r="R273" s="182">
        <v>0</v>
      </c>
      <c r="S273" s="182">
        <f t="shared" si="51"/>
        <v>105044082.62122387</v>
      </c>
      <c r="T273" s="192">
        <f t="shared" si="49"/>
        <v>1.2569765467251859E-2</v>
      </c>
      <c r="W273" s="182">
        <v>4741972.833333333</v>
      </c>
      <c r="X273" s="183">
        <f t="shared" si="48"/>
        <v>22151.978999716019</v>
      </c>
      <c r="Y273" s="192">
        <f t="shared" si="50"/>
        <v>-2.4894667657627823E-3</v>
      </c>
      <c r="AA273" s="181" t="s">
        <v>71</v>
      </c>
      <c r="AC273" s="182">
        <f t="shared" si="54"/>
        <v>105971961.71625942</v>
      </c>
      <c r="AD273" s="191">
        <f t="shared" si="52"/>
        <v>22347.652641815588</v>
      </c>
    </row>
    <row r="274" spans="1:30" ht="14.4">
      <c r="A274" s="187">
        <v>42186</v>
      </c>
      <c r="B274" s="182">
        <v>11894253</v>
      </c>
      <c r="C274" s="182">
        <v>683875.40050056728</v>
      </c>
      <c r="D274" s="182">
        <v>11210377.599499432</v>
      </c>
      <c r="E274" s="182">
        <v>138269.17272968777</v>
      </c>
      <c r="F274" s="189">
        <f t="shared" si="53"/>
        <v>1897175.0452454155</v>
      </c>
      <c r="G274" s="182">
        <v>11755983.827270312</v>
      </c>
      <c r="H274" s="182"/>
      <c r="I274" s="182">
        <v>11072108.426769745</v>
      </c>
      <c r="J274" s="182"/>
      <c r="K274" s="182">
        <v>10656448.845201142</v>
      </c>
      <c r="L274" s="182"/>
      <c r="M274" s="182">
        <v>10525011.84827715</v>
      </c>
      <c r="N274" s="182">
        <v>131436.99692399241</v>
      </c>
      <c r="O274" s="182">
        <v>11340324.518201143</v>
      </c>
      <c r="P274" s="182">
        <v>683875.67299999995</v>
      </c>
      <c r="Q274" s="182">
        <v>8.2637877485287614E-3</v>
      </c>
      <c r="R274" s="182">
        <v>0</v>
      </c>
      <c r="S274" s="182">
        <f t="shared" si="51"/>
        <v>105130346.22110891</v>
      </c>
      <c r="T274" s="192">
        <f t="shared" si="49"/>
        <v>1.1072126602531762E-2</v>
      </c>
      <c r="W274" s="182">
        <v>4747582.666666667</v>
      </c>
      <c r="X274" s="183">
        <f t="shared" si="48"/>
        <v>22143.973807816208</v>
      </c>
      <c r="Y274" s="192">
        <f t="shared" si="50"/>
        <v>-3.574764868242597E-3</v>
      </c>
      <c r="AA274" s="181" t="s">
        <v>72</v>
      </c>
      <c r="AC274" s="182">
        <f t="shared" si="54"/>
        <v>105445437.95475459</v>
      </c>
      <c r="AD274" s="191">
        <f t="shared" si="52"/>
        <v>22210.342685573301</v>
      </c>
    </row>
    <row r="275" spans="1:30" ht="14.4">
      <c r="A275" s="187">
        <v>42217</v>
      </c>
      <c r="B275" s="182">
        <v>11883008.315783957</v>
      </c>
      <c r="C275" s="182">
        <v>622223.59545253729</v>
      </c>
      <c r="D275" s="182">
        <v>11260784.720331419</v>
      </c>
      <c r="E275" s="182">
        <v>0</v>
      </c>
      <c r="F275" s="189">
        <f t="shared" si="53"/>
        <v>1728205.8541928092</v>
      </c>
      <c r="G275" s="182">
        <v>11883008.315783957</v>
      </c>
      <c r="H275" s="182"/>
      <c r="I275" s="182">
        <v>11260784.720331419</v>
      </c>
      <c r="J275" s="182"/>
      <c r="K275" s="182">
        <v>10677489.456405235</v>
      </c>
      <c r="L275" s="182"/>
      <c r="M275" s="182">
        <v>10677489.456405235</v>
      </c>
      <c r="N275" s="182">
        <v>0</v>
      </c>
      <c r="O275" s="182">
        <v>11299713.051857773</v>
      </c>
      <c r="P275" s="182">
        <v>622223.59545253729</v>
      </c>
      <c r="Q275" s="182">
        <v>1.0025481780683521E-2</v>
      </c>
      <c r="R275" s="182">
        <v>0</v>
      </c>
      <c r="S275" s="182">
        <f t="shared" si="51"/>
        <v>105236330.65213525</v>
      </c>
      <c r="T275" s="192">
        <f t="shared" si="49"/>
        <v>1.0672673515591091E-2</v>
      </c>
      <c r="W275" s="182">
        <v>4753274.1932036728</v>
      </c>
      <c r="X275" s="183">
        <f t="shared" si="48"/>
        <v>22139.755960765797</v>
      </c>
      <c r="Y275" s="192">
        <f t="shared" si="50"/>
        <v>-3.7050208202432655E-3</v>
      </c>
      <c r="AA275" s="181" t="s">
        <v>73</v>
      </c>
      <c r="AC275" s="182">
        <f t="shared" si="54"/>
        <v>105383753.14580719</v>
      </c>
      <c r="AD275" s="191">
        <f t="shared" si="52"/>
        <v>22170.770896508981</v>
      </c>
    </row>
    <row r="276" spans="1:30" ht="14.4">
      <c r="A276" s="187">
        <v>42248</v>
      </c>
      <c r="B276" s="182">
        <v>10918440.883903425</v>
      </c>
      <c r="C276" s="182">
        <v>570101.64488282963</v>
      </c>
      <c r="D276" s="182">
        <v>10348339.239020595</v>
      </c>
      <c r="E276" s="182">
        <v>0</v>
      </c>
      <c r="F276" s="189">
        <f t="shared" si="53"/>
        <v>2053575.3000369435</v>
      </c>
      <c r="G276" s="182">
        <v>10918440.883903425</v>
      </c>
      <c r="H276" s="182"/>
      <c r="I276" s="182">
        <v>10348339.239020595</v>
      </c>
      <c r="J276" s="182"/>
      <c r="K276" s="182">
        <v>9813478.3436242305</v>
      </c>
      <c r="L276" s="182"/>
      <c r="M276" s="182">
        <v>9813478.3436242305</v>
      </c>
      <c r="N276" s="182">
        <v>0</v>
      </c>
      <c r="O276" s="182">
        <v>10383579.98850706</v>
      </c>
      <c r="P276" s="182">
        <v>570101.64488282963</v>
      </c>
      <c r="Q276" s="182">
        <v>-6.1660690563198894E-3</v>
      </c>
      <c r="R276" s="182">
        <v>0</v>
      </c>
      <c r="S276" s="182">
        <f t="shared" si="51"/>
        <v>105175444.63962808</v>
      </c>
      <c r="T276" s="192">
        <f t="shared" si="49"/>
        <v>6.9822639057643965E-3</v>
      </c>
      <c r="W276" s="182">
        <v>4758978.9360600552</v>
      </c>
      <c r="X276" s="183">
        <f t="shared" si="48"/>
        <v>22100.422391594475</v>
      </c>
      <c r="Y276" s="192">
        <f t="shared" si="50"/>
        <v>-7.2202944523470647E-3</v>
      </c>
      <c r="AA276" s="181" t="s">
        <v>74</v>
      </c>
      <c r="AC276" s="182">
        <f t="shared" si="54"/>
        <v>106300492.01574701</v>
      </c>
      <c r="AD276" s="191">
        <f t="shared" si="52"/>
        <v>22336.827593473838</v>
      </c>
    </row>
    <row r="277" spans="1:30" ht="14.4">
      <c r="A277" s="187">
        <v>42278</v>
      </c>
      <c r="B277" s="182">
        <v>10212629.859842664</v>
      </c>
      <c r="C277" s="182">
        <v>514730.78563944838</v>
      </c>
      <c r="D277" s="182">
        <v>9697899.0742032155</v>
      </c>
      <c r="E277" s="182">
        <v>0</v>
      </c>
      <c r="F277" s="189">
        <f t="shared" si="53"/>
        <v>2202393.4857580075</v>
      </c>
      <c r="G277" s="182">
        <v>10212629.859842664</v>
      </c>
      <c r="H277" s="182"/>
      <c r="I277" s="182">
        <v>9697899.0742032155</v>
      </c>
      <c r="J277" s="182"/>
      <c r="K277" s="182">
        <v>9197322.4285161402</v>
      </c>
      <c r="L277" s="182"/>
      <c r="M277" s="182">
        <v>9197322.4285161402</v>
      </c>
      <c r="N277" s="182">
        <v>0</v>
      </c>
      <c r="O277" s="182">
        <v>9712053.2141555883</v>
      </c>
      <c r="P277" s="182">
        <v>514730.78563944838</v>
      </c>
      <c r="Q277" s="182">
        <v>2.2738262680588317E-3</v>
      </c>
      <c r="R277" s="182">
        <v>0</v>
      </c>
      <c r="S277" s="182">
        <f t="shared" si="51"/>
        <v>105196310.30805686</v>
      </c>
      <c r="T277" s="192">
        <f t="shared" si="49"/>
        <v>5.5641337601377572E-3</v>
      </c>
      <c r="W277" s="182">
        <v>4764689.7582219206</v>
      </c>
      <c r="X277" s="183">
        <f t="shared" si="48"/>
        <v>22078.312680595987</v>
      </c>
      <c r="Y277" s="192">
        <f t="shared" si="50"/>
        <v>-8.5844328827766603E-3</v>
      </c>
      <c r="AA277" s="181" t="s">
        <v>75</v>
      </c>
      <c r="AC277" s="182">
        <f t="shared" si="54"/>
        <v>106996382.71392938</v>
      </c>
      <c r="AD277" s="191">
        <f t="shared" si="52"/>
        <v>22456.106933152798</v>
      </c>
    </row>
    <row r="278" spans="1:30" ht="14.4">
      <c r="A278" s="187">
        <v>42309</v>
      </c>
      <c r="B278" s="182">
        <v>8459488.7909992673</v>
      </c>
      <c r="C278" s="182">
        <v>408367.24934129551</v>
      </c>
      <c r="D278" s="182">
        <v>8051121.5416579721</v>
      </c>
      <c r="E278" s="182">
        <v>0</v>
      </c>
      <c r="F278" s="189">
        <f t="shared" si="53"/>
        <v>2392799.6427891189</v>
      </c>
      <c r="G278" s="182">
        <v>8459488.7909992673</v>
      </c>
      <c r="H278" s="182"/>
      <c r="I278" s="182">
        <v>8051121.5416579721</v>
      </c>
      <c r="J278" s="182"/>
      <c r="K278" s="182">
        <v>7682683.1313840365</v>
      </c>
      <c r="L278" s="182"/>
      <c r="M278" s="182">
        <v>7682683.1313840365</v>
      </c>
      <c r="N278" s="182">
        <v>0</v>
      </c>
      <c r="O278" s="182">
        <v>8091050.3807253316</v>
      </c>
      <c r="P278" s="182">
        <v>408367.24934129551</v>
      </c>
      <c r="Q278" s="182">
        <v>1.9024576797742387E-2</v>
      </c>
      <c r="R278" s="182">
        <v>0</v>
      </c>
      <c r="S278" s="182">
        <f t="shared" si="51"/>
        <v>105339741.38771249</v>
      </c>
      <c r="T278" s="192">
        <f t="shared" si="49"/>
        <v>5.2626038805458908E-3</v>
      </c>
      <c r="W278" s="182">
        <v>4770384.8819023836</v>
      </c>
      <c r="X278" s="183">
        <f t="shared" si="48"/>
        <v>22082.021471127926</v>
      </c>
      <c r="Y278" s="192">
        <f t="shared" si="50"/>
        <v>-8.8928870892676093E-3</v>
      </c>
      <c r="AA278" s="181" t="s">
        <v>76</v>
      </c>
      <c r="AC278" s="182">
        <f t="shared" si="54"/>
        <v>108889648.41674094</v>
      </c>
      <c r="AD278" s="191">
        <f t="shared" si="52"/>
        <v>22826.176736774494</v>
      </c>
    </row>
    <row r="279" spans="1:30" ht="14.4">
      <c r="A279" s="187">
        <v>42339</v>
      </c>
      <c r="B279" s="182">
        <v>8678969.8890055567</v>
      </c>
      <c r="C279" s="182">
        <v>390227.52452308999</v>
      </c>
      <c r="D279" s="182">
        <v>8288742.3644824671</v>
      </c>
      <c r="E279" s="182">
        <v>0</v>
      </c>
      <c r="F279" s="189">
        <f t="shared" si="53"/>
        <v>2465651.4266112363</v>
      </c>
      <c r="G279" s="182">
        <v>8678969.8890055567</v>
      </c>
      <c r="H279" s="182"/>
      <c r="I279" s="182">
        <v>8288742.3644824671</v>
      </c>
      <c r="J279" s="182"/>
      <c r="K279" s="182">
        <v>7873640.6823298568</v>
      </c>
      <c r="L279" s="182"/>
      <c r="M279" s="182">
        <v>7873640.6823298568</v>
      </c>
      <c r="N279" s="182">
        <v>0</v>
      </c>
      <c r="O279" s="182">
        <v>8263868.2068529464</v>
      </c>
      <c r="P279" s="182">
        <v>390227.52452308999</v>
      </c>
      <c r="Q279" s="182">
        <v>2.1137144655317019E-2</v>
      </c>
      <c r="R279" s="182">
        <v>0</v>
      </c>
      <c r="S279" s="182">
        <f t="shared" si="51"/>
        <v>105502722.70999373</v>
      </c>
      <c r="T279" s="192">
        <f>S279/S267-1</f>
        <v>6.2345134318548823E-3</v>
      </c>
      <c r="W279" s="182">
        <v>4776053.2757671969</v>
      </c>
      <c r="X279" s="183">
        <f t="shared" si="48"/>
        <v>22089.938411134328</v>
      </c>
      <c r="Y279" s="192">
        <f>X279/X267-1</f>
        <v>-7.9284464641575791E-3</v>
      </c>
      <c r="AA279" s="181" t="s">
        <v>77</v>
      </c>
      <c r="AB279" s="181">
        <f>YEAR(A279)</f>
        <v>2015</v>
      </c>
      <c r="AC279" s="182">
        <f>SUM(G268:G279)</f>
        <v>117497861.31292364</v>
      </c>
      <c r="AD279" s="191">
        <f t="shared" si="52"/>
        <v>24601.455329044562</v>
      </c>
    </row>
    <row r="280" spans="1:30" ht="14.4">
      <c r="A280" s="187">
        <v>42370</v>
      </c>
      <c r="B280" s="182">
        <v>8808803.1125975437</v>
      </c>
      <c r="C280" s="182">
        <v>466471.98171701847</v>
      </c>
      <c r="D280" s="182">
        <v>8342331.1308805253</v>
      </c>
      <c r="E280" s="182">
        <v>0</v>
      </c>
      <c r="F280" s="189">
        <f t="shared" si="53"/>
        <v>2720238.8785679853</v>
      </c>
      <c r="G280" s="182">
        <v>8808803.1125975437</v>
      </c>
      <c r="H280" s="182"/>
      <c r="I280" s="182">
        <v>8342331.1308805253</v>
      </c>
      <c r="J280" s="182"/>
      <c r="K280" s="182">
        <v>7897462.508391967</v>
      </c>
      <c r="L280" s="182"/>
      <c r="M280" s="182">
        <v>7897462.508391967</v>
      </c>
      <c r="N280" s="182">
        <v>0</v>
      </c>
      <c r="O280" s="182">
        <v>8363934.4901089855</v>
      </c>
      <c r="P280" s="182">
        <v>466471.98171701847</v>
      </c>
      <c r="Q280" s="182">
        <v>1.1131096599376278E-2</v>
      </c>
      <c r="R280" s="182">
        <v>0</v>
      </c>
      <c r="S280" s="182">
        <f t="shared" si="51"/>
        <v>105589662.39404312</v>
      </c>
      <c r="T280" s="192">
        <f>S280/S268-1</f>
        <v>5.6108538191603774E-3</v>
      </c>
      <c r="W280" s="182">
        <v>4781705.9653444979</v>
      </c>
      <c r="X280" s="183">
        <f t="shared" si="48"/>
        <v>22082.006538943664</v>
      </c>
      <c r="Y280" s="192">
        <f>X280/X268-1</f>
        <v>-8.5472101733807815E-3</v>
      </c>
      <c r="AA280" s="181" t="s">
        <v>66</v>
      </c>
      <c r="AC280" s="182">
        <f t="shared" si="54"/>
        <v>108795515.86096689</v>
      </c>
      <c r="AD280" s="191">
        <f t="shared" si="52"/>
        <v>22752.447902373002</v>
      </c>
    </row>
    <row r="281" spans="1:30" ht="14.4">
      <c r="A281" s="187">
        <v>42401</v>
      </c>
      <c r="B281" s="182">
        <v>8194553.2661054842</v>
      </c>
      <c r="C281" s="182">
        <v>462381.62034869753</v>
      </c>
      <c r="D281" s="182">
        <v>7732171.6457567867</v>
      </c>
      <c r="E281" s="182">
        <v>0</v>
      </c>
      <c r="F281" s="189">
        <f t="shared" si="53"/>
        <v>2833501.15646022</v>
      </c>
      <c r="G281" s="182">
        <v>8194553.2661054842</v>
      </c>
      <c r="H281" s="182"/>
      <c r="I281" s="182">
        <v>7732171.6457567867</v>
      </c>
      <c r="J281" s="182"/>
      <c r="K281" s="182">
        <v>7320806.408904192</v>
      </c>
      <c r="L281" s="182"/>
      <c r="M281" s="182">
        <v>7320806.408904192</v>
      </c>
      <c r="N281" s="182">
        <v>0</v>
      </c>
      <c r="O281" s="182">
        <v>7783188.0292528896</v>
      </c>
      <c r="P281" s="182">
        <v>462381.62034869753</v>
      </c>
      <c r="Q281" s="182">
        <v>6.3618574752249302E-2</v>
      </c>
      <c r="R281" s="182">
        <v>0</v>
      </c>
      <c r="S281" s="182">
        <f t="shared" si="51"/>
        <v>106027544.24457407</v>
      </c>
      <c r="T281" s="192">
        <f>S281/S269-1</f>
        <v>1.1845916417536628E-2</v>
      </c>
      <c r="W281" s="182">
        <v>4787337.1875249622</v>
      </c>
      <c r="X281" s="183">
        <f t="shared" si="48"/>
        <v>22147.498722434873</v>
      </c>
      <c r="Y281" s="192">
        <f>X281/X269-1</f>
        <v>-2.4062947187715178E-3</v>
      </c>
      <c r="AA281" s="181" t="s">
        <v>67</v>
      </c>
      <c r="AC281" s="182">
        <f t="shared" si="54"/>
        <v>109814554.69567218</v>
      </c>
      <c r="AD281" s="191">
        <f t="shared" si="52"/>
        <v>22938.546083996633</v>
      </c>
    </row>
    <row r="282" spans="1:30" ht="14.4">
      <c r="A282" s="187">
        <v>42430</v>
      </c>
      <c r="B282" s="182">
        <v>8995609.4587945845</v>
      </c>
      <c r="C282" s="182">
        <v>540336.738537631</v>
      </c>
      <c r="D282" s="182">
        <v>8455272.7202569544</v>
      </c>
      <c r="E282" s="182">
        <v>0</v>
      </c>
      <c r="F282" s="189">
        <f t="shared" si="53"/>
        <v>2102010.1671119798</v>
      </c>
      <c r="G282" s="182">
        <v>8995609.4587945845</v>
      </c>
      <c r="H282" s="182"/>
      <c r="I282" s="182">
        <v>8455272.7202569544</v>
      </c>
      <c r="J282" s="182"/>
      <c r="K282" s="182">
        <v>8011829.9818514241</v>
      </c>
      <c r="L282" s="182"/>
      <c r="M282" s="182">
        <v>8011829.9818514241</v>
      </c>
      <c r="N282" s="182">
        <v>0</v>
      </c>
      <c r="O282" s="182">
        <v>8552166.7203890551</v>
      </c>
      <c r="P282" s="182">
        <v>540336.738537631</v>
      </c>
      <c r="Q282" s="182">
        <v>2.9466687111952883E-2</v>
      </c>
      <c r="R282" s="182">
        <v>0</v>
      </c>
      <c r="S282" s="182">
        <f t="shared" si="51"/>
        <v>106256868.89414743</v>
      </c>
      <c r="T282" s="192">
        <f>S282/S270-1</f>
        <v>1.4814730464584258E-2</v>
      </c>
      <c r="W282" s="182">
        <v>4792928.5257571125</v>
      </c>
      <c r="X282" s="183">
        <f t="shared" si="48"/>
        <v>22169.508333605412</v>
      </c>
      <c r="Y282" s="192">
        <f>X282/X270-1</f>
        <v>5.240551723759701E-4</v>
      </c>
      <c r="AA282" s="181" t="s">
        <v>68</v>
      </c>
      <c r="AC282" s="182">
        <f t="shared" si="54"/>
        <v>109297985.9511259</v>
      </c>
      <c r="AD282" s="191">
        <f t="shared" si="52"/>
        <v>22804.009148845111</v>
      </c>
    </row>
    <row r="283" spans="1:30" ht="14.4">
      <c r="A283" s="187">
        <v>42461</v>
      </c>
      <c r="B283" s="182">
        <v>9297257.7504615486</v>
      </c>
      <c r="C283" s="182">
        <v>583115.82919480139</v>
      </c>
      <c r="D283" s="182">
        <v>8714141.9212667476</v>
      </c>
      <c r="E283" s="182">
        <v>0</v>
      </c>
      <c r="F283" s="189">
        <f t="shared" si="53"/>
        <v>940384.17339384928</v>
      </c>
      <c r="G283" s="182">
        <v>9297257.7504615486</v>
      </c>
      <c r="H283" s="182"/>
      <c r="I283" s="182">
        <v>8714141.9212667476</v>
      </c>
      <c r="J283" s="182"/>
      <c r="K283" s="182">
        <v>8289652.1296234466</v>
      </c>
      <c r="L283" s="182"/>
      <c r="M283" s="182">
        <v>8289652.1296234466</v>
      </c>
      <c r="N283" s="182">
        <v>0</v>
      </c>
      <c r="O283" s="182">
        <v>8872767.9588182475</v>
      </c>
      <c r="P283" s="182">
        <v>583115.82919480139</v>
      </c>
      <c r="Q283" s="182">
        <v>3.3209355212944658E-2</v>
      </c>
      <c r="R283" s="182">
        <v>0</v>
      </c>
      <c r="S283" s="182">
        <f t="shared" si="51"/>
        <v>106523314.41244964</v>
      </c>
      <c r="T283" s="192">
        <f>S283/S271-1</f>
        <v>1.7692186034404367E-2</v>
      </c>
      <c r="W283" s="182">
        <v>4798567.4868474109</v>
      </c>
      <c r="X283" s="183">
        <f t="shared" si="48"/>
        <v>22198.982238850185</v>
      </c>
      <c r="Y283" s="192">
        <f>X283/X271-1</f>
        <v>3.3484838377162429E-3</v>
      </c>
      <c r="AA283" s="181" t="s">
        <v>69</v>
      </c>
      <c r="AC283" s="182">
        <f t="shared" si="54"/>
        <v>109296590.40363863</v>
      </c>
      <c r="AD283" s="191">
        <f t="shared" si="52"/>
        <v>22776.920550396364</v>
      </c>
    </row>
    <row r="284" spans="1:30" ht="14.4">
      <c r="A284" s="187">
        <v>42491</v>
      </c>
      <c r="B284" s="182">
        <v>10568988.114463476</v>
      </c>
      <c r="C284" s="182">
        <v>598605.86050821026</v>
      </c>
      <c r="D284" s="182">
        <v>9970382.2539552655</v>
      </c>
      <c r="E284" s="182">
        <v>0</v>
      </c>
      <c r="F284" s="189">
        <f t="shared" si="53"/>
        <v>499076.68381990865</v>
      </c>
      <c r="G284" s="182">
        <v>10568988.114463476</v>
      </c>
      <c r="H284" s="182"/>
      <c r="I284" s="182">
        <v>9970382.2539552655</v>
      </c>
      <c r="J284" s="182"/>
      <c r="K284" s="182">
        <v>9509735.0063876584</v>
      </c>
      <c r="L284" s="182"/>
      <c r="M284" s="182">
        <v>9509735.0063876584</v>
      </c>
      <c r="N284" s="182">
        <v>0</v>
      </c>
      <c r="O284" s="182">
        <v>10108340.866895869</v>
      </c>
      <c r="P284" s="182">
        <v>598605.86050821026</v>
      </c>
      <c r="Q284" s="182">
        <v>2.09873265306737E-2</v>
      </c>
      <c r="R284" s="182">
        <v>0</v>
      </c>
      <c r="S284" s="182">
        <f t="shared" si="51"/>
        <v>106718795.69670555</v>
      </c>
      <c r="T284" s="192">
        <f t="shared" si="49"/>
        <v>1.8239684206209139E-2</v>
      </c>
      <c r="W284" s="182">
        <v>4804308.0780511573</v>
      </c>
      <c r="X284" s="183">
        <f t="shared" si="48"/>
        <v>22213.145777278191</v>
      </c>
      <c r="Y284" s="192">
        <f t="shared" si="50"/>
        <v>3.8447432997914532E-3</v>
      </c>
      <c r="AA284" s="181" t="s">
        <v>70</v>
      </c>
      <c r="AC284" s="182">
        <f t="shared" si="54"/>
        <v>108229132.64367412</v>
      </c>
      <c r="AD284" s="191">
        <f t="shared" si="52"/>
        <v>22527.51715447372</v>
      </c>
    </row>
    <row r="285" spans="1:30" ht="14.4">
      <c r="A285" s="187">
        <v>42522</v>
      </c>
      <c r="B285" s="182">
        <v>11074872.688369358</v>
      </c>
      <c r="C285" s="182">
        <v>629857.35164141899</v>
      </c>
      <c r="D285" s="182">
        <v>10445015.33672794</v>
      </c>
      <c r="E285" s="182">
        <v>0</v>
      </c>
      <c r="F285" s="189">
        <f t="shared" si="53"/>
        <v>138269.17272968777</v>
      </c>
      <c r="G285" s="182">
        <v>11074872.688369358</v>
      </c>
      <c r="H285" s="182"/>
      <c r="I285" s="182">
        <v>10445015.33672794</v>
      </c>
      <c r="J285" s="182"/>
      <c r="K285" s="182">
        <v>9955675.1133548655</v>
      </c>
      <c r="L285" s="182"/>
      <c r="M285" s="182">
        <v>9955675.1133548655</v>
      </c>
      <c r="N285" s="182">
        <v>0</v>
      </c>
      <c r="O285" s="182">
        <v>10585532.464996284</v>
      </c>
      <c r="P285" s="182">
        <v>629857.35164141899</v>
      </c>
      <c r="Q285" s="182">
        <v>3.6282751724232565E-3</v>
      </c>
      <c r="R285" s="182">
        <v>0</v>
      </c>
      <c r="S285" s="182">
        <f t="shared" si="51"/>
        <v>106754787.03905019</v>
      </c>
      <c r="T285" s="192">
        <f>S285/S273-1</f>
        <v>1.628558577635375E-2</v>
      </c>
      <c r="W285" s="182">
        <v>4810089.3693169961</v>
      </c>
      <c r="X285" s="183">
        <f t="shared" si="48"/>
        <v>22193.930058769103</v>
      </c>
      <c r="Y285" s="192">
        <f>X285/X273-1</f>
        <v>1.8937838038588506E-3</v>
      </c>
      <c r="AA285" s="181" t="s">
        <v>71</v>
      </c>
      <c r="AC285" s="182">
        <f t="shared" si="54"/>
        <v>107773733.26922782</v>
      </c>
      <c r="AD285" s="191">
        <f t="shared" si="52"/>
        <v>22405.765255985472</v>
      </c>
    </row>
    <row r="286" spans="1:30" ht="14.4">
      <c r="A286" s="187">
        <v>42552</v>
      </c>
      <c r="B286" s="182">
        <v>11833884.051813323</v>
      </c>
      <c r="C286" s="182">
        <v>648939.79552758974</v>
      </c>
      <c r="D286" s="182">
        <v>11184944.256285733</v>
      </c>
      <c r="E286" s="182">
        <v>0</v>
      </c>
      <c r="F286" s="189">
        <f t="shared" si="53"/>
        <v>0</v>
      </c>
      <c r="G286" s="182">
        <v>11833884.051813323</v>
      </c>
      <c r="H286" s="182"/>
      <c r="I286" s="182">
        <v>11184944.256285733</v>
      </c>
      <c r="J286" s="182"/>
      <c r="K286" s="182">
        <v>10634231.542320203</v>
      </c>
      <c r="L286" s="182"/>
      <c r="M286" s="182">
        <v>10634231.542320203</v>
      </c>
      <c r="N286" s="182">
        <v>0</v>
      </c>
      <c r="O286" s="182">
        <v>11283171.337847793</v>
      </c>
      <c r="P286" s="182">
        <v>648939.79552758974</v>
      </c>
      <c r="Q286" s="182">
        <v>1.0377156398254428E-2</v>
      </c>
      <c r="R286" s="182">
        <v>0</v>
      </c>
      <c r="S286" s="182">
        <f t="shared" si="51"/>
        <v>106864006.73309325</v>
      </c>
      <c r="T286" s="192">
        <f t="shared" si="49"/>
        <v>1.6490581209902322E-2</v>
      </c>
      <c r="W286" s="182">
        <v>4815925.5715711983</v>
      </c>
      <c r="X286" s="183">
        <f t="shared" si="48"/>
        <v>22189.713097710686</v>
      </c>
      <c r="Y286" s="192">
        <f t="shared" si="50"/>
        <v>2.0655411847685379E-3</v>
      </c>
      <c r="AA286" s="181" t="s">
        <v>72</v>
      </c>
      <c r="AC286" s="182">
        <f t="shared" si="54"/>
        <v>107092622.13032687</v>
      </c>
      <c r="AD286" s="191">
        <f t="shared" si="52"/>
        <v>22237.183805851022</v>
      </c>
    </row>
    <row r="287" spans="1:30" ht="14.4">
      <c r="A287" s="187">
        <v>42583</v>
      </c>
      <c r="B287" s="182">
        <v>11995478.804426113</v>
      </c>
      <c r="C287" s="182">
        <v>625840.76746875758</v>
      </c>
      <c r="D287" s="182">
        <v>11369638.036957355</v>
      </c>
      <c r="E287" s="182">
        <v>0</v>
      </c>
      <c r="F287" s="189">
        <f t="shared" si="53"/>
        <v>0</v>
      </c>
      <c r="G287" s="182">
        <v>11995478.804426113</v>
      </c>
      <c r="H287" s="182"/>
      <c r="I287" s="182">
        <v>11369638.036957355</v>
      </c>
      <c r="J287" s="182"/>
      <c r="K287" s="182">
        <v>10780821.990615385</v>
      </c>
      <c r="L287" s="182"/>
      <c r="M287" s="182">
        <v>10780821.990615385</v>
      </c>
      <c r="N287" s="182">
        <v>0</v>
      </c>
      <c r="O287" s="182">
        <v>11406662.758084143</v>
      </c>
      <c r="P287" s="182">
        <v>625840.76746875758</v>
      </c>
      <c r="Q287" s="182">
        <v>9.6776058297263212E-3</v>
      </c>
      <c r="R287" s="182">
        <v>0</v>
      </c>
      <c r="S287" s="182">
        <f t="shared" si="51"/>
        <v>106967339.26730341</v>
      </c>
      <c r="T287" s="192">
        <f t="shared" si="49"/>
        <v>1.64487739589676E-2</v>
      </c>
      <c r="W287" s="182">
        <v>4821809.6449571652</v>
      </c>
      <c r="X287" s="183">
        <f t="shared" si="48"/>
        <v>22184.065142259191</v>
      </c>
      <c r="Y287" s="192">
        <f t="shared" si="50"/>
        <v>2.0013401038347922E-3</v>
      </c>
      <c r="AA287" s="181" t="s">
        <v>73</v>
      </c>
      <c r="AC287" s="182">
        <f t="shared" si="54"/>
        <v>107043497.86635624</v>
      </c>
      <c r="AD287" s="191">
        <f t="shared" si="52"/>
        <v>22199.859751474523</v>
      </c>
    </row>
    <row r="288" spans="1:30" ht="14.4">
      <c r="A288" s="187">
        <v>42614</v>
      </c>
      <c r="B288" s="182">
        <v>11061196.752127161</v>
      </c>
      <c r="C288" s="182">
        <v>594452.73818427173</v>
      </c>
      <c r="D288" s="182">
        <v>10466744.01394289</v>
      </c>
      <c r="E288" s="182">
        <v>0</v>
      </c>
      <c r="F288" s="189">
        <f t="shared" si="53"/>
        <v>0</v>
      </c>
      <c r="G288" s="182">
        <v>11061196.752127161</v>
      </c>
      <c r="H288" s="182"/>
      <c r="I288" s="182">
        <v>10466744.01394289</v>
      </c>
      <c r="J288" s="182"/>
      <c r="K288" s="182">
        <v>9924889.9468736537</v>
      </c>
      <c r="L288" s="182"/>
      <c r="M288" s="182">
        <v>9924889.9468736537</v>
      </c>
      <c r="N288" s="182">
        <v>0</v>
      </c>
      <c r="O288" s="182">
        <v>10519342.685057925</v>
      </c>
      <c r="P288" s="182">
        <v>594452.73818427173</v>
      </c>
      <c r="Q288" s="182">
        <v>1.135291680974726E-2</v>
      </c>
      <c r="R288" s="182">
        <v>0</v>
      </c>
      <c r="S288" s="182">
        <f t="shared" si="51"/>
        <v>107078750.87055282</v>
      </c>
      <c r="T288" s="192">
        <f t="shared" si="49"/>
        <v>1.8096488562004298E-2</v>
      </c>
      <c r="W288" s="182">
        <v>4827707.7896875972</v>
      </c>
      <c r="X288" s="183">
        <f t="shared" si="48"/>
        <v>22180.039790163424</v>
      </c>
      <c r="Y288" s="192">
        <f t="shared" si="50"/>
        <v>3.6025283661198504E-3</v>
      </c>
      <c r="AA288" s="181" t="s">
        <v>74</v>
      </c>
      <c r="AC288" s="182">
        <f t="shared" si="54"/>
        <v>108120535.78687893</v>
      </c>
      <c r="AD288" s="191">
        <f t="shared" si="52"/>
        <v>22395.832659514683</v>
      </c>
    </row>
    <row r="289" spans="1:30" ht="14.4">
      <c r="A289" s="187">
        <v>42644</v>
      </c>
      <c r="B289" s="182">
        <v>10360328.189388869</v>
      </c>
      <c r="C289" s="182">
        <v>540505.36523279164</v>
      </c>
      <c r="D289" s="182">
        <v>9819822.8241560776</v>
      </c>
      <c r="E289" s="182">
        <v>0</v>
      </c>
      <c r="F289" s="189">
        <f t="shared" si="53"/>
        <v>0</v>
      </c>
      <c r="G289" s="182">
        <v>10360328.189388869</v>
      </c>
      <c r="H289" s="182"/>
      <c r="I289" s="182">
        <v>9819822.8241560776</v>
      </c>
      <c r="J289" s="182"/>
      <c r="K289" s="182">
        <v>9312006.6784193087</v>
      </c>
      <c r="L289" s="182"/>
      <c r="M289" s="182">
        <v>9312006.6784193087</v>
      </c>
      <c r="N289" s="182">
        <v>0</v>
      </c>
      <c r="O289" s="182">
        <v>9852512.0436521005</v>
      </c>
      <c r="P289" s="182">
        <v>540505.36523279164</v>
      </c>
      <c r="Q289" s="182">
        <v>1.2469308409542412E-2</v>
      </c>
      <c r="R289" s="182">
        <v>0</v>
      </c>
      <c r="S289" s="182">
        <f t="shared" si="51"/>
        <v>107193435.120456</v>
      </c>
      <c r="T289" s="192">
        <f t="shared" si="49"/>
        <v>1.8984742017574163E-2</v>
      </c>
      <c r="W289" s="182">
        <v>4833612.2982841963</v>
      </c>
      <c r="X289" s="183">
        <f t="shared" si="48"/>
        <v>22176.672125421977</v>
      </c>
      <c r="Y289" s="192">
        <f t="shared" si="50"/>
        <v>4.4550254473221251E-3</v>
      </c>
      <c r="AA289" s="181" t="s">
        <v>75</v>
      </c>
      <c r="AC289" s="182">
        <f t="shared" si="54"/>
        <v>108969102.67916341</v>
      </c>
      <c r="AD289" s="191">
        <f t="shared" si="52"/>
        <v>22544.030417550151</v>
      </c>
    </row>
    <row r="290" spans="1:30" ht="14.4">
      <c r="A290" s="187">
        <v>42675</v>
      </c>
      <c r="B290" s="182">
        <v>8615994.318781063</v>
      </c>
      <c r="C290" s="182">
        <v>443461.63037062966</v>
      </c>
      <c r="D290" s="182">
        <v>8172532.688410433</v>
      </c>
      <c r="E290" s="182">
        <v>0</v>
      </c>
      <c r="F290" s="189">
        <f t="shared" si="53"/>
        <v>0</v>
      </c>
      <c r="G290" s="182">
        <v>8615994.318781063</v>
      </c>
      <c r="H290" s="182"/>
      <c r="I290" s="182">
        <v>8172532.688410433</v>
      </c>
      <c r="J290" s="182"/>
      <c r="K290" s="182">
        <v>7797277.9504269129</v>
      </c>
      <c r="L290" s="182"/>
      <c r="M290" s="182">
        <v>7797277.9504269129</v>
      </c>
      <c r="N290" s="182">
        <v>0</v>
      </c>
      <c r="O290" s="182">
        <v>8240739.5807975428</v>
      </c>
      <c r="P290" s="182">
        <v>443461.63037062966</v>
      </c>
      <c r="Q290" s="182">
        <v>1.491598925572668E-2</v>
      </c>
      <c r="R290" s="182">
        <v>0</v>
      </c>
      <c r="S290" s="182">
        <f t="shared" si="51"/>
        <v>107308029.93949887</v>
      </c>
      <c r="T290" s="192">
        <f t="shared" si="49"/>
        <v>1.8685146990649271E-2</v>
      </c>
      <c r="W290" s="182">
        <v>4839508.8742758203</v>
      </c>
      <c r="X290" s="183">
        <f t="shared" si="48"/>
        <v>22173.330543909036</v>
      </c>
      <c r="Y290" s="192">
        <f t="shared" si="50"/>
        <v>4.1349961053382955E-3</v>
      </c>
      <c r="AA290" s="181" t="s">
        <v>76</v>
      </c>
      <c r="AC290" s="182">
        <f t="shared" si="54"/>
        <v>110869942.07755302</v>
      </c>
      <c r="AD290" s="191">
        <f t="shared" si="52"/>
        <v>22909.337488123419</v>
      </c>
    </row>
    <row r="291" spans="1:30" ht="14.4">
      <c r="A291" s="187">
        <v>42705</v>
      </c>
      <c r="B291" s="182">
        <v>8817793.1841988545</v>
      </c>
      <c r="C291" s="182">
        <v>401672.96024525131</v>
      </c>
      <c r="D291" s="182">
        <v>8416120.2239536028</v>
      </c>
      <c r="E291" s="182">
        <v>0</v>
      </c>
      <c r="F291" s="189">
        <f t="shared" si="53"/>
        <v>0</v>
      </c>
      <c r="G291" s="182">
        <v>8817793.1841988545</v>
      </c>
      <c r="H291" s="182"/>
      <c r="I291" s="182">
        <v>8416120.2239536028</v>
      </c>
      <c r="J291" s="182"/>
      <c r="K291" s="182">
        <v>7994378.8386917897</v>
      </c>
      <c r="L291" s="182"/>
      <c r="M291" s="182">
        <v>7994378.8386917897</v>
      </c>
      <c r="N291" s="182">
        <v>0</v>
      </c>
      <c r="O291" s="182">
        <v>8396051.7989370413</v>
      </c>
      <c r="P291" s="182">
        <v>401672.96024525131</v>
      </c>
      <c r="Q291" s="182">
        <v>1.533447629035134E-2</v>
      </c>
      <c r="R291" s="182">
        <v>0</v>
      </c>
      <c r="S291" s="182">
        <f t="shared" si="51"/>
        <v>107428768.09586079</v>
      </c>
      <c r="T291" s="192">
        <f>S291/S279-1</f>
        <v>1.8255883226458325E-2</v>
      </c>
      <c r="W291" s="182">
        <v>4845389.9019186413</v>
      </c>
      <c r="X291" s="183">
        <f t="shared" si="48"/>
        <v>22171.336109261701</v>
      </c>
      <c r="Y291" s="192">
        <f>X291/X279-1</f>
        <v>3.6848313749189288E-3</v>
      </c>
      <c r="AA291" s="181" t="s">
        <v>77</v>
      </c>
      <c r="AB291" s="181">
        <f>YEAR(A291)</f>
        <v>2016</v>
      </c>
      <c r="AC291" s="182">
        <f>SUM(G280:G291)</f>
        <v>119624759.69152738</v>
      </c>
      <c r="AD291" s="191">
        <f t="shared" si="52"/>
        <v>24688.366078477866</v>
      </c>
    </row>
    <row r="292" spans="1:30" ht="14.4">
      <c r="A292" s="187">
        <f>+A280+366</f>
        <v>42736</v>
      </c>
      <c r="B292" s="182">
        <v>8847227.7248073239</v>
      </c>
      <c r="C292" s="182">
        <v>414705.32106865261</v>
      </c>
      <c r="D292" s="182">
        <v>8432522.4037386719</v>
      </c>
      <c r="E292" s="182">
        <v>0</v>
      </c>
      <c r="F292" s="189">
        <f t="shared" si="53"/>
        <v>0</v>
      </c>
      <c r="G292" s="182">
        <v>8847227.7248073239</v>
      </c>
      <c r="H292" s="182"/>
      <c r="I292" s="182">
        <v>8432522.4037386719</v>
      </c>
      <c r="J292" s="182"/>
      <c r="K292" s="182">
        <v>7985713.2333589951</v>
      </c>
      <c r="L292" s="182"/>
      <c r="M292" s="182">
        <v>7985713.2333589951</v>
      </c>
      <c r="N292" s="182">
        <v>0</v>
      </c>
      <c r="O292" s="182">
        <v>8400418.554427648</v>
      </c>
      <c r="P292" s="182">
        <v>414705.32106865261</v>
      </c>
      <c r="Q292" s="182">
        <v>1.1174567131309709E-2</v>
      </c>
      <c r="R292" s="182">
        <v>0</v>
      </c>
      <c r="S292" s="182">
        <f t="shared" si="51"/>
        <v>107517018.82082781</v>
      </c>
      <c r="T292" s="192">
        <f t="shared" ref="T292:T355" si="55">S292/S280-1</f>
        <v>1.8253268199609485E-2</v>
      </c>
      <c r="W292" s="182">
        <v>4851263.1739119766</v>
      </c>
      <c r="X292" s="183">
        <f t="shared" si="48"/>
        <v>22162.685256699424</v>
      </c>
      <c r="Y292" s="192">
        <f t="shared" ref="Y292:Y355" si="56">X292/X280-1</f>
        <v>3.6535954109728763E-3</v>
      </c>
      <c r="AA292" s="181" t="s">
        <v>66</v>
      </c>
      <c r="AC292" s="182">
        <f t="shared" si="54"/>
        <v>110815956.57892984</v>
      </c>
      <c r="AD292" s="191">
        <f t="shared" si="52"/>
        <v>22842.701499859002</v>
      </c>
    </row>
    <row r="293" spans="1:30" ht="14.4">
      <c r="A293" s="187">
        <f t="shared" ref="A293:A356" si="57">+A281+366</f>
        <v>42767</v>
      </c>
      <c r="B293" s="182">
        <v>7987296.8638781561</v>
      </c>
      <c r="C293" s="182">
        <v>415216.36457891751</v>
      </c>
      <c r="D293" s="182">
        <v>7572080.4992992384</v>
      </c>
      <c r="E293" s="182">
        <v>0</v>
      </c>
      <c r="F293" s="189">
        <f t="shared" si="53"/>
        <v>0</v>
      </c>
      <c r="G293" s="182">
        <v>7987296.8638781561</v>
      </c>
      <c r="H293" s="182"/>
      <c r="I293" s="182">
        <v>7572080.4992992384</v>
      </c>
      <c r="J293" s="182"/>
      <c r="K293" s="182">
        <v>7171119.5000204118</v>
      </c>
      <c r="L293" s="182"/>
      <c r="M293" s="182">
        <v>7171119.5000204118</v>
      </c>
      <c r="N293" s="182">
        <v>0</v>
      </c>
      <c r="O293" s="182">
        <v>7586335.8645993294</v>
      </c>
      <c r="P293" s="182">
        <v>415216.36457891751</v>
      </c>
      <c r="Q293" s="182">
        <v>-2.0446778745811134E-2</v>
      </c>
      <c r="R293" s="182">
        <v>0</v>
      </c>
      <c r="S293" s="182">
        <f t="shared" si="51"/>
        <v>107367331.91194405</v>
      </c>
      <c r="T293" s="192">
        <f t="shared" si="55"/>
        <v>1.2636222756225335E-2</v>
      </c>
      <c r="W293" s="182">
        <v>4857124.8344191546</v>
      </c>
      <c r="X293" s="183">
        <f t="shared" si="48"/>
        <v>22105.120945441729</v>
      </c>
      <c r="Y293" s="192">
        <f t="shared" si="56"/>
        <v>-1.9134339965088953E-3</v>
      </c>
      <c r="AA293" s="181" t="s">
        <v>67</v>
      </c>
      <c r="AC293" s="182">
        <f t="shared" si="54"/>
        <v>111468631.03763168</v>
      </c>
      <c r="AD293" s="191">
        <f t="shared" si="52"/>
        <v>22949.509192707788</v>
      </c>
    </row>
    <row r="294" spans="1:30" ht="14.4">
      <c r="A294" s="187">
        <f t="shared" si="57"/>
        <v>42796</v>
      </c>
      <c r="B294" s="182">
        <v>8977158.7783935312</v>
      </c>
      <c r="C294" s="182">
        <v>500437.49355396413</v>
      </c>
      <c r="D294" s="182">
        <v>8476721.2848395668</v>
      </c>
      <c r="E294" s="182">
        <v>0</v>
      </c>
      <c r="F294" s="189">
        <f t="shared" si="53"/>
        <v>0</v>
      </c>
      <c r="G294" s="182">
        <v>8977158.7783935312</v>
      </c>
      <c r="H294" s="182"/>
      <c r="I294" s="182">
        <v>8476721.2848395668</v>
      </c>
      <c r="J294" s="182"/>
      <c r="K294" s="182">
        <v>8034188.0812776703</v>
      </c>
      <c r="L294" s="182"/>
      <c r="M294" s="182">
        <v>8034188.0812776703</v>
      </c>
      <c r="N294" s="182">
        <v>0</v>
      </c>
      <c r="O294" s="182">
        <v>8534625.5748316348</v>
      </c>
      <c r="P294" s="182">
        <v>500437.49355396413</v>
      </c>
      <c r="Q294" s="182">
        <v>2.7906357819489358E-3</v>
      </c>
      <c r="R294" s="182">
        <v>0</v>
      </c>
      <c r="S294" s="182">
        <f t="shared" si="51"/>
        <v>107389690.01137029</v>
      </c>
      <c r="T294" s="192">
        <f t="shared" si="55"/>
        <v>1.0661156582275844E-2</v>
      </c>
      <c r="W294" s="182">
        <v>4862962.2869346803</v>
      </c>
      <c r="X294" s="183">
        <f t="shared" si="48"/>
        <v>22083.183803397806</v>
      </c>
      <c r="Y294" s="192">
        <f t="shared" si="56"/>
        <v>-3.8938405357755723E-3</v>
      </c>
      <c r="AA294" s="181" t="s">
        <v>68</v>
      </c>
      <c r="AC294" s="182">
        <f t="shared" si="54"/>
        <v>110460318.44271526</v>
      </c>
      <c r="AD294" s="191">
        <f t="shared" si="52"/>
        <v>22714.615480257573</v>
      </c>
    </row>
    <row r="295" spans="1:30" ht="14.4">
      <c r="A295" s="187">
        <f t="shared" si="57"/>
        <v>42827</v>
      </c>
      <c r="B295" s="182">
        <v>9245820.1920002718</v>
      </c>
      <c r="C295" s="182">
        <v>548136.4956326969</v>
      </c>
      <c r="D295" s="182">
        <v>8697683.6963675749</v>
      </c>
      <c r="E295" s="182">
        <v>0</v>
      </c>
      <c r="F295" s="189">
        <f t="shared" si="53"/>
        <v>0</v>
      </c>
      <c r="G295" s="182">
        <v>9245820.1920002718</v>
      </c>
      <c r="H295" s="182"/>
      <c r="I295" s="182">
        <v>8697683.6963675749</v>
      </c>
      <c r="J295" s="182"/>
      <c r="K295" s="182">
        <v>8275542.4164101835</v>
      </c>
      <c r="L295" s="182"/>
      <c r="M295" s="182">
        <v>8275542.4164101835</v>
      </c>
      <c r="N295" s="182">
        <v>0</v>
      </c>
      <c r="O295" s="182">
        <v>8823678.9120428804</v>
      </c>
      <c r="P295" s="182">
        <v>548136.4956326969</v>
      </c>
      <c r="Q295" s="182">
        <v>-1.7020874932545116E-3</v>
      </c>
      <c r="R295" s="182">
        <v>0</v>
      </c>
      <c r="S295" s="182">
        <f t="shared" si="51"/>
        <v>107375580.29815702</v>
      </c>
      <c r="T295" s="192">
        <f t="shared" si="55"/>
        <v>8.000745098931894E-3</v>
      </c>
      <c r="W295" s="182">
        <v>4868836.2239348469</v>
      </c>
      <c r="X295" s="183">
        <f t="shared" si="48"/>
        <v>22053.643901658968</v>
      </c>
      <c r="Y295" s="192">
        <f t="shared" si="56"/>
        <v>-6.5470720967045759E-3</v>
      </c>
      <c r="AA295" s="181" t="s">
        <v>69</v>
      </c>
      <c r="AC295" s="182">
        <f t="shared" si="54"/>
        <v>110140219.47064725</v>
      </c>
      <c r="AD295" s="191">
        <f t="shared" si="52"/>
        <v>22621.467308595405</v>
      </c>
    </row>
    <row r="296" spans="1:30" ht="14.4">
      <c r="A296" s="187">
        <f t="shared" si="57"/>
        <v>42857</v>
      </c>
      <c r="B296" s="182">
        <v>10504682.402446391</v>
      </c>
      <c r="C296" s="182">
        <v>549160.10959578853</v>
      </c>
      <c r="D296" s="182">
        <v>9955522.2928506024</v>
      </c>
      <c r="E296" s="182">
        <v>0</v>
      </c>
      <c r="F296" s="189">
        <f t="shared" si="53"/>
        <v>0</v>
      </c>
      <c r="G296" s="182">
        <v>10504682.402446391</v>
      </c>
      <c r="H296" s="182"/>
      <c r="I296" s="182">
        <v>9955522.2928506024</v>
      </c>
      <c r="J296" s="182"/>
      <c r="K296" s="182">
        <v>9497677.7969677113</v>
      </c>
      <c r="L296" s="182"/>
      <c r="M296" s="182">
        <v>9497677.7969677113</v>
      </c>
      <c r="N296" s="182">
        <v>0</v>
      </c>
      <c r="O296" s="182">
        <v>10046837.9065635</v>
      </c>
      <c r="P296" s="182">
        <v>549160.10959578853</v>
      </c>
      <c r="Q296" s="182">
        <v>-1.2678806940307208E-3</v>
      </c>
      <c r="R296" s="182">
        <v>0</v>
      </c>
      <c r="S296" s="182">
        <f t="shared" si="51"/>
        <v>107363523.08873709</v>
      </c>
      <c r="T296" s="192">
        <f t="shared" si="55"/>
        <v>6.0413668259886588E-3</v>
      </c>
      <c r="W296" s="182">
        <v>4874784.1598907011</v>
      </c>
      <c r="X296" s="183">
        <f t="shared" si="48"/>
        <v>22024.26190929945</v>
      </c>
      <c r="Y296" s="192">
        <f t="shared" si="56"/>
        <v>-8.5032471254904429E-3</v>
      </c>
      <c r="AA296" s="181" t="s">
        <v>70</v>
      </c>
      <c r="AC296" s="182">
        <f t="shared" si="54"/>
        <v>108817051.54818404</v>
      </c>
      <c r="AD296" s="191">
        <f t="shared" si="52"/>
        <v>22322.434794861532</v>
      </c>
    </row>
    <row r="297" spans="1:30" ht="14.4">
      <c r="A297" s="187">
        <f t="shared" si="57"/>
        <v>42888</v>
      </c>
      <c r="B297" s="182">
        <v>10996325.515224205</v>
      </c>
      <c r="C297" s="182">
        <v>569934.14067815104</v>
      </c>
      <c r="D297" s="182">
        <v>10426391.374546055</v>
      </c>
      <c r="E297" s="182">
        <v>0</v>
      </c>
      <c r="F297" s="189">
        <f t="shared" si="53"/>
        <v>0</v>
      </c>
      <c r="G297" s="182">
        <v>10996325.515224205</v>
      </c>
      <c r="H297" s="182"/>
      <c r="I297" s="182">
        <v>10426391.374546055</v>
      </c>
      <c r="J297" s="182"/>
      <c r="K297" s="182">
        <v>9940521.7365542967</v>
      </c>
      <c r="L297" s="182"/>
      <c r="M297" s="182">
        <v>9940521.7365542967</v>
      </c>
      <c r="N297" s="182">
        <v>0</v>
      </c>
      <c r="O297" s="182">
        <v>10510455.877232447</v>
      </c>
      <c r="P297" s="182">
        <v>569934.14067815104</v>
      </c>
      <c r="Q297" s="182">
        <v>-1.5220843014696062E-3</v>
      </c>
      <c r="R297" s="182">
        <v>0</v>
      </c>
      <c r="S297" s="182">
        <f t="shared" si="51"/>
        <v>107348369.71193652</v>
      </c>
      <c r="T297" s="192">
        <f t="shared" si="55"/>
        <v>5.5602440822555277E-3</v>
      </c>
      <c r="W297" s="182">
        <v>4880764.0594026139</v>
      </c>
      <c r="X297" s="183">
        <f t="shared" si="48"/>
        <v>21994.1731264665</v>
      </c>
      <c r="Y297" s="192">
        <f t="shared" si="56"/>
        <v>-9.0005209430529254E-3</v>
      </c>
      <c r="AA297" s="181" t="s">
        <v>71</v>
      </c>
      <c r="AC297" s="182">
        <f t="shared" si="54"/>
        <v>108246861.26226108</v>
      </c>
      <c r="AD297" s="191">
        <f t="shared" si="52"/>
        <v>22178.261424812667</v>
      </c>
    </row>
    <row r="298" spans="1:30" ht="14.4">
      <c r="A298" s="187">
        <f t="shared" si="57"/>
        <v>42918</v>
      </c>
      <c r="B298" s="182">
        <v>11750677.731709536</v>
      </c>
      <c r="C298" s="182">
        <v>583495.77374630468</v>
      </c>
      <c r="D298" s="182">
        <v>11167181.957963232</v>
      </c>
      <c r="E298" s="182">
        <v>0</v>
      </c>
      <c r="F298" s="189">
        <f t="shared" si="53"/>
        <v>0</v>
      </c>
      <c r="G298" s="182">
        <v>11750677.731709536</v>
      </c>
      <c r="H298" s="182"/>
      <c r="I298" s="182">
        <v>11167181.957963232</v>
      </c>
      <c r="J298" s="182"/>
      <c r="K298" s="182">
        <v>10620341.411255959</v>
      </c>
      <c r="L298" s="182"/>
      <c r="M298" s="182">
        <v>10620341.411255959</v>
      </c>
      <c r="N298" s="182">
        <v>0</v>
      </c>
      <c r="O298" s="182">
        <v>11203837.185002264</v>
      </c>
      <c r="P298" s="182">
        <v>583495.77374630468</v>
      </c>
      <c r="Q298" s="182">
        <v>-1.3061715845631428E-3</v>
      </c>
      <c r="R298" s="182">
        <v>0</v>
      </c>
      <c r="S298" s="182">
        <f t="shared" si="51"/>
        <v>107334479.58087227</v>
      </c>
      <c r="T298" s="192">
        <f t="shared" si="55"/>
        <v>4.4025379747747451E-3</v>
      </c>
      <c r="W298" s="182">
        <v>4886785.8704121001</v>
      </c>
      <c r="X298" s="183">
        <f t="shared" si="48"/>
        <v>21964.228109675863</v>
      </c>
      <c r="Y298" s="192">
        <f t="shared" si="56"/>
        <v>-1.0161690105767396E-2</v>
      </c>
      <c r="AA298" s="181" t="s">
        <v>72</v>
      </c>
      <c r="AC298" s="182">
        <f t="shared" si="54"/>
        <v>107409302.72567195</v>
      </c>
      <c r="AD298" s="191">
        <f t="shared" si="52"/>
        <v>21979.539430201014</v>
      </c>
    </row>
    <row r="299" spans="1:30" ht="14.4">
      <c r="A299" s="187">
        <f t="shared" si="57"/>
        <v>42949</v>
      </c>
      <c r="B299" s="182">
        <v>11913188.210152347</v>
      </c>
      <c r="C299" s="182">
        <v>560768.50148688117</v>
      </c>
      <c r="D299" s="182">
        <v>11352419.708665466</v>
      </c>
      <c r="E299" s="182">
        <v>0</v>
      </c>
      <c r="F299" s="189">
        <f t="shared" si="53"/>
        <v>0</v>
      </c>
      <c r="G299" s="182">
        <v>11913188.210152347</v>
      </c>
      <c r="H299" s="182"/>
      <c r="I299" s="182">
        <v>11352419.708665466</v>
      </c>
      <c r="J299" s="182"/>
      <c r="K299" s="182">
        <v>10767643.01941473</v>
      </c>
      <c r="L299" s="182"/>
      <c r="M299" s="182">
        <v>10767643.01941473</v>
      </c>
      <c r="N299" s="182">
        <v>0</v>
      </c>
      <c r="O299" s="182">
        <v>11328411.520901611</v>
      </c>
      <c r="P299" s="182">
        <v>560768.50148688117</v>
      </c>
      <c r="Q299" s="182">
        <v>-1.2224458591493237E-3</v>
      </c>
      <c r="R299" s="182">
        <v>0</v>
      </c>
      <c r="S299" s="182">
        <f t="shared" si="51"/>
        <v>107321300.60967162</v>
      </c>
      <c r="T299" s="192">
        <f t="shared" si="55"/>
        <v>3.3090599877751981E-3</v>
      </c>
      <c r="W299" s="182">
        <v>4892837.0241789296</v>
      </c>
      <c r="X299" s="183">
        <f t="shared" si="48"/>
        <v>21934.37060734335</v>
      </c>
      <c r="Y299" s="192">
        <f t="shared" si="56"/>
        <v>-1.1255580675346488E-2</v>
      </c>
      <c r="AA299" s="181" t="s">
        <v>73</v>
      </c>
      <c r="AC299" s="182">
        <f t="shared" si="54"/>
        <v>107164501.65295535</v>
      </c>
      <c r="AD299" s="191">
        <f t="shared" si="52"/>
        <v>21902.323973469913</v>
      </c>
    </row>
    <row r="300" spans="1:30" ht="14.4">
      <c r="A300" s="187">
        <f t="shared" si="57"/>
        <v>42980</v>
      </c>
      <c r="B300" s="182">
        <v>10982746.776574139</v>
      </c>
      <c r="C300" s="182">
        <v>537563.7290953761</v>
      </c>
      <c r="D300" s="182">
        <v>10445183.047478762</v>
      </c>
      <c r="E300" s="182">
        <v>0</v>
      </c>
      <c r="F300" s="189">
        <f t="shared" si="53"/>
        <v>0</v>
      </c>
      <c r="G300" s="182">
        <v>10982746.776574139</v>
      </c>
      <c r="H300" s="182"/>
      <c r="I300" s="182">
        <v>10445183.047478762</v>
      </c>
      <c r="J300" s="182"/>
      <c r="K300" s="182">
        <v>9907172.0038424768</v>
      </c>
      <c r="L300" s="182"/>
      <c r="M300" s="182">
        <v>9907172.0038424768</v>
      </c>
      <c r="N300" s="182">
        <v>0</v>
      </c>
      <c r="O300" s="182">
        <v>10444735.732937852</v>
      </c>
      <c r="P300" s="182">
        <v>537563.7290953761</v>
      </c>
      <c r="Q300" s="182">
        <v>-1.785202972125477E-3</v>
      </c>
      <c r="R300" s="182">
        <v>0</v>
      </c>
      <c r="S300" s="182">
        <f t="shared" si="51"/>
        <v>107303582.66664043</v>
      </c>
      <c r="T300" s="192">
        <f t="shared" si="55"/>
        <v>2.0996863921154407E-3</v>
      </c>
      <c r="W300" s="182">
        <v>4898894.2402407527</v>
      </c>
      <c r="X300" s="183">
        <f t="shared" si="48"/>
        <v>21903.633229152354</v>
      </c>
      <c r="Y300" s="192">
        <f t="shared" si="56"/>
        <v>-1.246195063787281E-2</v>
      </c>
      <c r="AA300" s="181" t="s">
        <v>74</v>
      </c>
      <c r="AC300" s="182">
        <f t="shared" si="54"/>
        <v>108016493.11098054</v>
      </c>
      <c r="AD300" s="191">
        <f t="shared" si="52"/>
        <v>22049.157996452712</v>
      </c>
    </row>
    <row r="301" spans="1:30" ht="14.4">
      <c r="A301" s="187">
        <f t="shared" si="57"/>
        <v>43010</v>
      </c>
      <c r="B301" s="182">
        <v>10297901.726722648</v>
      </c>
      <c r="C301" s="182">
        <v>496035.1630688422</v>
      </c>
      <c r="D301" s="182">
        <v>9801866.5636538062</v>
      </c>
      <c r="E301" s="182">
        <v>0</v>
      </c>
      <c r="F301" s="189">
        <f t="shared" si="53"/>
        <v>0</v>
      </c>
      <c r="G301" s="182">
        <v>10297901.726722648</v>
      </c>
      <c r="H301" s="182"/>
      <c r="I301" s="182">
        <v>9801866.5636538062</v>
      </c>
      <c r="J301" s="182"/>
      <c r="K301" s="182">
        <v>9297110.279060781</v>
      </c>
      <c r="L301" s="182"/>
      <c r="M301" s="182">
        <v>9297110.279060781</v>
      </c>
      <c r="N301" s="182">
        <v>0</v>
      </c>
      <c r="O301" s="182">
        <v>9793145.4421296231</v>
      </c>
      <c r="P301" s="182">
        <v>496035.1630688422</v>
      </c>
      <c r="Q301" s="182">
        <v>-1.5996980965499175E-3</v>
      </c>
      <c r="R301" s="182">
        <v>0</v>
      </c>
      <c r="S301" s="182">
        <f t="shared" si="51"/>
        <v>107288686.26728192</v>
      </c>
      <c r="T301" s="192">
        <f t="shared" si="55"/>
        <v>8.8859123433149279E-4</v>
      </c>
      <c r="W301" s="182">
        <v>4904952.2992104972</v>
      </c>
      <c r="X301" s="183">
        <f t="shared" si="48"/>
        <v>21873.543252306681</v>
      </c>
      <c r="Y301" s="192">
        <f t="shared" si="56"/>
        <v>-1.3668817007390754E-2</v>
      </c>
      <c r="AA301" s="181" t="s">
        <v>75</v>
      </c>
      <c r="AC301" s="182">
        <f t="shared" si="54"/>
        <v>108638911.6981658</v>
      </c>
      <c r="AD301" s="191">
        <f t="shared" si="52"/>
        <v>22148.821246569994</v>
      </c>
    </row>
    <row r="302" spans="1:30" ht="14.4">
      <c r="A302" s="187">
        <f t="shared" si="57"/>
        <v>43041</v>
      </c>
      <c r="B302" s="182">
        <v>8563161.1414516345</v>
      </c>
      <c r="C302" s="182">
        <v>410386.12407739041</v>
      </c>
      <c r="D302" s="182">
        <v>8152775.0173742436</v>
      </c>
      <c r="E302" s="182">
        <v>0</v>
      </c>
      <c r="F302" s="189">
        <f t="shared" si="53"/>
        <v>0</v>
      </c>
      <c r="G302" s="182">
        <v>8563161.1414516345</v>
      </c>
      <c r="H302" s="182"/>
      <c r="I302" s="182">
        <v>8152775.0173742436</v>
      </c>
      <c r="J302" s="182"/>
      <c r="K302" s="182">
        <v>7779821.3370959703</v>
      </c>
      <c r="L302" s="182"/>
      <c r="M302" s="182">
        <v>7779821.3370959703</v>
      </c>
      <c r="N302" s="182">
        <v>0</v>
      </c>
      <c r="O302" s="182">
        <v>8190207.4611733612</v>
      </c>
      <c r="P302" s="182">
        <v>410386.12407739041</v>
      </c>
      <c r="Q302" s="182">
        <v>-2.2388086511635485E-3</v>
      </c>
      <c r="R302" s="182">
        <v>0</v>
      </c>
      <c r="S302" s="182">
        <f t="shared" si="51"/>
        <v>107271229.65395096</v>
      </c>
      <c r="T302" s="192">
        <f t="shared" si="55"/>
        <v>-3.4294065009543573E-4</v>
      </c>
      <c r="W302" s="182">
        <v>4911001.4180521006</v>
      </c>
      <c r="X302" s="183">
        <f t="shared" si="48"/>
        <v>21843.04595385334</v>
      </c>
      <c r="Y302" s="192">
        <f t="shared" si="56"/>
        <v>-1.4895578695390266E-2</v>
      </c>
      <c r="AA302" s="181" t="s">
        <v>76</v>
      </c>
      <c r="AC302" s="182">
        <f t="shared" si="54"/>
        <v>110320819.10610738</v>
      </c>
      <c r="AD302" s="191">
        <f t="shared" si="52"/>
        <v>22464.016951936665</v>
      </c>
    </row>
    <row r="303" spans="1:30" ht="14.4">
      <c r="A303" s="187">
        <f t="shared" si="57"/>
        <v>43071</v>
      </c>
      <c r="B303" s="182">
        <v>8765716.2293519992</v>
      </c>
      <c r="C303" s="182">
        <v>362033.56057445385</v>
      </c>
      <c r="D303" s="182">
        <v>8403682.6687775459</v>
      </c>
      <c r="E303" s="182">
        <v>0</v>
      </c>
      <c r="F303" s="189">
        <f t="shared" si="53"/>
        <v>0</v>
      </c>
      <c r="G303" s="182">
        <v>8765716.2293519992</v>
      </c>
      <c r="H303" s="182"/>
      <c r="I303" s="182">
        <v>8403682.6687775459</v>
      </c>
      <c r="J303" s="182"/>
      <c r="K303" s="182">
        <v>7984432.0435753679</v>
      </c>
      <c r="L303" s="182"/>
      <c r="M303" s="182">
        <v>7984432.0435753679</v>
      </c>
      <c r="N303" s="182">
        <v>0</v>
      </c>
      <c r="O303" s="182">
        <v>8346465.6041498221</v>
      </c>
      <c r="P303" s="182">
        <v>362033.56057445385</v>
      </c>
      <c r="Q303" s="182">
        <v>-1.2442236372738336E-3</v>
      </c>
      <c r="R303" s="182">
        <v>0</v>
      </c>
      <c r="S303" s="182">
        <f t="shared" si="51"/>
        <v>107261282.85883455</v>
      </c>
      <c r="T303" s="192">
        <f t="shared" si="55"/>
        <v>-1.5590352565226784E-3</v>
      </c>
      <c r="W303" s="182">
        <v>4917036.4354861341</v>
      </c>
      <c r="X303" s="183">
        <f t="shared" si="48"/>
        <v>21814.213554476115</v>
      </c>
      <c r="Y303" s="192">
        <f t="shared" si="56"/>
        <v>-1.6107398896740621E-2</v>
      </c>
      <c r="AA303" s="181" t="s">
        <v>77</v>
      </c>
      <c r="AB303" s="181">
        <f>YEAR(A303)</f>
        <v>2017</v>
      </c>
      <c r="AC303" s="182">
        <f>SUM(G292:G303)</f>
        <v>118831903.29271215</v>
      </c>
      <c r="AD303" s="191">
        <f t="shared" si="52"/>
        <v>24167.3831080659</v>
      </c>
    </row>
    <row r="304" spans="1:30" ht="14.4">
      <c r="A304" s="187">
        <f t="shared" si="57"/>
        <v>43102</v>
      </c>
      <c r="B304" s="182">
        <v>8870942.0426849313</v>
      </c>
      <c r="C304" s="182">
        <v>419496.51073982572</v>
      </c>
      <c r="D304" s="182">
        <v>8451445.5319451056</v>
      </c>
      <c r="E304" s="182">
        <v>0</v>
      </c>
      <c r="F304" s="189">
        <f t="shared" si="53"/>
        <v>0</v>
      </c>
      <c r="G304" s="182">
        <v>8870942.0426849313</v>
      </c>
      <c r="H304" s="182"/>
      <c r="I304" s="182">
        <v>8451445.5319451056</v>
      </c>
      <c r="J304" s="182"/>
      <c r="K304" s="182">
        <v>8003438.7237260304</v>
      </c>
      <c r="L304" s="182"/>
      <c r="M304" s="182">
        <v>8003438.7237260304</v>
      </c>
      <c r="N304" s="182">
        <v>0</v>
      </c>
      <c r="O304" s="182">
        <v>8422935.2344658561</v>
      </c>
      <c r="P304" s="182">
        <v>419496.51073982572</v>
      </c>
      <c r="Q304" s="182">
        <v>2.2196502490210435E-3</v>
      </c>
      <c r="R304" s="182">
        <v>0</v>
      </c>
      <c r="S304" s="182">
        <f t="shared" si="51"/>
        <v>107279008.3492016</v>
      </c>
      <c r="T304" s="192">
        <f t="shared" si="55"/>
        <v>-2.2137004377217329E-3</v>
      </c>
      <c r="W304" s="182">
        <v>4923062.8534045164</v>
      </c>
      <c r="X304" s="183">
        <f t="shared" si="48"/>
        <v>21791.110847795375</v>
      </c>
      <c r="Y304" s="192">
        <f t="shared" si="56"/>
        <v>-1.676576662982332E-2</v>
      </c>
      <c r="AA304" s="181" t="s">
        <v>66</v>
      </c>
      <c r="AC304" s="182">
        <f t="shared" si="54"/>
        <v>109984675.56790483</v>
      </c>
      <c r="AD304" s="191">
        <f t="shared" si="52"/>
        <v>22340.701072269581</v>
      </c>
    </row>
    <row r="305" spans="1:30" ht="14.4">
      <c r="A305" s="187">
        <f t="shared" si="57"/>
        <v>43133</v>
      </c>
      <c r="B305" s="182">
        <v>8017769.4211006192</v>
      </c>
      <c r="C305" s="182">
        <v>420012.45335875894</v>
      </c>
      <c r="D305" s="182">
        <v>7597756.9677418601</v>
      </c>
      <c r="E305" s="182">
        <v>0</v>
      </c>
      <c r="F305" s="189">
        <f t="shared" si="53"/>
        <v>0</v>
      </c>
      <c r="G305" s="182">
        <v>8017769.4211006192</v>
      </c>
      <c r="H305" s="182"/>
      <c r="I305" s="182">
        <v>7597756.9677418601</v>
      </c>
      <c r="J305" s="182"/>
      <c r="K305" s="182">
        <v>7195266.2510626754</v>
      </c>
      <c r="L305" s="182"/>
      <c r="M305" s="182">
        <v>7195266.2510626754</v>
      </c>
      <c r="N305" s="182">
        <v>0</v>
      </c>
      <c r="O305" s="182">
        <v>7615278.7044214346</v>
      </c>
      <c r="P305" s="182">
        <v>420012.45335875894</v>
      </c>
      <c r="Q305" s="182">
        <v>3.3672219577702833E-3</v>
      </c>
      <c r="R305" s="182">
        <v>0</v>
      </c>
      <c r="S305" s="182">
        <f t="shared" si="51"/>
        <v>107303155.10024387</v>
      </c>
      <c r="T305" s="192">
        <f t="shared" si="55"/>
        <v>-5.9773127037199281E-4</v>
      </c>
      <c r="W305" s="182">
        <v>4929078.1080070296</v>
      </c>
      <c r="X305" s="183">
        <f t="shared" si="48"/>
        <v>21769.416663520813</v>
      </c>
      <c r="Y305" s="192">
        <f t="shared" si="56"/>
        <v>-1.5186719979930374E-2</v>
      </c>
      <c r="AA305" s="181" t="s">
        <v>67</v>
      </c>
      <c r="AC305" s="182">
        <f t="shared" si="54"/>
        <v>110868320.74671163</v>
      </c>
      <c r="AD305" s="191">
        <f t="shared" si="52"/>
        <v>22492.709248533076</v>
      </c>
    </row>
    <row r="306" spans="1:30" ht="14.4">
      <c r="A306" s="187">
        <f t="shared" si="57"/>
        <v>43162</v>
      </c>
      <c r="B306" s="182">
        <v>9035659.8035288677</v>
      </c>
      <c r="C306" s="182">
        <v>506100.27754200523</v>
      </c>
      <c r="D306" s="182">
        <v>8529559.5259868633</v>
      </c>
      <c r="E306" s="182">
        <v>0</v>
      </c>
      <c r="F306" s="189">
        <f t="shared" si="53"/>
        <v>0</v>
      </c>
      <c r="G306" s="182">
        <v>9035659.8035288677</v>
      </c>
      <c r="H306" s="182"/>
      <c r="I306" s="182">
        <v>8529559.5259868633</v>
      </c>
      <c r="J306" s="182"/>
      <c r="K306" s="182">
        <v>8084142.4872713434</v>
      </c>
      <c r="L306" s="182"/>
      <c r="M306" s="182">
        <v>8084142.4872713434</v>
      </c>
      <c r="N306" s="182">
        <v>0</v>
      </c>
      <c r="O306" s="182">
        <v>8590242.7648133487</v>
      </c>
      <c r="P306" s="182">
        <v>506100.27754200523</v>
      </c>
      <c r="Q306" s="182">
        <v>6.2177292202161283E-3</v>
      </c>
      <c r="R306" s="182">
        <v>0</v>
      </c>
      <c r="S306" s="182">
        <f t="shared" si="51"/>
        <v>107353109.50623752</v>
      </c>
      <c r="T306" s="192">
        <f t="shared" si="55"/>
        <v>-3.4063330594302776E-4</v>
      </c>
      <c r="W306" s="182">
        <v>4935073.5826958241</v>
      </c>
      <c r="X306" s="183">
        <f t="shared" si="48"/>
        <v>21753.091966583201</v>
      </c>
      <c r="Y306" s="192">
        <f t="shared" si="56"/>
        <v>-1.4947656087697658E-2</v>
      </c>
      <c r="AA306" s="181" t="s">
        <v>68</v>
      </c>
      <c r="AC306" s="182">
        <f t="shared" si="54"/>
        <v>109908931.38941871</v>
      </c>
      <c r="AD306" s="191">
        <f t="shared" si="52"/>
        <v>22270.981282791749</v>
      </c>
    </row>
    <row r="307" spans="1:30" ht="14.4">
      <c r="A307" s="187">
        <f t="shared" si="57"/>
        <v>43193</v>
      </c>
      <c r="B307" s="182">
        <v>9319909.8209983576</v>
      </c>
      <c r="C307" s="182">
        <v>554296.93078116991</v>
      </c>
      <c r="D307" s="182">
        <v>8765612.8902171869</v>
      </c>
      <c r="E307" s="182">
        <v>0</v>
      </c>
      <c r="F307" s="189">
        <f t="shared" si="53"/>
        <v>0</v>
      </c>
      <c r="G307" s="182">
        <v>9319909.8209983576</v>
      </c>
      <c r="H307" s="182"/>
      <c r="I307" s="182">
        <v>8765612.8902171869</v>
      </c>
      <c r="J307" s="182"/>
      <c r="K307" s="182">
        <v>8340088.861064232</v>
      </c>
      <c r="L307" s="182"/>
      <c r="M307" s="182">
        <v>8340088.861064232</v>
      </c>
      <c r="N307" s="182">
        <v>0</v>
      </c>
      <c r="O307" s="182">
        <v>8894385.7918454017</v>
      </c>
      <c r="P307" s="182">
        <v>554296.93078116991</v>
      </c>
      <c r="Q307" s="182">
        <v>7.7996633218935241E-3</v>
      </c>
      <c r="R307" s="182">
        <v>0</v>
      </c>
      <c r="S307" s="182">
        <f t="shared" si="51"/>
        <v>107417655.95089157</v>
      </c>
      <c r="T307" s="192">
        <f t="shared" si="55"/>
        <v>3.91854950797077E-4</v>
      </c>
      <c r="W307" s="182">
        <v>4941091.3893120913</v>
      </c>
      <c r="X307" s="183">
        <f t="shared" si="48"/>
        <v>21739.661845405873</v>
      </c>
      <c r="Y307" s="192">
        <f t="shared" si="56"/>
        <v>-1.4237196249889394E-2</v>
      </c>
      <c r="AA307" s="181" t="s">
        <v>69</v>
      </c>
      <c r="AC307" s="182">
        <f t="shared" si="54"/>
        <v>109698771.0009473</v>
      </c>
      <c r="AD307" s="191">
        <f t="shared" si="52"/>
        <v>22201.324031009226</v>
      </c>
    </row>
    <row r="308" spans="1:30" ht="14.4">
      <c r="A308" s="187">
        <f t="shared" si="57"/>
        <v>43223</v>
      </c>
      <c r="B308" s="182">
        <v>10579453.238535425</v>
      </c>
      <c r="C308" s="182">
        <v>555497.53215222491</v>
      </c>
      <c r="D308" s="182">
        <v>10023955.7063832</v>
      </c>
      <c r="E308" s="182">
        <v>0</v>
      </c>
      <c r="F308" s="189">
        <f t="shared" si="53"/>
        <v>0</v>
      </c>
      <c r="G308" s="182">
        <v>10579453.238535425</v>
      </c>
      <c r="H308" s="182"/>
      <c r="I308" s="182">
        <v>10023955.7063832</v>
      </c>
      <c r="J308" s="182"/>
      <c r="K308" s="182">
        <v>9562852.3384616878</v>
      </c>
      <c r="L308" s="182"/>
      <c r="M308" s="182">
        <v>9562852.3384616878</v>
      </c>
      <c r="N308" s="182">
        <v>0</v>
      </c>
      <c r="O308" s="182">
        <v>10118349.870613912</v>
      </c>
      <c r="P308" s="182">
        <v>555497.53215222491</v>
      </c>
      <c r="Q308" s="182">
        <v>6.8621554539136653E-3</v>
      </c>
      <c r="R308" s="182">
        <v>0</v>
      </c>
      <c r="S308" s="182">
        <f t="shared" si="51"/>
        <v>107482830.49238554</v>
      </c>
      <c r="T308" s="192">
        <f t="shared" si="55"/>
        <v>1.1112470997234336E-3</v>
      </c>
      <c r="W308" s="182">
        <v>4947157.5934458831</v>
      </c>
      <c r="X308" s="183">
        <f t="shared" si="48"/>
        <v>21726.178813220235</v>
      </c>
      <c r="Y308" s="192">
        <f t="shared" si="56"/>
        <v>-1.3534305817229364E-2</v>
      </c>
      <c r="AA308" s="181" t="s">
        <v>70</v>
      </c>
      <c r="AC308" s="182">
        <f t="shared" si="54"/>
        <v>108513998.41949926</v>
      </c>
      <c r="AD308" s="191">
        <f t="shared" si="52"/>
        <v>21934.615255285436</v>
      </c>
    </row>
    <row r="309" spans="1:30" ht="14.4">
      <c r="A309" s="187">
        <f t="shared" si="57"/>
        <v>43254</v>
      </c>
      <c r="B309" s="182">
        <v>11066887.993827291</v>
      </c>
      <c r="C309" s="182">
        <v>576529.01764984836</v>
      </c>
      <c r="D309" s="182">
        <v>10490358.976177443</v>
      </c>
      <c r="E309" s="182">
        <v>0</v>
      </c>
      <c r="F309" s="189">
        <f t="shared" si="53"/>
        <v>0</v>
      </c>
      <c r="G309" s="182">
        <v>11066887.993827291</v>
      </c>
      <c r="H309" s="182"/>
      <c r="I309" s="182">
        <v>10490358.976177443</v>
      </c>
      <c r="J309" s="182"/>
      <c r="K309" s="182">
        <v>10001371.554350782</v>
      </c>
      <c r="L309" s="182"/>
      <c r="M309" s="182">
        <v>10001371.554350782</v>
      </c>
      <c r="N309" s="182">
        <v>0</v>
      </c>
      <c r="O309" s="182">
        <v>10577900.57200063</v>
      </c>
      <c r="P309" s="182">
        <v>576529.01764984836</v>
      </c>
      <c r="Q309" s="182">
        <v>6.1213907488097963E-3</v>
      </c>
      <c r="R309" s="182">
        <v>0</v>
      </c>
      <c r="S309" s="182">
        <f t="shared" si="51"/>
        <v>107543680.31018202</v>
      </c>
      <c r="T309" s="192">
        <f t="shared" si="55"/>
        <v>1.8194090769110272E-3</v>
      </c>
      <c r="W309" s="182">
        <v>4953243.1937119691</v>
      </c>
      <c r="X309" s="183">
        <f t="shared" si="48"/>
        <v>21711.770673143266</v>
      </c>
      <c r="Y309" s="192">
        <f t="shared" si="56"/>
        <v>-1.2839875893465913E-2</v>
      </c>
      <c r="AA309" s="181" t="s">
        <v>71</v>
      </c>
      <c r="AC309" s="182">
        <f t="shared" si="54"/>
        <v>108097126.14281049</v>
      </c>
      <c r="AD309" s="191">
        <f t="shared" si="52"/>
        <v>21823.504704965297</v>
      </c>
    </row>
    <row r="310" spans="1:30" ht="14.4">
      <c r="A310" s="187">
        <f t="shared" si="57"/>
        <v>43284</v>
      </c>
      <c r="B310" s="182">
        <v>11819273.561484005</v>
      </c>
      <c r="C310" s="182">
        <v>589849.88377414737</v>
      </c>
      <c r="D310" s="182">
        <v>11229423.677709859</v>
      </c>
      <c r="E310" s="182">
        <v>0</v>
      </c>
      <c r="F310" s="189">
        <f t="shared" si="53"/>
        <v>0</v>
      </c>
      <c r="G310" s="182">
        <v>11819273.561484005</v>
      </c>
      <c r="H310" s="182"/>
      <c r="I310" s="182">
        <v>11229423.677709859</v>
      </c>
      <c r="J310" s="182"/>
      <c r="K310" s="182">
        <v>10679390.891209088</v>
      </c>
      <c r="L310" s="182"/>
      <c r="M310" s="182">
        <v>10679390.891209088</v>
      </c>
      <c r="N310" s="182">
        <v>0</v>
      </c>
      <c r="O310" s="182">
        <v>11269240.774983237</v>
      </c>
      <c r="P310" s="182">
        <v>589849.88377414737</v>
      </c>
      <c r="Q310" s="182">
        <v>5.5600359410805655E-3</v>
      </c>
      <c r="R310" s="182">
        <v>0</v>
      </c>
      <c r="S310" s="182">
        <f t="shared" si="51"/>
        <v>107602729.79013515</v>
      </c>
      <c r="T310" s="192">
        <f t="shared" si="55"/>
        <v>2.4991988623819239E-3</v>
      </c>
      <c r="W310" s="182">
        <v>4959355.1695008744</v>
      </c>
      <c r="X310" s="183">
        <f t="shared" si="48"/>
        <v>21696.919480958375</v>
      </c>
      <c r="Y310" s="192">
        <f t="shared" si="56"/>
        <v>-1.2170180867850822E-2</v>
      </c>
      <c r="AA310" s="181" t="s">
        <v>72</v>
      </c>
      <c r="AC310" s="182">
        <f t="shared" si="54"/>
        <v>107413336.40492824</v>
      </c>
      <c r="AD310" s="191">
        <f t="shared" si="52"/>
        <v>21658.730365895262</v>
      </c>
    </row>
    <row r="311" spans="1:30" ht="14.4">
      <c r="A311" s="187">
        <f t="shared" si="57"/>
        <v>43315</v>
      </c>
      <c r="B311" s="182">
        <v>11981913.503804933</v>
      </c>
      <c r="C311" s="182">
        <v>567330.00851190905</v>
      </c>
      <c r="D311" s="182">
        <v>11414583.495293025</v>
      </c>
      <c r="E311" s="182">
        <v>0</v>
      </c>
      <c r="F311" s="189">
        <f t="shared" si="53"/>
        <v>0</v>
      </c>
      <c r="G311" s="182">
        <v>11981913.503804933</v>
      </c>
      <c r="H311" s="182"/>
      <c r="I311" s="182">
        <v>11414583.495293025</v>
      </c>
      <c r="J311" s="182"/>
      <c r="K311" s="182">
        <v>10826433.322052864</v>
      </c>
      <c r="L311" s="182"/>
      <c r="M311" s="182">
        <v>10826433.322052864</v>
      </c>
      <c r="N311" s="182">
        <v>0</v>
      </c>
      <c r="O311" s="182">
        <v>11393763.330564773</v>
      </c>
      <c r="P311" s="182">
        <v>567330.00851190905</v>
      </c>
      <c r="Q311" s="182">
        <v>5.4599045057615037E-3</v>
      </c>
      <c r="R311" s="182">
        <v>0</v>
      </c>
      <c r="S311" s="182">
        <f t="shared" si="51"/>
        <v>107661520.09277329</v>
      </c>
      <c r="T311" s="192">
        <f t="shared" si="55"/>
        <v>3.1701021248247141E-3</v>
      </c>
      <c r="W311" s="182">
        <v>4965479.0617063763</v>
      </c>
      <c r="X311" s="183">
        <f t="shared" si="48"/>
        <v>21682.000619649301</v>
      </c>
      <c r="Y311" s="192">
        <f t="shared" si="56"/>
        <v>-1.1505686313586727E-2</v>
      </c>
      <c r="AA311" s="181" t="s">
        <v>73</v>
      </c>
      <c r="AC311" s="182">
        <f t="shared" si="54"/>
        <v>107319421.75625992</v>
      </c>
      <c r="AD311" s="191">
        <f t="shared" si="52"/>
        <v>21613.105286034544</v>
      </c>
    </row>
    <row r="312" spans="1:30" ht="14.4">
      <c r="A312" s="187">
        <f t="shared" si="57"/>
        <v>43346</v>
      </c>
      <c r="B312" s="182">
        <v>11045420.731613673</v>
      </c>
      <c r="C312" s="182">
        <v>544062.3598709018</v>
      </c>
      <c r="D312" s="182">
        <v>10501358.371742772</v>
      </c>
      <c r="E312" s="182">
        <v>0</v>
      </c>
      <c r="F312" s="189">
        <f t="shared" si="53"/>
        <v>0</v>
      </c>
      <c r="G312" s="182">
        <v>11045420.731613673</v>
      </c>
      <c r="H312" s="182"/>
      <c r="I312" s="182">
        <v>10501358.371742772</v>
      </c>
      <c r="J312" s="182"/>
      <c r="K312" s="182">
        <v>9960277.1234804839</v>
      </c>
      <c r="L312" s="182"/>
      <c r="M312" s="182">
        <v>9960277.1234804839</v>
      </c>
      <c r="N312" s="182">
        <v>0</v>
      </c>
      <c r="O312" s="182">
        <v>10504339.483351385</v>
      </c>
      <c r="P312" s="182">
        <v>544062.3598709018</v>
      </c>
      <c r="Q312" s="182">
        <v>5.3602702786839096E-3</v>
      </c>
      <c r="R312" s="182">
        <v>0</v>
      </c>
      <c r="S312" s="182">
        <f t="shared" si="51"/>
        <v>107714625.2124113</v>
      </c>
      <c r="T312" s="192">
        <f t="shared" si="55"/>
        <v>3.8306507159957537E-3</v>
      </c>
      <c r="W312" s="182">
        <v>4971598.8445650106</v>
      </c>
      <c r="X312" s="183">
        <f t="shared" ref="X312:X375" si="58">S312/W312*1000</f>
        <v>21665.992888820012</v>
      </c>
      <c r="Y312" s="192">
        <f t="shared" si="56"/>
        <v>-1.0849357174957497E-2</v>
      </c>
      <c r="AA312" s="181" t="s">
        <v>74</v>
      </c>
      <c r="AC312" s="182">
        <f t="shared" si="54"/>
        <v>108318588.48349072</v>
      </c>
      <c r="AD312" s="191">
        <f t="shared" si="52"/>
        <v>21787.475592867959</v>
      </c>
    </row>
    <row r="313" spans="1:30" ht="14.4">
      <c r="A313" s="187">
        <f t="shared" si="57"/>
        <v>43376</v>
      </c>
      <c r="B313" s="182">
        <v>10362644.818800356</v>
      </c>
      <c r="C313" s="182">
        <v>501986.60794144071</v>
      </c>
      <c r="D313" s="182">
        <v>9860658.210858915</v>
      </c>
      <c r="E313" s="182">
        <v>0</v>
      </c>
      <c r="F313" s="189">
        <f t="shared" si="53"/>
        <v>0</v>
      </c>
      <c r="G313" s="182">
        <v>10362644.818800356</v>
      </c>
      <c r="H313" s="182"/>
      <c r="I313" s="182">
        <v>9860658.210858915</v>
      </c>
      <c r="J313" s="182"/>
      <c r="K313" s="182">
        <v>9352728.5144896433</v>
      </c>
      <c r="L313" s="182"/>
      <c r="M313" s="182">
        <v>9352728.5144896433</v>
      </c>
      <c r="N313" s="182">
        <v>0</v>
      </c>
      <c r="O313" s="182">
        <v>9854715.1224310845</v>
      </c>
      <c r="P313" s="182">
        <v>501986.60794144071</v>
      </c>
      <c r="Q313" s="182">
        <v>5.9823142631885151E-3</v>
      </c>
      <c r="R313" s="182">
        <v>0</v>
      </c>
      <c r="S313" s="182">
        <f t="shared" si="51"/>
        <v>107770243.44784015</v>
      </c>
      <c r="T313" s="192">
        <f t="shared" si="55"/>
        <v>4.4884246169121234E-3</v>
      </c>
      <c r="W313" s="182">
        <v>4977710.992147197</v>
      </c>
      <c r="X313" s="183">
        <f t="shared" si="58"/>
        <v>21650.56260153668</v>
      </c>
      <c r="Y313" s="192">
        <f t="shared" si="56"/>
        <v>-1.0194080044461318E-2</v>
      </c>
      <c r="AA313" s="181" t="s">
        <v>75</v>
      </c>
      <c r="AC313" s="182">
        <f t="shared" si="54"/>
        <v>109066107.48838174</v>
      </c>
      <c r="AD313" s="191">
        <f t="shared" si="52"/>
        <v>21910.895923938471</v>
      </c>
    </row>
    <row r="314" spans="1:30" ht="14.4">
      <c r="A314" s="187">
        <f t="shared" si="57"/>
        <v>43407</v>
      </c>
      <c r="B314" s="182">
        <v>8625899.3691300042</v>
      </c>
      <c r="C314" s="182">
        <v>415731.04674257414</v>
      </c>
      <c r="D314" s="182">
        <v>8210168.3223874299</v>
      </c>
      <c r="E314" s="182">
        <v>0</v>
      </c>
      <c r="F314" s="189">
        <f t="shared" si="53"/>
        <v>0</v>
      </c>
      <c r="G314" s="182">
        <v>8625899.3691300042</v>
      </c>
      <c r="H314" s="182"/>
      <c r="I314" s="182">
        <v>8210168.3223874299</v>
      </c>
      <c r="J314" s="182"/>
      <c r="K314" s="182">
        <v>7834482.1870589387</v>
      </c>
      <c r="L314" s="182"/>
      <c r="M314" s="182">
        <v>7834482.1870589387</v>
      </c>
      <c r="N314" s="182">
        <v>0</v>
      </c>
      <c r="O314" s="182">
        <v>8250213.233801513</v>
      </c>
      <c r="P314" s="182">
        <v>415731.04674257414</v>
      </c>
      <c r="Q314" s="182">
        <v>7.025977537855832E-3</v>
      </c>
      <c r="R314" s="182">
        <v>0</v>
      </c>
      <c r="S314" s="182">
        <f t="shared" si="51"/>
        <v>107824904.29780315</v>
      </c>
      <c r="T314" s="192">
        <f t="shared" si="55"/>
        <v>5.1614458568089994E-3</v>
      </c>
      <c r="W314" s="182">
        <v>4983808.8175024549</v>
      </c>
      <c r="X314" s="183">
        <f t="shared" si="58"/>
        <v>21635.040236522884</v>
      </c>
      <c r="Y314" s="192">
        <f t="shared" si="56"/>
        <v>-9.5227432002797929E-3</v>
      </c>
      <c r="AA314" s="181" t="s">
        <v>76</v>
      </c>
      <c r="AC314" s="182">
        <f t="shared" si="54"/>
        <v>110865591.16573048</v>
      </c>
      <c r="AD314" s="191">
        <f t="shared" si="52"/>
        <v>22245.153300500951</v>
      </c>
    </row>
    <row r="315" spans="1:30" ht="14.4">
      <c r="A315" s="187">
        <f t="shared" si="57"/>
        <v>43437</v>
      </c>
      <c r="B315" s="182">
        <v>8837189.9807034936</v>
      </c>
      <c r="C315" s="182">
        <v>367105.07882820722</v>
      </c>
      <c r="D315" s="182">
        <v>8470084.9018752873</v>
      </c>
      <c r="E315" s="182">
        <v>0</v>
      </c>
      <c r="F315" s="189">
        <f t="shared" si="53"/>
        <v>0</v>
      </c>
      <c r="G315" s="182">
        <v>8837189.9807034936</v>
      </c>
      <c r="H315" s="182"/>
      <c r="I315" s="182">
        <v>8470084.9018752873</v>
      </c>
      <c r="J315" s="182"/>
      <c r="K315" s="182">
        <v>8047415.7978910422</v>
      </c>
      <c r="L315" s="182"/>
      <c r="M315" s="182">
        <v>8047415.7978910422</v>
      </c>
      <c r="N315" s="182">
        <v>0</v>
      </c>
      <c r="O315" s="182">
        <v>8414520.8767192494</v>
      </c>
      <c r="P315" s="182">
        <v>367105.07882820722</v>
      </c>
      <c r="Q315" s="182">
        <v>7.8883199170507456E-3</v>
      </c>
      <c r="R315" s="182">
        <v>0</v>
      </c>
      <c r="S315" s="182">
        <f t="shared" si="51"/>
        <v>107887888.05211881</v>
      </c>
      <c r="T315" s="192">
        <f t="shared" si="55"/>
        <v>5.8418580925321262E-3</v>
      </c>
      <c r="W315" s="182">
        <v>4989888.8308739215</v>
      </c>
      <c r="X315" s="183">
        <f t="shared" si="58"/>
        <v>21621.300936522766</v>
      </c>
      <c r="Y315" s="192">
        <f t="shared" si="56"/>
        <v>-8.8434367561128768E-3</v>
      </c>
      <c r="AA315" s="181" t="s">
        <v>77</v>
      </c>
      <c r="AB315" s="181">
        <f>YEAR(A315)</f>
        <v>2018</v>
      </c>
      <c r="AC315" s="182">
        <f>SUM(G304:G315)</f>
        <v>119562964.28621197</v>
      </c>
      <c r="AD315" s="191">
        <f t="shared" si="52"/>
        <v>23961.047698385679</v>
      </c>
    </row>
    <row r="316" spans="1:30" ht="14.4">
      <c r="A316" s="187">
        <f t="shared" si="57"/>
        <v>43468</v>
      </c>
      <c r="B316" s="182">
        <v>8942566.1930922251</v>
      </c>
      <c r="C316" s="182">
        <v>424300.192862747</v>
      </c>
      <c r="D316" s="182">
        <v>8518266.0002294779</v>
      </c>
      <c r="E316" s="182">
        <v>0</v>
      </c>
      <c r="F316" s="189">
        <f t="shared" si="53"/>
        <v>0</v>
      </c>
      <c r="G316" s="182">
        <v>8942566.1930922251</v>
      </c>
      <c r="H316" s="182"/>
      <c r="I316" s="182">
        <v>8518266.0002294779</v>
      </c>
      <c r="J316" s="182"/>
      <c r="K316" s="182">
        <v>8066401.9767404832</v>
      </c>
      <c r="L316" s="182"/>
      <c r="M316" s="182">
        <v>8066401.9767404832</v>
      </c>
      <c r="N316" s="182">
        <v>0</v>
      </c>
      <c r="O316" s="182">
        <v>8490942.1696032304</v>
      </c>
      <c r="P316" s="182">
        <v>424540.192862747</v>
      </c>
      <c r="Q316" s="182">
        <v>7.8670250610901604E-3</v>
      </c>
      <c r="R316" s="182">
        <v>0</v>
      </c>
      <c r="S316" s="182">
        <f t="shared" si="51"/>
        <v>107950851.30513325</v>
      </c>
      <c r="T316" s="192">
        <f t="shared" si="55"/>
        <v>6.2625761206214214E-3</v>
      </c>
      <c r="W316" s="182">
        <v>4995954.9216314675</v>
      </c>
      <c r="X316" s="183">
        <f t="shared" si="58"/>
        <v>21607.651189510947</v>
      </c>
      <c r="Y316" s="192">
        <f t="shared" si="56"/>
        <v>-8.4190135861288429E-3</v>
      </c>
      <c r="AA316" s="181" t="s">
        <v>66</v>
      </c>
      <c r="AC316" s="182">
        <f t="shared" si="54"/>
        <v>110692022.24352702</v>
      </c>
      <c r="AD316" s="191">
        <f t="shared" si="52"/>
        <v>22156.329266353689</v>
      </c>
    </row>
    <row r="317" spans="1:30" ht="14.4">
      <c r="A317" s="187">
        <f t="shared" si="57"/>
        <v>43499</v>
      </c>
      <c r="B317" s="182">
        <v>8075362.6544972556</v>
      </c>
      <c r="C317" s="182">
        <v>424878.69683363702</v>
      </c>
      <c r="D317" s="182">
        <v>7650483.957663619</v>
      </c>
      <c r="E317" s="182">
        <v>0</v>
      </c>
      <c r="F317" s="189">
        <f t="shared" si="53"/>
        <v>0</v>
      </c>
      <c r="G317" s="182">
        <v>8075362.6544972556</v>
      </c>
      <c r="H317" s="182"/>
      <c r="I317" s="182">
        <v>7650483.957663619</v>
      </c>
      <c r="J317" s="182"/>
      <c r="K317" s="182">
        <v>7245102.0700654155</v>
      </c>
      <c r="L317" s="182"/>
      <c r="M317" s="182">
        <v>7245102.0700654155</v>
      </c>
      <c r="N317" s="182">
        <v>0</v>
      </c>
      <c r="O317" s="182">
        <v>7669980.7668990521</v>
      </c>
      <c r="P317" s="182">
        <v>424878.69683363702</v>
      </c>
      <c r="Q317" s="182">
        <v>6.9261952600265797E-3</v>
      </c>
      <c r="R317" s="182">
        <v>0</v>
      </c>
      <c r="S317" s="182">
        <f t="shared" si="51"/>
        <v>108000687.124136</v>
      </c>
      <c r="T317" s="192">
        <f t="shared" si="55"/>
        <v>6.5005732892056134E-3</v>
      </c>
      <c r="W317" s="182">
        <v>5002005.3941404279</v>
      </c>
      <c r="X317" s="183">
        <f t="shared" si="58"/>
        <v>21591.477540318694</v>
      </c>
      <c r="Y317" s="192">
        <f t="shared" si="56"/>
        <v>-8.1738121858034862E-3</v>
      </c>
      <c r="AA317" s="181" t="s">
        <v>67</v>
      </c>
      <c r="AC317" s="182">
        <f t="shared" si="54"/>
        <v>111616819.01551864</v>
      </c>
      <c r="AD317" s="191">
        <f t="shared" si="52"/>
        <v>22314.41396410159</v>
      </c>
    </row>
    <row r="318" spans="1:30" ht="14.4">
      <c r="A318" s="187">
        <f t="shared" si="57"/>
        <v>43528</v>
      </c>
      <c r="B318" s="182">
        <v>9100368.4495274033</v>
      </c>
      <c r="C318" s="182">
        <v>511845.96581273089</v>
      </c>
      <c r="D318" s="182">
        <v>8588522.4837146718</v>
      </c>
      <c r="E318" s="182">
        <v>0</v>
      </c>
      <c r="F318" s="189">
        <f t="shared" si="53"/>
        <v>0</v>
      </c>
      <c r="G318" s="182">
        <v>9100368.4495274033</v>
      </c>
      <c r="H318" s="182"/>
      <c r="I318" s="182">
        <v>8588522.4837146718</v>
      </c>
      <c r="J318" s="182"/>
      <c r="K318" s="182">
        <v>8139915.6022973834</v>
      </c>
      <c r="L318" s="182"/>
      <c r="M318" s="182">
        <v>8139915.6022973834</v>
      </c>
      <c r="N318" s="182">
        <v>0</v>
      </c>
      <c r="O318" s="182">
        <v>8651761.568110114</v>
      </c>
      <c r="P318" s="182">
        <v>511845.96581273089</v>
      </c>
      <c r="Q318" s="182">
        <v>6.8990761993441563E-3</v>
      </c>
      <c r="R318" s="182">
        <v>0</v>
      </c>
      <c r="S318" s="182">
        <f t="shared" si="51"/>
        <v>108056460.23916203</v>
      </c>
      <c r="T318" s="192">
        <f t="shared" si="55"/>
        <v>6.5517499787337563E-3</v>
      </c>
      <c r="W318" s="182">
        <v>5008034.3611383447</v>
      </c>
      <c r="X318" s="183">
        <f t="shared" si="58"/>
        <v>21576.621174500167</v>
      </c>
      <c r="Y318" s="192">
        <f t="shared" si="56"/>
        <v>-8.1124463756290233E-3</v>
      </c>
      <c r="AA318" s="181" t="s">
        <v>68</v>
      </c>
      <c r="AC318" s="182">
        <f t="shared" si="54"/>
        <v>110656521.86648701</v>
      </c>
      <c r="AD318" s="191">
        <f t="shared" si="52"/>
        <v>22095.799247139028</v>
      </c>
    </row>
    <row r="319" spans="1:30" ht="14.4">
      <c r="A319" s="187">
        <f t="shared" si="57"/>
        <v>43559</v>
      </c>
      <c r="B319" s="182">
        <v>9379119.9374312516</v>
      </c>
      <c r="C319" s="182">
        <v>560547.63108850713</v>
      </c>
      <c r="D319" s="182">
        <v>8818572.3063427452</v>
      </c>
      <c r="E319" s="182">
        <v>0</v>
      </c>
      <c r="F319" s="189">
        <f t="shared" si="53"/>
        <v>0</v>
      </c>
      <c r="G319" s="182">
        <v>9379119.9374312516</v>
      </c>
      <c r="H319" s="182"/>
      <c r="I319" s="182">
        <v>8818572.3063427452</v>
      </c>
      <c r="J319" s="182"/>
      <c r="K319" s="182">
        <v>8390344.8897327147</v>
      </c>
      <c r="L319" s="182"/>
      <c r="M319" s="182">
        <v>8390344.8897327147</v>
      </c>
      <c r="N319" s="182">
        <v>0</v>
      </c>
      <c r="O319" s="182">
        <v>8950892.5208212212</v>
      </c>
      <c r="P319" s="182">
        <v>560547.63108850713</v>
      </c>
      <c r="Q319" s="182">
        <v>6.0258385139160264E-3</v>
      </c>
      <c r="R319" s="182">
        <v>0</v>
      </c>
      <c r="S319" s="182">
        <f t="shared" si="51"/>
        <v>108106716.26783051</v>
      </c>
      <c r="T319" s="192">
        <f t="shared" si="55"/>
        <v>6.4147770758835598E-3</v>
      </c>
      <c r="W319" s="182">
        <v>5014071.0479267845</v>
      </c>
      <c r="X319" s="183">
        <f t="shared" si="58"/>
        <v>21560.667017777982</v>
      </c>
      <c r="Y319" s="192">
        <f t="shared" si="56"/>
        <v>-8.2335608024058926E-3</v>
      </c>
      <c r="AA319" s="181" t="s">
        <v>69</v>
      </c>
      <c r="AC319" s="182">
        <f t="shared" si="54"/>
        <v>110436980.49501605</v>
      </c>
      <c r="AD319" s="191">
        <f t="shared" si="52"/>
        <v>22025.411973505936</v>
      </c>
    </row>
    <row r="320" spans="1:30" ht="14.4">
      <c r="A320" s="187">
        <f t="shared" si="57"/>
        <v>43589</v>
      </c>
      <c r="B320" s="182">
        <v>10639385.289957296</v>
      </c>
      <c r="C320" s="182">
        <v>561927.5916194031</v>
      </c>
      <c r="D320" s="182">
        <v>10077457.698337894</v>
      </c>
      <c r="E320" s="182">
        <v>0</v>
      </c>
      <c r="F320" s="189">
        <f t="shared" si="53"/>
        <v>0</v>
      </c>
      <c r="G320" s="182">
        <v>10639385.289957296</v>
      </c>
      <c r="H320" s="182"/>
      <c r="I320" s="182">
        <v>10077457.698337894</v>
      </c>
      <c r="J320" s="182"/>
      <c r="K320" s="182">
        <v>9613742.2038599327</v>
      </c>
      <c r="L320" s="182"/>
      <c r="M320" s="182">
        <v>9613742.2038599327</v>
      </c>
      <c r="N320" s="182">
        <v>0</v>
      </c>
      <c r="O320" s="182">
        <v>10175669.795479337</v>
      </c>
      <c r="P320" s="182">
        <v>561927.5916194031</v>
      </c>
      <c r="Q320" s="182">
        <v>5.3216199097383399E-3</v>
      </c>
      <c r="R320" s="182">
        <v>0</v>
      </c>
      <c r="S320" s="182">
        <f t="shared" si="51"/>
        <v>108157606.13322878</v>
      </c>
      <c r="T320" s="192">
        <f t="shared" si="55"/>
        <v>6.2779854024317405E-3</v>
      </c>
      <c r="W320" s="182">
        <v>5020133.5707668057</v>
      </c>
      <c r="X320" s="183">
        <f t="shared" si="58"/>
        <v>21544.76661000638</v>
      </c>
      <c r="Y320" s="192">
        <f t="shared" si="56"/>
        <v>-8.3499360275662848E-3</v>
      </c>
      <c r="AA320" s="181" t="s">
        <v>70</v>
      </c>
      <c r="AC320" s="182">
        <f t="shared" si="54"/>
        <v>109236647.19391187</v>
      </c>
      <c r="AD320" s="191">
        <f t="shared" si="52"/>
        <v>21759.709309333455</v>
      </c>
    </row>
    <row r="321" spans="1:30" ht="14.4">
      <c r="A321" s="187">
        <f t="shared" si="57"/>
        <v>43620</v>
      </c>
      <c r="B321" s="182">
        <v>11123540.745462991</v>
      </c>
      <c r="C321" s="182">
        <v>583220.17800476379</v>
      </c>
      <c r="D321" s="182">
        <v>10540320.567458227</v>
      </c>
      <c r="E321" s="182">
        <v>0</v>
      </c>
      <c r="F321" s="189">
        <f t="shared" si="53"/>
        <v>0</v>
      </c>
      <c r="G321" s="182">
        <v>11123540.745462991</v>
      </c>
      <c r="H321" s="182"/>
      <c r="I321" s="182">
        <v>10540320.567458227</v>
      </c>
      <c r="J321" s="182"/>
      <c r="K321" s="182">
        <v>10048829.959281694</v>
      </c>
      <c r="L321" s="182"/>
      <c r="M321" s="182">
        <v>10048829.959281694</v>
      </c>
      <c r="N321" s="182">
        <v>0</v>
      </c>
      <c r="O321" s="182">
        <v>10632050.137286458</v>
      </c>
      <c r="P321" s="182">
        <v>583220.17800476379</v>
      </c>
      <c r="Q321" s="182">
        <v>4.7451896645382963E-3</v>
      </c>
      <c r="R321" s="182">
        <v>0</v>
      </c>
      <c r="S321" s="182">
        <f t="shared" si="51"/>
        <v>108205064.53815968</v>
      </c>
      <c r="T321" s="192">
        <f t="shared" si="55"/>
        <v>6.1499125385151565E-3</v>
      </c>
      <c r="W321" s="182">
        <v>5026201.9266546806</v>
      </c>
      <c r="X321" s="183">
        <f t="shared" si="58"/>
        <v>21528.196860602133</v>
      </c>
      <c r="Y321" s="192">
        <f t="shared" si="56"/>
        <v>-8.4550364548667822E-3</v>
      </c>
      <c r="AA321" s="181" t="s">
        <v>71</v>
      </c>
      <c r="AC321" s="182">
        <f t="shared" si="54"/>
        <v>108809144.49004188</v>
      </c>
      <c r="AD321" s="191">
        <f t="shared" si="52"/>
        <v>21648.383029143966</v>
      </c>
    </row>
    <row r="322" spans="1:30" ht="14.4">
      <c r="A322" s="187">
        <f t="shared" si="57"/>
        <v>43650</v>
      </c>
      <c r="B322" s="182">
        <v>11875449.92467376</v>
      </c>
      <c r="C322" s="182">
        <v>596296.42217037291</v>
      </c>
      <c r="D322" s="182">
        <v>11279153.502503388</v>
      </c>
      <c r="E322" s="182">
        <v>0</v>
      </c>
      <c r="F322" s="189">
        <f t="shared" si="53"/>
        <v>0</v>
      </c>
      <c r="G322" s="182">
        <v>11875449.92467376</v>
      </c>
      <c r="H322" s="182"/>
      <c r="I322" s="182">
        <v>11279153.502503388</v>
      </c>
      <c r="J322" s="182"/>
      <c r="K322" s="182">
        <v>10726506.440140402</v>
      </c>
      <c r="L322" s="182"/>
      <c r="M322" s="182">
        <v>10726506.440140402</v>
      </c>
      <c r="N322" s="182">
        <v>0</v>
      </c>
      <c r="O322" s="182">
        <v>11322802.862310775</v>
      </c>
      <c r="P322" s="182">
        <v>596296.42217037291</v>
      </c>
      <c r="Q322" s="182">
        <v>4.4118198698108735E-3</v>
      </c>
      <c r="R322" s="182">
        <v>0</v>
      </c>
      <c r="S322" s="182">
        <f t="shared" si="51"/>
        <v>108252180.08709101</v>
      </c>
      <c r="T322" s="192">
        <f t="shared" si="55"/>
        <v>6.0356303062434336E-3</v>
      </c>
      <c r="W322" s="182">
        <v>5032281.0168980584</v>
      </c>
      <c r="X322" s="183">
        <f t="shared" si="58"/>
        <v>21511.553055878147</v>
      </c>
      <c r="Y322" s="192">
        <f t="shared" si="56"/>
        <v>-8.5434443927816517E-3</v>
      </c>
      <c r="AA322" s="181" t="s">
        <v>72</v>
      </c>
      <c r="AC322" s="182">
        <f t="shared" si="54"/>
        <v>108113411.67402089</v>
      </c>
      <c r="AD322" s="191">
        <f t="shared" si="52"/>
        <v>21483.977407259925</v>
      </c>
    </row>
    <row r="323" spans="1:30" ht="14.4">
      <c r="A323" s="187">
        <f t="shared" si="57"/>
        <v>43681</v>
      </c>
      <c r="B323" s="182">
        <v>12039816.640508931</v>
      </c>
      <c r="C323" s="182">
        <v>573929.59986585099</v>
      </c>
      <c r="D323" s="182">
        <v>11465887.040643081</v>
      </c>
      <c r="E323" s="182">
        <v>0</v>
      </c>
      <c r="F323" s="189">
        <f t="shared" si="53"/>
        <v>0</v>
      </c>
      <c r="G323" s="182">
        <v>12039816.640508931</v>
      </c>
      <c r="H323" s="182"/>
      <c r="I323" s="182">
        <v>11465887.040643081</v>
      </c>
      <c r="J323" s="182"/>
      <c r="K323" s="182">
        <v>10874654.605198909</v>
      </c>
      <c r="L323" s="182"/>
      <c r="M323" s="182">
        <v>10874654.605198909</v>
      </c>
      <c r="N323" s="182">
        <v>0</v>
      </c>
      <c r="O323" s="182">
        <v>11448824.205064759</v>
      </c>
      <c r="P323" s="182">
        <v>574169.59986585099</v>
      </c>
      <c r="Q323" s="182">
        <v>4.4540322478889838E-3</v>
      </c>
      <c r="R323" s="182">
        <v>0</v>
      </c>
      <c r="S323" s="182">
        <f t="shared" si="51"/>
        <v>108300401.37023702</v>
      </c>
      <c r="T323" s="192">
        <f t="shared" si="55"/>
        <v>5.9341654930489263E-3</v>
      </c>
      <c r="W323" s="182">
        <v>5038364.6971142283</v>
      </c>
      <c r="X323" s="183">
        <f t="shared" si="58"/>
        <v>21495.14929561711</v>
      </c>
      <c r="Y323" s="192">
        <f t="shared" si="56"/>
        <v>-8.6178082599470684E-3</v>
      </c>
      <c r="AA323" s="181" t="s">
        <v>73</v>
      </c>
      <c r="AC323" s="182">
        <f t="shared" si="54"/>
        <v>108006948.09488973</v>
      </c>
      <c r="AD323" s="191">
        <f t="shared" si="52"/>
        <v>21436.905541345932</v>
      </c>
    </row>
    <row r="324" spans="1:30" ht="14.4">
      <c r="A324" s="187">
        <f t="shared" si="57"/>
        <v>43712</v>
      </c>
      <c r="B324" s="182">
        <v>11099342.819317812</v>
      </c>
      <c r="C324" s="182">
        <v>550656.03757818602</v>
      </c>
      <c r="D324" s="182">
        <v>10548686.781739626</v>
      </c>
      <c r="E324" s="182">
        <v>0</v>
      </c>
      <c r="F324" s="189">
        <f t="shared" si="53"/>
        <v>0</v>
      </c>
      <c r="G324" s="182">
        <v>11099342.819317812</v>
      </c>
      <c r="H324" s="182"/>
      <c r="I324" s="182">
        <v>10548686.781739626</v>
      </c>
      <c r="J324" s="182"/>
      <c r="K324" s="182">
        <v>10004964.055960746</v>
      </c>
      <c r="L324" s="182"/>
      <c r="M324" s="182">
        <v>10004964.055960746</v>
      </c>
      <c r="N324" s="182">
        <v>0</v>
      </c>
      <c r="O324" s="182">
        <v>10555620.093538933</v>
      </c>
      <c r="P324" s="182">
        <v>550656.03757818602</v>
      </c>
      <c r="Q324" s="182">
        <v>4.4865149760660028E-3</v>
      </c>
      <c r="R324" s="182">
        <v>0</v>
      </c>
      <c r="S324" s="182">
        <f t="shared" ref="S324:S387" si="59">SUM(M313:M324)</f>
        <v>108345088.30271728</v>
      </c>
      <c r="T324" s="192">
        <f t="shared" si="55"/>
        <v>5.8530871649298266E-3</v>
      </c>
      <c r="W324" s="182">
        <v>5044441.9411046291</v>
      </c>
      <c r="X324" s="183">
        <f t="shared" si="58"/>
        <v>21478.111864043367</v>
      </c>
      <c r="Y324" s="192">
        <f t="shared" si="56"/>
        <v>-8.671701580479807E-3</v>
      </c>
      <c r="AA324" s="181" t="s">
        <v>74</v>
      </c>
      <c r="AC324" s="182">
        <f t="shared" si="54"/>
        <v>109001344.003785</v>
      </c>
      <c r="AD324" s="191">
        <f t="shared" si="52"/>
        <v>21608.206671106211</v>
      </c>
    </row>
    <row r="325" spans="1:30" ht="14.4">
      <c r="A325" s="187">
        <f t="shared" si="57"/>
        <v>43742</v>
      </c>
      <c r="B325" s="182">
        <v>10419902.568966189</v>
      </c>
      <c r="C325" s="182">
        <v>508025.07436687121</v>
      </c>
      <c r="D325" s="182">
        <v>9911877.4945993181</v>
      </c>
      <c r="E325" s="182">
        <v>0</v>
      </c>
      <c r="F325" s="189">
        <f t="shared" si="53"/>
        <v>0</v>
      </c>
      <c r="G325" s="182">
        <v>10419902.568966189</v>
      </c>
      <c r="H325" s="182"/>
      <c r="I325" s="182">
        <v>9911877.4945993181</v>
      </c>
      <c r="J325" s="182"/>
      <c r="K325" s="182">
        <v>9401141.2838541269</v>
      </c>
      <c r="L325" s="182"/>
      <c r="M325" s="182">
        <v>9401141.2838541269</v>
      </c>
      <c r="N325" s="182">
        <v>0</v>
      </c>
      <c r="O325" s="182">
        <v>9909166.3582209982</v>
      </c>
      <c r="P325" s="182">
        <v>508025.07436687121</v>
      </c>
      <c r="Q325" s="182">
        <v>5.1763257416785891E-3</v>
      </c>
      <c r="R325" s="182">
        <v>0</v>
      </c>
      <c r="S325" s="182">
        <f t="shared" si="59"/>
        <v>108393501.07208177</v>
      </c>
      <c r="T325" s="192">
        <f t="shared" si="55"/>
        <v>5.783206980907174E-3</v>
      </c>
      <c r="W325" s="182">
        <v>5050510.3735182602</v>
      </c>
      <c r="X325" s="183">
        <f t="shared" si="58"/>
        <v>21461.890592370619</v>
      </c>
      <c r="Y325" s="192">
        <f t="shared" si="56"/>
        <v>-8.7144160010266258E-3</v>
      </c>
      <c r="AA325" s="181" t="s">
        <v>75</v>
      </c>
      <c r="AC325" s="182">
        <f t="shared" si="54"/>
        <v>109738042.00430246</v>
      </c>
      <c r="AD325" s="191">
        <f t="shared" si="52"/>
        <v>21728.109416367224</v>
      </c>
    </row>
    <row r="326" spans="1:30" ht="14.4">
      <c r="A326" s="187">
        <f t="shared" si="57"/>
        <v>43773</v>
      </c>
      <c r="B326" s="182">
        <v>8681518.2553706579</v>
      </c>
      <c r="C326" s="182">
        <v>421154.29243450472</v>
      </c>
      <c r="D326" s="182">
        <v>8260363.9629361536</v>
      </c>
      <c r="E326" s="182">
        <v>0</v>
      </c>
      <c r="F326" s="189">
        <f t="shared" si="53"/>
        <v>0</v>
      </c>
      <c r="G326" s="182">
        <v>8681518.2553706579</v>
      </c>
      <c r="H326" s="182"/>
      <c r="I326" s="182">
        <v>8260363.9629361536</v>
      </c>
      <c r="J326" s="182"/>
      <c r="K326" s="182">
        <v>7882255.4431664757</v>
      </c>
      <c r="L326" s="182"/>
      <c r="M326" s="182">
        <v>7882255.4431664757</v>
      </c>
      <c r="N326" s="182">
        <v>0</v>
      </c>
      <c r="O326" s="182">
        <v>8303409.73560098</v>
      </c>
      <c r="P326" s="182">
        <v>421154.29243450472</v>
      </c>
      <c r="Q326" s="182">
        <v>6.0978192261957886E-3</v>
      </c>
      <c r="R326" s="182">
        <v>0</v>
      </c>
      <c r="S326" s="182">
        <f t="shared" si="59"/>
        <v>108441274.32818931</v>
      </c>
      <c r="T326" s="192">
        <f t="shared" si="55"/>
        <v>5.7163976578527009E-3</v>
      </c>
      <c r="W326" s="182">
        <v>5056565.4293966489</v>
      </c>
      <c r="X326" s="183">
        <f t="shared" si="58"/>
        <v>21445.638515376348</v>
      </c>
      <c r="Y326" s="192">
        <f t="shared" si="56"/>
        <v>-8.754396528775632E-3</v>
      </c>
      <c r="AA326" s="181" t="s">
        <v>76</v>
      </c>
      <c r="AC326" s="182">
        <f t="shared" si="54"/>
        <v>111532045.20413862</v>
      </c>
      <c r="AD326" s="191">
        <f t="shared" si="52"/>
        <v>22056.877689298817</v>
      </c>
    </row>
    <row r="327" spans="1:30" ht="14.4">
      <c r="A327" s="187">
        <f t="shared" si="57"/>
        <v>43803</v>
      </c>
      <c r="B327" s="182">
        <v>8900710.5370925292</v>
      </c>
      <c r="C327" s="182">
        <v>372250.75886474136</v>
      </c>
      <c r="D327" s="182">
        <v>8528459.7782277875</v>
      </c>
      <c r="E327" s="182">
        <v>0</v>
      </c>
      <c r="F327" s="189">
        <f t="shared" si="53"/>
        <v>0</v>
      </c>
      <c r="G327" s="182">
        <v>8900710.5370925292</v>
      </c>
      <c r="H327" s="182"/>
      <c r="I327" s="182">
        <v>8528459.7782277875</v>
      </c>
      <c r="J327" s="182"/>
      <c r="K327" s="182">
        <v>8102752.5844534449</v>
      </c>
      <c r="L327" s="182"/>
      <c r="M327" s="182">
        <v>8102752.5844534449</v>
      </c>
      <c r="N327" s="182">
        <v>0</v>
      </c>
      <c r="O327" s="182">
        <v>8475003.3433181867</v>
      </c>
      <c r="P327" s="182">
        <v>372250.75886474136</v>
      </c>
      <c r="Q327" s="182">
        <v>6.8763424125424244E-3</v>
      </c>
      <c r="R327" s="182">
        <v>0</v>
      </c>
      <c r="S327" s="182">
        <f t="shared" si="59"/>
        <v>108496611.11475174</v>
      </c>
      <c r="T327" s="192">
        <f t="shared" si="55"/>
        <v>5.6421816537819414E-3</v>
      </c>
      <c r="W327" s="182">
        <v>5062604.7553858915</v>
      </c>
      <c r="X327" s="183">
        <f t="shared" si="58"/>
        <v>21430.985896998332</v>
      </c>
      <c r="Y327" s="192">
        <f t="shared" si="56"/>
        <v>-8.8022011294867086E-3</v>
      </c>
      <c r="AA327" s="181" t="s">
        <v>77</v>
      </c>
      <c r="AB327" s="181">
        <f>YEAR(A327)</f>
        <v>2019</v>
      </c>
      <c r="AC327" s="182">
        <f>SUM(G316:G327)</f>
        <v>120277084.01589832</v>
      </c>
      <c r="AD327" s="191">
        <f t="shared" si="52"/>
        <v>23757.94473940329</v>
      </c>
    </row>
    <row r="328" spans="1:30" ht="14.4">
      <c r="A328" s="187">
        <f t="shared" si="57"/>
        <v>43834</v>
      </c>
      <c r="B328" s="182">
        <v>9016209.2198111173</v>
      </c>
      <c r="C328" s="182">
        <v>429405.43617534538</v>
      </c>
      <c r="D328" s="182">
        <v>8586803.7836357728</v>
      </c>
      <c r="E328" s="182">
        <v>0</v>
      </c>
      <c r="F328" s="189">
        <f t="shared" si="53"/>
        <v>0</v>
      </c>
      <c r="G328" s="182">
        <v>9016209.2198111173</v>
      </c>
      <c r="H328" s="182"/>
      <c r="I328" s="182">
        <v>8586803.7836357728</v>
      </c>
      <c r="J328" s="182"/>
      <c r="K328" s="182">
        <v>8131460.5861076312</v>
      </c>
      <c r="L328" s="182"/>
      <c r="M328" s="182">
        <v>8131460.5861076312</v>
      </c>
      <c r="N328" s="182">
        <v>0</v>
      </c>
      <c r="O328" s="182">
        <v>8560866.0222829767</v>
      </c>
      <c r="P328" s="182">
        <v>429405.43617534538</v>
      </c>
      <c r="Q328" s="182">
        <v>8.0653815114526406E-3</v>
      </c>
      <c r="R328" s="182">
        <v>0</v>
      </c>
      <c r="S328" s="182">
        <f t="shared" si="59"/>
        <v>108561669.72411889</v>
      </c>
      <c r="T328" s="192">
        <f t="shared" si="55"/>
        <v>5.6583010842508052E-3</v>
      </c>
      <c r="W328" s="182">
        <v>5068631.1045191316</v>
      </c>
      <c r="X328" s="183">
        <f t="shared" si="58"/>
        <v>21418.341063986012</v>
      </c>
      <c r="Y328" s="192">
        <f t="shared" si="56"/>
        <v>-8.7612542365008705E-3</v>
      </c>
      <c r="AA328" s="181" t="s">
        <v>66</v>
      </c>
      <c r="AC328" s="182">
        <f t="shared" si="54"/>
        <v>111334517.82280609</v>
      </c>
      <c r="AD328" s="191">
        <f t="shared" si="52"/>
        <v>21965.401609823519</v>
      </c>
    </row>
    <row r="329" spans="1:30" ht="14.4">
      <c r="A329" s="187">
        <f t="shared" si="57"/>
        <v>43865</v>
      </c>
      <c r="B329" s="182">
        <v>8363012.3992034607</v>
      </c>
      <c r="C329" s="182">
        <v>429816.1297078908</v>
      </c>
      <c r="D329" s="182">
        <v>7933196.2694955701</v>
      </c>
      <c r="E329" s="182">
        <v>0</v>
      </c>
      <c r="F329" s="189">
        <f t="shared" si="53"/>
        <v>0</v>
      </c>
      <c r="G329" s="182">
        <v>8363012.3992034607</v>
      </c>
      <c r="H329" s="182"/>
      <c r="I329" s="182">
        <v>7933196.2694955701</v>
      </c>
      <c r="J329" s="182"/>
      <c r="K329" s="182">
        <v>7513374.4116489468</v>
      </c>
      <c r="L329" s="182"/>
      <c r="M329" s="182">
        <v>7513374.4116489468</v>
      </c>
      <c r="N329" s="182">
        <v>0</v>
      </c>
      <c r="O329" s="182">
        <v>7943190.5413568374</v>
      </c>
      <c r="P329" s="182">
        <v>429816.1297078908</v>
      </c>
      <c r="Q329" s="182">
        <v>3.7028096911422725E-2</v>
      </c>
      <c r="R329" s="182">
        <v>0</v>
      </c>
      <c r="S329" s="182">
        <f t="shared" si="59"/>
        <v>108829942.06570241</v>
      </c>
      <c r="T329" s="192">
        <f t="shared" si="55"/>
        <v>7.678237645037056E-3</v>
      </c>
      <c r="W329" s="182">
        <v>5074643.3624393037</v>
      </c>
      <c r="X329" s="183">
        <f t="shared" si="58"/>
        <v>21445.830631413974</v>
      </c>
      <c r="Y329" s="192">
        <f t="shared" si="56"/>
        <v>-6.7455739716166807E-3</v>
      </c>
      <c r="AA329" s="181" t="s">
        <v>67</v>
      </c>
      <c r="AC329" s="182">
        <f t="shared" si="54"/>
        <v>112275364.38811994</v>
      </c>
      <c r="AD329" s="191">
        <f t="shared" si="52"/>
        <v>22124.779293682401</v>
      </c>
    </row>
    <row r="330" spans="1:30" ht="14.4">
      <c r="A330" s="187">
        <f t="shared" si="57"/>
        <v>43894</v>
      </c>
      <c r="B330" s="182">
        <v>9188430.1405205373</v>
      </c>
      <c r="C330" s="182">
        <v>517675.77330239775</v>
      </c>
      <c r="D330" s="182">
        <v>8670754.3672181387</v>
      </c>
      <c r="E330" s="182">
        <v>0</v>
      </c>
      <c r="F330" s="189">
        <f t="shared" si="53"/>
        <v>0</v>
      </c>
      <c r="G330" s="182">
        <v>9188430.1405205373</v>
      </c>
      <c r="H330" s="182"/>
      <c r="I330" s="182">
        <v>8670754.3672181387</v>
      </c>
      <c r="J330" s="182"/>
      <c r="K330" s="182">
        <v>8217806.4439201979</v>
      </c>
      <c r="L330" s="182"/>
      <c r="M330" s="182">
        <v>8217806.4439201979</v>
      </c>
      <c r="N330" s="182">
        <v>0</v>
      </c>
      <c r="O330" s="182">
        <v>8735482.2172225956</v>
      </c>
      <c r="P330" s="182">
        <v>517675.77330239775</v>
      </c>
      <c r="Q330" s="182">
        <v>9.5689986762061974E-3</v>
      </c>
      <c r="R330" s="182">
        <v>0</v>
      </c>
      <c r="S330" s="182">
        <f t="shared" si="59"/>
        <v>108907832.90732522</v>
      </c>
      <c r="T330" s="192">
        <f t="shared" si="55"/>
        <v>7.8789612974443646E-3</v>
      </c>
      <c r="W330" s="182">
        <v>5080637.5119326133</v>
      </c>
      <c r="X330" s="183">
        <f t="shared" si="58"/>
        <v>21435.859702948575</v>
      </c>
      <c r="Y330" s="192">
        <f t="shared" si="56"/>
        <v>-6.5237958442699862E-3</v>
      </c>
      <c r="AA330" s="181" t="s">
        <v>68</v>
      </c>
      <c r="AC330" s="182">
        <f t="shared" si="54"/>
        <v>111538008.33779599</v>
      </c>
      <c r="AD330" s="191">
        <f t="shared" si="52"/>
        <v>21953.545805193309</v>
      </c>
    </row>
    <row r="331" spans="1:30" ht="14.4">
      <c r="A331" s="187">
        <f t="shared" si="57"/>
        <v>43925</v>
      </c>
      <c r="B331" s="182">
        <v>9473915.7985130083</v>
      </c>
      <c r="C331" s="182">
        <v>566889.92418177903</v>
      </c>
      <c r="D331" s="182">
        <v>8907025.8743312284</v>
      </c>
      <c r="E331" s="182">
        <v>0</v>
      </c>
      <c r="F331" s="189">
        <f t="shared" si="53"/>
        <v>0</v>
      </c>
      <c r="G331" s="182">
        <v>9473915.7985130083</v>
      </c>
      <c r="H331" s="182"/>
      <c r="I331" s="182">
        <v>8907025.8743312284</v>
      </c>
      <c r="J331" s="182"/>
      <c r="K331" s="182">
        <v>8474470.3131866194</v>
      </c>
      <c r="L331" s="182"/>
      <c r="M331" s="182">
        <v>8474470.3131866194</v>
      </c>
      <c r="N331" s="182">
        <v>0</v>
      </c>
      <c r="O331" s="182">
        <v>9041360.2373683993</v>
      </c>
      <c r="P331" s="182">
        <v>566889.92418177903</v>
      </c>
      <c r="Q331" s="182">
        <v>1.0026455951393398E-2</v>
      </c>
      <c r="R331" s="182">
        <v>0</v>
      </c>
      <c r="S331" s="182">
        <f t="shared" si="59"/>
        <v>108991958.33077912</v>
      </c>
      <c r="T331" s="192">
        <f t="shared" si="55"/>
        <v>8.188594506519431E-3</v>
      </c>
      <c r="W331" s="182">
        <v>5086633.8394448096</v>
      </c>
      <c r="X331" s="183">
        <f t="shared" si="58"/>
        <v>21427.128779270508</v>
      </c>
      <c r="Y331" s="192">
        <f t="shared" si="56"/>
        <v>-6.1936042329935326E-3</v>
      </c>
      <c r="AA331" s="181" t="s">
        <v>69</v>
      </c>
      <c r="AC331" s="182">
        <f t="shared" si="54"/>
        <v>111347318.54088528</v>
      </c>
      <c r="AD331" s="191">
        <f t="shared" si="52"/>
        <v>21890.177680459597</v>
      </c>
    </row>
    <row r="332" spans="1:30" ht="14.4">
      <c r="A332" s="187">
        <f t="shared" si="57"/>
        <v>43955</v>
      </c>
      <c r="B332" s="182">
        <v>10738660.767993974</v>
      </c>
      <c r="C332" s="182">
        <v>568451.64938284352</v>
      </c>
      <c r="D332" s="182">
        <v>10170209.118611131</v>
      </c>
      <c r="E332" s="182">
        <v>0</v>
      </c>
      <c r="F332" s="189">
        <f t="shared" si="53"/>
        <v>0</v>
      </c>
      <c r="G332" s="182">
        <v>10738660.767993974</v>
      </c>
      <c r="H332" s="182"/>
      <c r="I332" s="182">
        <v>10170209.118611131</v>
      </c>
      <c r="J332" s="182"/>
      <c r="K332" s="182">
        <v>9702166.7221428119</v>
      </c>
      <c r="L332" s="182"/>
      <c r="M332" s="182">
        <v>9702166.7221428119</v>
      </c>
      <c r="N332" s="182">
        <v>0</v>
      </c>
      <c r="O332" s="182">
        <v>10270618.371525655</v>
      </c>
      <c r="P332" s="182">
        <v>568451.64938284352</v>
      </c>
      <c r="Q332" s="182">
        <v>9.1977209714835251E-3</v>
      </c>
      <c r="R332" s="182">
        <v>0</v>
      </c>
      <c r="S332" s="182">
        <f t="shared" si="59"/>
        <v>109080382.849062</v>
      </c>
      <c r="T332" s="192">
        <f t="shared" si="55"/>
        <v>8.5317782893283844E-3</v>
      </c>
      <c r="W332" s="182">
        <v>5092644.9403755534</v>
      </c>
      <c r="X332" s="183">
        <f t="shared" si="58"/>
        <v>21419.200459912277</v>
      </c>
      <c r="Y332" s="192">
        <f t="shared" si="56"/>
        <v>-5.8281508622044509E-3</v>
      </c>
      <c r="AA332" s="181" t="s">
        <v>70</v>
      </c>
      <c r="AC332" s="182">
        <f t="shared" si="54"/>
        <v>110181849.04944101</v>
      </c>
      <c r="AD332" s="191">
        <f t="shared" si="52"/>
        <v>21635.486145106304</v>
      </c>
    </row>
    <row r="333" spans="1:30" ht="14.4">
      <c r="A333" s="187">
        <f t="shared" si="57"/>
        <v>43986</v>
      </c>
      <c r="B333" s="182">
        <v>11221913.331703998</v>
      </c>
      <c r="C333" s="182">
        <v>590009.03808444389</v>
      </c>
      <c r="D333" s="182">
        <v>10631904.293619554</v>
      </c>
      <c r="E333" s="182">
        <v>0</v>
      </c>
      <c r="F333" s="189">
        <f t="shared" si="53"/>
        <v>0</v>
      </c>
      <c r="G333" s="182">
        <v>11221913.331703998</v>
      </c>
      <c r="H333" s="182"/>
      <c r="I333" s="182">
        <v>10631904.293619554</v>
      </c>
      <c r="J333" s="182"/>
      <c r="K333" s="182">
        <v>10136067.119601635</v>
      </c>
      <c r="L333" s="182"/>
      <c r="M333" s="182">
        <v>10136067.119601635</v>
      </c>
      <c r="N333" s="182">
        <v>0</v>
      </c>
      <c r="O333" s="182">
        <v>10726076.157686079</v>
      </c>
      <c r="P333" s="182">
        <v>590009.03808444389</v>
      </c>
      <c r="Q333" s="182">
        <v>8.6813251566033589E-3</v>
      </c>
      <c r="R333" s="182">
        <v>0</v>
      </c>
      <c r="S333" s="182">
        <f t="shared" si="59"/>
        <v>109167620.00938195</v>
      </c>
      <c r="T333" s="192">
        <f t="shared" si="55"/>
        <v>8.8956600629614968E-3</v>
      </c>
      <c r="W333" s="182">
        <v>5098657.022548941</v>
      </c>
      <c r="X333" s="183">
        <f t="shared" si="58"/>
        <v>21411.053837625353</v>
      </c>
      <c r="Y333" s="192">
        <f t="shared" si="56"/>
        <v>-5.4413764299581224E-3</v>
      </c>
      <c r="AA333" s="181" t="s">
        <v>71</v>
      </c>
      <c r="AC333" s="182">
        <f t="shared" si="54"/>
        <v>109796969.07197198</v>
      </c>
      <c r="AD333" s="191">
        <f t="shared" si="52"/>
        <v>21534.488118418649</v>
      </c>
    </row>
    <row r="334" spans="1:30" ht="14.4">
      <c r="A334" s="187">
        <f t="shared" si="57"/>
        <v>44016</v>
      </c>
      <c r="B334" s="182">
        <v>11974215.79791737</v>
      </c>
      <c r="C334" s="182">
        <v>602836.73905843718</v>
      </c>
      <c r="D334" s="182">
        <v>11371379.058858933</v>
      </c>
      <c r="E334" s="182">
        <v>0</v>
      </c>
      <c r="F334" s="189">
        <f t="shared" si="53"/>
        <v>0</v>
      </c>
      <c r="G334" s="182">
        <v>11974215.79791737</v>
      </c>
      <c r="H334" s="182"/>
      <c r="I334" s="182">
        <v>11371379.058858933</v>
      </c>
      <c r="J334" s="182"/>
      <c r="K334" s="182">
        <v>10814135.735296918</v>
      </c>
      <c r="L334" s="182"/>
      <c r="M334" s="182">
        <v>10814135.735296918</v>
      </c>
      <c r="N334" s="182">
        <v>0</v>
      </c>
      <c r="O334" s="182">
        <v>11416972.474355355</v>
      </c>
      <c r="P334" s="182">
        <v>602836.73905843718</v>
      </c>
      <c r="Q334" s="182">
        <v>8.1694161697039025E-3</v>
      </c>
      <c r="R334" s="182">
        <v>0</v>
      </c>
      <c r="S334" s="182">
        <f t="shared" si="59"/>
        <v>109255249.30453847</v>
      </c>
      <c r="T334" s="192">
        <f t="shared" si="55"/>
        <v>9.2660417244296855E-3</v>
      </c>
      <c r="W334" s="182">
        <v>5104673.5313588306</v>
      </c>
      <c r="X334" s="183">
        <f t="shared" si="58"/>
        <v>21402.984663635372</v>
      </c>
      <c r="Y334" s="192">
        <f t="shared" si="56"/>
        <v>-5.0469806601484146E-3</v>
      </c>
      <c r="AA334" s="181" t="s">
        <v>72</v>
      </c>
      <c r="AC334" s="182">
        <f t="shared" si="54"/>
        <v>109143432.47900224</v>
      </c>
      <c r="AD334" s="191">
        <f t="shared" si="52"/>
        <v>21381.079868970381</v>
      </c>
    </row>
    <row r="335" spans="1:30" ht="14.4">
      <c r="A335" s="187">
        <f t="shared" si="57"/>
        <v>44047</v>
      </c>
      <c r="B335" s="182">
        <v>12139256.225166311</v>
      </c>
      <c r="C335" s="182">
        <v>580856.70829469804</v>
      </c>
      <c r="D335" s="182">
        <v>11558399.516871613</v>
      </c>
      <c r="E335" s="182">
        <v>0</v>
      </c>
      <c r="F335" s="189">
        <f t="shared" si="53"/>
        <v>0</v>
      </c>
      <c r="G335" s="182">
        <v>12139256.225166311</v>
      </c>
      <c r="H335" s="182"/>
      <c r="I335" s="182">
        <v>11558399.516871613</v>
      </c>
      <c r="J335" s="182"/>
      <c r="K335" s="182">
        <v>10962525.94045404</v>
      </c>
      <c r="L335" s="182"/>
      <c r="M335" s="182">
        <v>10962525.94045404</v>
      </c>
      <c r="N335" s="182">
        <v>0</v>
      </c>
      <c r="O335" s="182">
        <v>11543382.648748739</v>
      </c>
      <c r="P335" s="182">
        <v>580856.70829469804</v>
      </c>
      <c r="Q335" s="182">
        <v>8.0803794184987066E-3</v>
      </c>
      <c r="R335" s="182">
        <v>0</v>
      </c>
      <c r="S335" s="182">
        <f t="shared" si="59"/>
        <v>109343120.63979359</v>
      </c>
      <c r="T335" s="192">
        <f t="shared" si="55"/>
        <v>9.6280277484097621E-3</v>
      </c>
      <c r="W335" s="182">
        <v>5110692.2164607793</v>
      </c>
      <c r="X335" s="183">
        <f t="shared" si="58"/>
        <v>21394.972737277287</v>
      </c>
      <c r="Y335" s="192">
        <f t="shared" si="56"/>
        <v>-4.66042626464791E-3</v>
      </c>
      <c r="AA335" s="181" t="s">
        <v>73</v>
      </c>
      <c r="AC335" s="182">
        <f t="shared" si="54"/>
        <v>109077831.63641065</v>
      </c>
      <c r="AD335" s="191">
        <f t="shared" ref="AD335:AD339" si="60">AC335/W335*1000</f>
        <v>21343.064112741358</v>
      </c>
    </row>
    <row r="336" spans="1:30" ht="14.4">
      <c r="A336" s="187">
        <f t="shared" si="57"/>
        <v>44078</v>
      </c>
      <c r="B336" s="182">
        <v>11192684.909358686</v>
      </c>
      <c r="C336" s="182">
        <v>557346.15713166969</v>
      </c>
      <c r="D336" s="182">
        <v>10635338.752227016</v>
      </c>
      <c r="E336" s="182">
        <v>0</v>
      </c>
      <c r="F336" s="189">
        <f t="shared" ref="F336:F399" si="61">SUM(E325:E335)</f>
        <v>0</v>
      </c>
      <c r="G336" s="182">
        <v>11192684.909358686</v>
      </c>
      <c r="H336" s="182"/>
      <c r="I336" s="182">
        <v>10635338.752227016</v>
      </c>
      <c r="J336" s="182"/>
      <c r="K336" s="182">
        <v>10087043.484050527</v>
      </c>
      <c r="L336" s="182"/>
      <c r="M336" s="182">
        <v>10087043.484050527</v>
      </c>
      <c r="N336" s="182">
        <v>0</v>
      </c>
      <c r="O336" s="182">
        <v>10644389.641182197</v>
      </c>
      <c r="P336" s="182">
        <v>557346.15713166969</v>
      </c>
      <c r="Q336" s="182">
        <v>8.2038703618210196E-3</v>
      </c>
      <c r="R336" s="182">
        <v>0</v>
      </c>
      <c r="S336" s="182">
        <f t="shared" si="59"/>
        <v>109425200.06788337</v>
      </c>
      <c r="T336" s="192">
        <f t="shared" si="55"/>
        <v>9.9691807177104685E-3</v>
      </c>
      <c r="W336" s="182">
        <v>5116705.4957252834</v>
      </c>
      <c r="X336" s="183">
        <f t="shared" si="58"/>
        <v>21385.870294724195</v>
      </c>
      <c r="Y336" s="192">
        <f t="shared" si="56"/>
        <v>-4.2946777585973761E-3</v>
      </c>
      <c r="AA336" s="181" t="s">
        <v>74</v>
      </c>
      <c r="AC336" s="182">
        <f t="shared" ref="AC336:AC340" si="62">SUM(G325:G335)</f>
        <v>110117745.04225914</v>
      </c>
      <c r="AD336" s="191">
        <f t="shared" si="60"/>
        <v>21521.220076913996</v>
      </c>
    </row>
    <row r="337" spans="1:30" ht="14.4">
      <c r="A337" s="187">
        <f t="shared" si="57"/>
        <v>44108</v>
      </c>
      <c r="B337" s="182">
        <v>10513055.246051883</v>
      </c>
      <c r="C337" s="182">
        <v>514151.84101362876</v>
      </c>
      <c r="D337" s="182">
        <v>9998903.4050382543</v>
      </c>
      <c r="E337" s="182">
        <v>0</v>
      </c>
      <c r="F337" s="189">
        <f t="shared" si="61"/>
        <v>0</v>
      </c>
      <c r="G337" s="182">
        <v>10513055.246051883</v>
      </c>
      <c r="H337" s="182"/>
      <c r="I337" s="182">
        <v>9998903.4050382543</v>
      </c>
      <c r="J337" s="182"/>
      <c r="K337" s="182">
        <v>9483601.2739305049</v>
      </c>
      <c r="L337" s="182"/>
      <c r="M337" s="182">
        <v>9483601.2739305049</v>
      </c>
      <c r="N337" s="182">
        <v>0</v>
      </c>
      <c r="O337" s="182">
        <v>9997753.1149441339</v>
      </c>
      <c r="P337" s="182">
        <v>514151.84101362876</v>
      </c>
      <c r="Q337" s="182">
        <v>8.7712744215426852E-3</v>
      </c>
      <c r="R337" s="182">
        <v>0</v>
      </c>
      <c r="S337" s="182">
        <f t="shared" si="59"/>
        <v>109507660.05795975</v>
      </c>
      <c r="T337" s="192">
        <f t="shared" si="55"/>
        <v>1.02788356761081E-2</v>
      </c>
      <c r="W337" s="182">
        <v>5122711.7739824029</v>
      </c>
      <c r="X337" s="183">
        <f t="shared" si="58"/>
        <v>21376.892725867408</v>
      </c>
      <c r="Y337" s="192">
        <f t="shared" si="56"/>
        <v>-3.960409085927652E-3</v>
      </c>
      <c r="AA337" s="181" t="s">
        <v>75</v>
      </c>
      <c r="AC337" s="182">
        <f t="shared" si="62"/>
        <v>110890527.38265163</v>
      </c>
      <c r="AD337" s="191">
        <f t="shared" si="60"/>
        <v>21646.841023898789</v>
      </c>
    </row>
    <row r="338" spans="1:30" ht="14.4">
      <c r="A338" s="187">
        <f t="shared" si="57"/>
        <v>44139</v>
      </c>
      <c r="B338" s="182">
        <v>8768822.8433922045</v>
      </c>
      <c r="C338" s="182">
        <v>426657.01357452717</v>
      </c>
      <c r="D338" s="182">
        <v>8342165.8298176769</v>
      </c>
      <c r="E338" s="182">
        <v>0</v>
      </c>
      <c r="F338" s="189">
        <f t="shared" si="61"/>
        <v>0</v>
      </c>
      <c r="G338" s="182">
        <v>8768822.8433922045</v>
      </c>
      <c r="H338" s="182"/>
      <c r="I338" s="182">
        <v>8342165.8298176769</v>
      </c>
      <c r="J338" s="182"/>
      <c r="K338" s="182">
        <v>7960254.9096411914</v>
      </c>
      <c r="L338" s="182"/>
      <c r="M338" s="182">
        <v>7960254.9096411914</v>
      </c>
      <c r="N338" s="182">
        <v>0</v>
      </c>
      <c r="O338" s="182">
        <v>8386911.9232157189</v>
      </c>
      <c r="P338" s="182">
        <v>426657.01357452717</v>
      </c>
      <c r="Q338" s="182">
        <v>9.8955771018989225E-3</v>
      </c>
      <c r="R338" s="182">
        <v>0</v>
      </c>
      <c r="S338" s="182">
        <f t="shared" si="59"/>
        <v>109585659.52443448</v>
      </c>
      <c r="T338" s="192">
        <f t="shared" si="55"/>
        <v>1.0553040835556526E-2</v>
      </c>
      <c r="W338" s="182">
        <v>5128707.9392531142</v>
      </c>
      <c r="X338" s="183">
        <f t="shared" si="58"/>
        <v>21367.108601702374</v>
      </c>
      <c r="Y338" s="192">
        <f t="shared" si="56"/>
        <v>-3.6618128025270869E-3</v>
      </c>
      <c r="AA338" s="181" t="s">
        <v>76</v>
      </c>
      <c r="AC338" s="182">
        <f t="shared" si="62"/>
        <v>112722064.37333286</v>
      </c>
      <c r="AD338" s="191">
        <f t="shared" si="60"/>
        <v>21978.647586968738</v>
      </c>
    </row>
    <row r="339" spans="1:30" ht="14.4">
      <c r="A339" s="187">
        <f t="shared" si="57"/>
        <v>44169</v>
      </c>
      <c r="B339" s="182">
        <v>8994975.9863372464</v>
      </c>
      <c r="C339" s="182">
        <v>377471.68839731766</v>
      </c>
      <c r="D339" s="182">
        <v>8617504.2979399282</v>
      </c>
      <c r="E339" s="182">
        <v>0</v>
      </c>
      <c r="F339" s="189">
        <f t="shared" si="61"/>
        <v>0</v>
      </c>
      <c r="G339" s="182">
        <v>8994975.9863372464</v>
      </c>
      <c r="H339" s="182"/>
      <c r="I339" s="182">
        <v>8617504.2979399282</v>
      </c>
      <c r="J339" s="182"/>
      <c r="K339" s="182">
        <v>8187288.5337879043</v>
      </c>
      <c r="L339" s="182"/>
      <c r="M339" s="182">
        <v>8187288.5337879043</v>
      </c>
      <c r="N339" s="182">
        <v>0</v>
      </c>
      <c r="O339" s="182">
        <v>8564760.2221852224</v>
      </c>
      <c r="P339" s="182">
        <v>377471.68839731766</v>
      </c>
      <c r="Q339" s="182">
        <v>1.0432991560998195E-2</v>
      </c>
      <c r="R339" s="182">
        <v>0</v>
      </c>
      <c r="S339" s="182">
        <f t="shared" si="59"/>
        <v>109670195.47376893</v>
      </c>
      <c r="T339" s="192">
        <f t="shared" si="55"/>
        <v>1.0816783556271137E-2</v>
      </c>
      <c r="W339" s="182">
        <v>5134692.4093091562</v>
      </c>
      <c r="X339" s="183">
        <f t="shared" si="58"/>
        <v>21358.668977899775</v>
      </c>
      <c r="Y339" s="192">
        <f t="shared" si="56"/>
        <v>-3.3744093457075408E-3</v>
      </c>
      <c r="AA339" s="181" t="s">
        <v>77</v>
      </c>
      <c r="AB339" s="181">
        <f>YEAR(A339)</f>
        <v>2020</v>
      </c>
      <c r="AC339" s="182">
        <f>SUM(G328:G339)</f>
        <v>121585152.66596977</v>
      </c>
      <c r="AD339" s="191">
        <f t="shared" si="60"/>
        <v>23679.150175682746</v>
      </c>
    </row>
    <row r="340" spans="1:30" ht="14.4">
      <c r="A340" s="187">
        <f t="shared" si="57"/>
        <v>44200</v>
      </c>
      <c r="B340" s="182">
        <v>9113180.5877991114</v>
      </c>
      <c r="C340" s="182">
        <v>434585.3177155407</v>
      </c>
      <c r="D340" s="182">
        <v>8678595.2700835709</v>
      </c>
      <c r="E340" s="182">
        <v>0</v>
      </c>
      <c r="F340" s="189">
        <f t="shared" si="61"/>
        <v>0</v>
      </c>
      <c r="G340" s="182">
        <v>9113180.5877991114</v>
      </c>
      <c r="H340" s="182"/>
      <c r="I340" s="182">
        <v>8678595.2700835709</v>
      </c>
      <c r="J340" s="182"/>
      <c r="K340" s="182">
        <v>8218354.7535500862</v>
      </c>
      <c r="L340" s="182"/>
      <c r="M340" s="182">
        <v>8218354.7535500862</v>
      </c>
      <c r="N340" s="182">
        <v>0</v>
      </c>
      <c r="O340" s="182">
        <v>8652940.0712656267</v>
      </c>
      <c r="P340" s="182">
        <v>434585.3177155407</v>
      </c>
      <c r="Q340" s="182">
        <v>1.0686169664390954E-2</v>
      </c>
      <c r="R340" s="182">
        <v>0</v>
      </c>
      <c r="S340" s="182">
        <f t="shared" si="59"/>
        <v>109757089.64121138</v>
      </c>
      <c r="T340" s="192">
        <f t="shared" si="55"/>
        <v>1.1011436358065785E-2</v>
      </c>
      <c r="W340" s="182">
        <v>5140667.1354770288</v>
      </c>
      <c r="X340" s="183">
        <f t="shared" si="58"/>
        <v>21350.748210042675</v>
      </c>
      <c r="Y340" s="192">
        <f t="shared" si="56"/>
        <v>-3.1558398356533734E-3</v>
      </c>
      <c r="AA340" s="181" t="s">
        <v>66</v>
      </c>
      <c r="AC340" s="182">
        <f t="shared" si="62"/>
        <v>112568943.44615866</v>
      </c>
      <c r="AD340" s="191">
        <f>AC340/W340*1000</f>
        <v>21897.73048507503</v>
      </c>
    </row>
    <row r="341" spans="1:30" ht="14.4">
      <c r="A341" s="187">
        <f t="shared" si="57"/>
        <v>44231</v>
      </c>
      <c r="B341" s="182">
        <v>8227143.2382289302</v>
      </c>
      <c r="C341" s="182">
        <v>434825.79391167068</v>
      </c>
      <c r="D341" s="182">
        <v>7792317.4443172598</v>
      </c>
      <c r="E341" s="182">
        <v>0</v>
      </c>
      <c r="F341" s="189">
        <f t="shared" si="61"/>
        <v>0</v>
      </c>
      <c r="G341" s="182">
        <v>8227143.2382289302</v>
      </c>
      <c r="H341" s="182"/>
      <c r="I341" s="182">
        <v>7792317.4443172598</v>
      </c>
      <c r="J341" s="182"/>
      <c r="K341" s="182">
        <v>7379316.196181776</v>
      </c>
      <c r="L341" s="182"/>
      <c r="M341" s="182">
        <v>7379316.196181776</v>
      </c>
      <c r="N341" s="182">
        <v>0</v>
      </c>
      <c r="O341" s="182">
        <v>7814141.9900934463</v>
      </c>
      <c r="P341" s="182">
        <v>434825.79391167068</v>
      </c>
      <c r="Q341" s="182">
        <v>-1.7842610806047876E-2</v>
      </c>
      <c r="R341" s="182">
        <v>0</v>
      </c>
      <c r="S341" s="182">
        <f t="shared" si="59"/>
        <v>109623031.42574421</v>
      </c>
      <c r="T341" s="192">
        <f t="shared" si="55"/>
        <v>7.2874187469749163E-3</v>
      </c>
      <c r="W341" s="182">
        <v>5146631.3909875574</v>
      </c>
      <c r="X341" s="183">
        <f t="shared" si="58"/>
        <v>21299.957797193103</v>
      </c>
      <c r="Y341" s="192">
        <f t="shared" si="56"/>
        <v>-6.8019204631409869E-3</v>
      </c>
    </row>
    <row r="342" spans="1:30" ht="14.4">
      <c r="A342" s="187">
        <f t="shared" si="57"/>
        <v>44260</v>
      </c>
      <c r="B342" s="182">
        <v>9275413.9013977032</v>
      </c>
      <c r="C342" s="182">
        <v>523590.93934804748</v>
      </c>
      <c r="D342" s="182">
        <v>8751822.9620496556</v>
      </c>
      <c r="E342" s="182">
        <v>0</v>
      </c>
      <c r="F342" s="189">
        <f t="shared" si="61"/>
        <v>0</v>
      </c>
      <c r="G342" s="182">
        <v>9275413.9013977032</v>
      </c>
      <c r="H342" s="182"/>
      <c r="I342" s="182">
        <v>8751822.9620496556</v>
      </c>
      <c r="J342" s="182"/>
      <c r="K342" s="182">
        <v>8294587.1339358296</v>
      </c>
      <c r="L342" s="182"/>
      <c r="M342" s="182">
        <v>8294587.1339358296</v>
      </c>
      <c r="N342" s="182">
        <v>0</v>
      </c>
      <c r="O342" s="182">
        <v>8818178.0732838772</v>
      </c>
      <c r="P342" s="182">
        <v>523590.93934804748</v>
      </c>
      <c r="Q342" s="182">
        <v>9.3432098382453255E-3</v>
      </c>
      <c r="R342" s="182">
        <v>0</v>
      </c>
      <c r="S342" s="182">
        <f t="shared" si="59"/>
        <v>109699812.11575983</v>
      </c>
      <c r="T342" s="192">
        <f t="shared" si="55"/>
        <v>7.2720132913537405E-3</v>
      </c>
      <c r="W342" s="182">
        <v>5152582.4386543063</v>
      </c>
      <c r="X342" s="183">
        <f t="shared" si="58"/>
        <v>21290.258510528554</v>
      </c>
      <c r="Y342" s="192">
        <f t="shared" si="56"/>
        <v>-6.7924120813308564E-3</v>
      </c>
    </row>
    <row r="343" spans="1:30" ht="14.4">
      <c r="A343" s="187">
        <f t="shared" si="57"/>
        <v>44291</v>
      </c>
      <c r="B343" s="182">
        <v>9555123.5122250803</v>
      </c>
      <c r="C343" s="182">
        <v>573325.15715880622</v>
      </c>
      <c r="D343" s="182">
        <v>8981798.3550662734</v>
      </c>
      <c r="E343" s="182">
        <v>0</v>
      </c>
      <c r="F343" s="189">
        <f t="shared" si="61"/>
        <v>0</v>
      </c>
      <c r="G343" s="182">
        <v>9555123.5122250803</v>
      </c>
      <c r="H343" s="182"/>
      <c r="I343" s="182">
        <v>8981798.3550662734</v>
      </c>
      <c r="J343" s="182"/>
      <c r="K343" s="182">
        <v>8545535.0505850054</v>
      </c>
      <c r="L343" s="182"/>
      <c r="M343" s="182">
        <v>8545535.0505850054</v>
      </c>
      <c r="N343" s="182">
        <v>0</v>
      </c>
      <c r="O343" s="182">
        <v>9118860.2077438124</v>
      </c>
      <c r="P343" s="182">
        <v>573325.15715880622</v>
      </c>
      <c r="Q343" s="182">
        <v>8.3857438603338608E-3</v>
      </c>
      <c r="R343" s="182">
        <v>0</v>
      </c>
      <c r="S343" s="182">
        <f t="shared" si="59"/>
        <v>109770876.85315822</v>
      </c>
      <c r="T343" s="192">
        <f t="shared" si="55"/>
        <v>7.1465687405594114E-3</v>
      </c>
      <c r="W343" s="182">
        <v>5158534.3633331889</v>
      </c>
      <c r="X343" s="183">
        <f t="shared" si="58"/>
        <v>21279.469927235248</v>
      </c>
      <c r="Y343" s="192">
        <f t="shared" si="56"/>
        <v>-6.8912103696371352E-3</v>
      </c>
    </row>
    <row r="344" spans="1:30" ht="14.4">
      <c r="A344" s="187">
        <f t="shared" si="57"/>
        <v>44321</v>
      </c>
      <c r="B344" s="182">
        <v>10825296.207488185</v>
      </c>
      <c r="C344" s="182">
        <v>575071.08449255861</v>
      </c>
      <c r="D344" s="182">
        <v>10250225.122995626</v>
      </c>
      <c r="E344" s="182">
        <v>0</v>
      </c>
      <c r="F344" s="189">
        <f t="shared" si="61"/>
        <v>0</v>
      </c>
      <c r="G344" s="182">
        <v>10825296.207488185</v>
      </c>
      <c r="H344" s="182"/>
      <c r="I344" s="182">
        <v>10250225.122995626</v>
      </c>
      <c r="J344" s="182"/>
      <c r="K344" s="182">
        <v>9778406.738106031</v>
      </c>
      <c r="L344" s="182"/>
      <c r="M344" s="182">
        <v>9778406.738106031</v>
      </c>
      <c r="N344" s="182">
        <v>0</v>
      </c>
      <c r="O344" s="182">
        <v>10353477.82259859</v>
      </c>
      <c r="P344" s="182">
        <v>575071.08449255861</v>
      </c>
      <c r="Q344" s="182">
        <v>7.8580401828407531E-3</v>
      </c>
      <c r="R344" s="182">
        <v>0</v>
      </c>
      <c r="S344" s="182">
        <f t="shared" si="59"/>
        <v>109847116.86912143</v>
      </c>
      <c r="T344" s="192">
        <f t="shared" si="55"/>
        <v>7.0290734230407104E-3</v>
      </c>
      <c r="W344" s="182">
        <v>5164495.9251123015</v>
      </c>
      <c r="X344" s="183">
        <f t="shared" si="58"/>
        <v>21269.668610830169</v>
      </c>
      <c r="Y344" s="192">
        <f t="shared" si="56"/>
        <v>-6.981205921386735E-3</v>
      </c>
    </row>
    <row r="345" spans="1:30" ht="14.4">
      <c r="A345" s="187">
        <f t="shared" si="57"/>
        <v>44352</v>
      </c>
      <c r="B345" s="182">
        <v>11193154.357662357</v>
      </c>
      <c r="C345" s="182">
        <v>480922.02704192</v>
      </c>
      <c r="D345" s="182">
        <v>10712232.330620438</v>
      </c>
      <c r="E345" s="182">
        <v>0</v>
      </c>
      <c r="F345" s="189">
        <f t="shared" si="61"/>
        <v>0</v>
      </c>
      <c r="G345" s="182">
        <v>11193154.357662357</v>
      </c>
      <c r="H345" s="182"/>
      <c r="I345" s="182">
        <v>10712232.330620438</v>
      </c>
      <c r="J345" s="182"/>
      <c r="K345" s="182">
        <v>10217665.864011759</v>
      </c>
      <c r="L345" s="182"/>
      <c r="M345" s="182">
        <v>10217665.864011759</v>
      </c>
      <c r="N345" s="182">
        <v>0</v>
      </c>
      <c r="O345" s="182">
        <v>10698587.891053678</v>
      </c>
      <c r="P345" s="182">
        <v>480922.02704192</v>
      </c>
      <c r="Q345" s="182">
        <v>8.0503358400541014E-3</v>
      </c>
      <c r="R345" s="182">
        <v>0</v>
      </c>
      <c r="S345" s="182">
        <f t="shared" si="59"/>
        <v>109928715.61353156</v>
      </c>
      <c r="T345" s="192">
        <f t="shared" si="55"/>
        <v>6.9718072454469926E-3</v>
      </c>
      <c r="W345" s="182">
        <v>5170457.6175399153</v>
      </c>
      <c r="X345" s="183">
        <f t="shared" si="58"/>
        <v>21260.925771950384</v>
      </c>
      <c r="Y345" s="192">
        <f t="shared" si="56"/>
        <v>-7.0117083826649607E-3</v>
      </c>
    </row>
    <row r="346" spans="1:30" ht="14.4">
      <c r="A346" s="187">
        <f t="shared" si="57"/>
        <v>44382</v>
      </c>
      <c r="B346" s="182">
        <v>11918833.965237847</v>
      </c>
      <c r="C346" s="182">
        <v>465222.2055427226</v>
      </c>
      <c r="D346" s="182">
        <v>11453611.759695124</v>
      </c>
      <c r="E346" s="182">
        <v>0</v>
      </c>
      <c r="F346" s="189">
        <f t="shared" si="61"/>
        <v>0</v>
      </c>
      <c r="G346" s="182">
        <v>11918833.965237847</v>
      </c>
      <c r="H346" s="182"/>
      <c r="I346" s="182">
        <v>11453611.759695124</v>
      </c>
      <c r="J346" s="182"/>
      <c r="K346" s="182">
        <v>10898945.736979203</v>
      </c>
      <c r="L346" s="182"/>
      <c r="M346" s="182">
        <v>10898945.736979203</v>
      </c>
      <c r="N346" s="182">
        <v>0</v>
      </c>
      <c r="O346" s="182">
        <v>11364167.942521926</v>
      </c>
      <c r="P346" s="182">
        <v>465222.2055427226</v>
      </c>
      <c r="Q346" s="182">
        <v>7.8425131474417764E-3</v>
      </c>
      <c r="R346" s="182">
        <v>0</v>
      </c>
      <c r="S346" s="182">
        <f t="shared" si="59"/>
        <v>110013525.61521384</v>
      </c>
      <c r="T346" s="192">
        <f t="shared" si="55"/>
        <v>6.9404107857713448E-3</v>
      </c>
      <c r="W346" s="182">
        <v>5176421.8651082572</v>
      </c>
      <c r="X346" s="183">
        <f t="shared" si="58"/>
        <v>21252.812943388853</v>
      </c>
      <c r="Y346" s="192">
        <f t="shared" si="56"/>
        <v>-7.0163915270036181E-3</v>
      </c>
    </row>
    <row r="347" spans="1:30" ht="14.4">
      <c r="A347" s="187">
        <f t="shared" si="57"/>
        <v>44413</v>
      </c>
      <c r="B347" s="182">
        <v>12132963.6668803</v>
      </c>
      <c r="C347" s="182">
        <v>491834.79450843239</v>
      </c>
      <c r="D347" s="182">
        <v>11641128.872371867</v>
      </c>
      <c r="E347" s="182">
        <v>0</v>
      </c>
      <c r="F347" s="189">
        <f t="shared" si="61"/>
        <v>0</v>
      </c>
      <c r="G347" s="182">
        <v>12132963.6668803</v>
      </c>
      <c r="H347" s="182"/>
      <c r="I347" s="182">
        <v>11641128.872371867</v>
      </c>
      <c r="J347" s="182"/>
      <c r="K347" s="182">
        <v>11045564.175604016</v>
      </c>
      <c r="L347" s="182"/>
      <c r="M347" s="182">
        <v>11045564.175604016</v>
      </c>
      <c r="N347" s="182">
        <v>0</v>
      </c>
      <c r="O347" s="182">
        <v>11537398.970112449</v>
      </c>
      <c r="P347" s="182">
        <v>491834.79450843239</v>
      </c>
      <c r="Q347" s="182">
        <v>7.5747355674249395E-3</v>
      </c>
      <c r="R347" s="182">
        <v>0</v>
      </c>
      <c r="S347" s="182">
        <f t="shared" si="59"/>
        <v>110096563.85036384</v>
      </c>
      <c r="T347" s="192">
        <f t="shared" si="55"/>
        <v>6.8906320412447375E-3</v>
      </c>
      <c r="W347" s="182">
        <v>5182388.3407488931</v>
      </c>
      <c r="X347" s="183">
        <f t="shared" si="58"/>
        <v>21244.367772418627</v>
      </c>
      <c r="Y347" s="192">
        <f t="shared" si="56"/>
        <v>-7.0392688370317646E-3</v>
      </c>
    </row>
    <row r="348" spans="1:30" ht="14.4">
      <c r="A348" s="187">
        <f t="shared" si="57"/>
        <v>44444</v>
      </c>
      <c r="B348" s="182">
        <v>11183086.346451232</v>
      </c>
      <c r="C348" s="182">
        <v>473004.13711678819</v>
      </c>
      <c r="D348" s="182">
        <v>10710082.209334444</v>
      </c>
      <c r="E348" s="182">
        <v>0</v>
      </c>
      <c r="F348" s="189">
        <f t="shared" si="61"/>
        <v>0</v>
      </c>
      <c r="G348" s="182">
        <v>11183086.346451232</v>
      </c>
      <c r="H348" s="182"/>
      <c r="I348" s="182">
        <v>10710082.209334444</v>
      </c>
      <c r="J348" s="182"/>
      <c r="K348" s="182">
        <v>10162257.145283781</v>
      </c>
      <c r="L348" s="182"/>
      <c r="M348" s="182">
        <v>10162257.145283781</v>
      </c>
      <c r="N348" s="182">
        <v>0</v>
      </c>
      <c r="O348" s="182">
        <v>10635261.282400569</v>
      </c>
      <c r="P348" s="182">
        <v>473004.13711678819</v>
      </c>
      <c r="Q348" s="182">
        <v>7.4564624760644627E-3</v>
      </c>
      <c r="R348" s="182">
        <v>0</v>
      </c>
      <c r="S348" s="182">
        <f t="shared" si="59"/>
        <v>110171777.5115971</v>
      </c>
      <c r="T348" s="192">
        <f t="shared" si="55"/>
        <v>6.8227194764147736E-3</v>
      </c>
      <c r="W348" s="182">
        <v>5188351.8338247621</v>
      </c>
      <c r="X348" s="183">
        <f t="shared" si="58"/>
        <v>21234.446128604272</v>
      </c>
      <c r="Y348" s="192">
        <f t="shared" si="56"/>
        <v>-7.0805706774196286E-3</v>
      </c>
    </row>
    <row r="349" spans="1:30" ht="14.4">
      <c r="A349" s="187">
        <f t="shared" si="57"/>
        <v>44474</v>
      </c>
      <c r="B349" s="182">
        <v>10505216.584771825</v>
      </c>
      <c r="C349" s="182">
        <v>433293.20409523469</v>
      </c>
      <c r="D349" s="182">
        <v>10071923.38067659</v>
      </c>
      <c r="E349" s="182">
        <v>0</v>
      </c>
      <c r="F349" s="189">
        <f t="shared" si="61"/>
        <v>0</v>
      </c>
      <c r="G349" s="182">
        <v>10505216.584771825</v>
      </c>
      <c r="H349" s="182"/>
      <c r="I349" s="182">
        <v>10071923.38067659</v>
      </c>
      <c r="J349" s="182"/>
      <c r="K349" s="182">
        <v>9557005.465076901</v>
      </c>
      <c r="L349" s="182"/>
      <c r="M349" s="182">
        <v>9557005.465076901</v>
      </c>
      <c r="N349" s="182">
        <v>0</v>
      </c>
      <c r="O349" s="182">
        <v>9990298.6691721361</v>
      </c>
      <c r="P349" s="182">
        <v>433293.20409523469</v>
      </c>
      <c r="Q349" s="182">
        <v>7.7401178124365533E-3</v>
      </c>
      <c r="R349" s="182">
        <v>0</v>
      </c>
      <c r="S349" s="182">
        <f t="shared" si="59"/>
        <v>110245181.70274347</v>
      </c>
      <c r="T349" s="192">
        <f t="shared" si="55"/>
        <v>6.7348863485290344E-3</v>
      </c>
      <c r="W349" s="182">
        <v>5194311.2770014862</v>
      </c>
      <c r="X349" s="183">
        <f t="shared" si="58"/>
        <v>21224.215458720944</v>
      </c>
      <c r="Y349" s="192">
        <f t="shared" si="56"/>
        <v>-7.1421636953679091E-3</v>
      </c>
    </row>
    <row r="350" spans="1:30" ht="14.4">
      <c r="A350" s="187">
        <f t="shared" si="57"/>
        <v>44505</v>
      </c>
      <c r="B350" s="182">
        <v>8795207.1867731698</v>
      </c>
      <c r="C350" s="182">
        <v>388220.37685549597</v>
      </c>
      <c r="D350" s="182">
        <v>8406986.8099176735</v>
      </c>
      <c r="E350" s="182">
        <v>0</v>
      </c>
      <c r="F350" s="189">
        <f t="shared" si="61"/>
        <v>0</v>
      </c>
      <c r="G350" s="182">
        <v>8795207.1867731698</v>
      </c>
      <c r="H350" s="182"/>
      <c r="I350" s="182">
        <v>8406986.8099176735</v>
      </c>
      <c r="J350" s="182"/>
      <c r="K350" s="182">
        <v>8023926.7652761545</v>
      </c>
      <c r="L350" s="182"/>
      <c r="M350" s="182">
        <v>8023926.7652761545</v>
      </c>
      <c r="N350" s="182">
        <v>0</v>
      </c>
      <c r="O350" s="182">
        <v>8412147.1421316508</v>
      </c>
      <c r="P350" s="182">
        <v>388220.37685549597</v>
      </c>
      <c r="Q350" s="182">
        <v>7.9987206889375884E-3</v>
      </c>
      <c r="R350" s="182">
        <v>0</v>
      </c>
      <c r="S350" s="182">
        <f t="shared" si="59"/>
        <v>110308853.55837844</v>
      </c>
      <c r="T350" s="192">
        <f t="shared" si="55"/>
        <v>6.5993491947977656E-3</v>
      </c>
      <c r="W350" s="182">
        <v>5200264.5521364138</v>
      </c>
      <c r="X350" s="183">
        <f t="shared" si="58"/>
        <v>21212.161891467713</v>
      </c>
      <c r="Y350" s="192">
        <f t="shared" si="56"/>
        <v>-7.2516461222233985E-3</v>
      </c>
    </row>
    <row r="351" spans="1:30" ht="14.4">
      <c r="A351" s="187">
        <f t="shared" si="57"/>
        <v>44535</v>
      </c>
      <c r="B351" s="182">
        <v>9057367.1724016778</v>
      </c>
      <c r="C351" s="182">
        <v>369193.97645117942</v>
      </c>
      <c r="D351" s="182">
        <v>8688173.1959504988</v>
      </c>
      <c r="E351" s="182">
        <v>0</v>
      </c>
      <c r="F351" s="189">
        <f t="shared" si="61"/>
        <v>0</v>
      </c>
      <c r="G351" s="182">
        <v>9057367.1724016778</v>
      </c>
      <c r="H351" s="182"/>
      <c r="I351" s="182">
        <v>8688173.1959504988</v>
      </c>
      <c r="J351" s="182"/>
      <c r="K351" s="182">
        <v>8254973.3580410983</v>
      </c>
      <c r="L351" s="182"/>
      <c r="M351" s="182">
        <v>8254973.3580410983</v>
      </c>
      <c r="N351" s="182">
        <v>0</v>
      </c>
      <c r="O351" s="182">
        <v>8624167.3344922774</v>
      </c>
      <c r="P351" s="182">
        <v>369193.97645117942</v>
      </c>
      <c r="Q351" s="182">
        <v>8.2670622848903808E-3</v>
      </c>
      <c r="R351" s="182">
        <v>0</v>
      </c>
      <c r="S351" s="182">
        <f t="shared" si="59"/>
        <v>110376538.38263163</v>
      </c>
      <c r="T351" s="192">
        <f t="shared" si="55"/>
        <v>6.4406095549600639E-3</v>
      </c>
      <c r="W351" s="182">
        <v>5206210.5991372587</v>
      </c>
      <c r="X351" s="183">
        <f t="shared" si="58"/>
        <v>21200.936128270063</v>
      </c>
      <c r="Y351" s="192">
        <f t="shared" si="56"/>
        <v>-7.384956890006622E-3</v>
      </c>
    </row>
    <row r="352" spans="1:30" ht="14.4">
      <c r="A352" s="187">
        <f t="shared" si="57"/>
        <v>44566</v>
      </c>
      <c r="B352" s="182">
        <v>9102400.869268721</v>
      </c>
      <c r="C352" s="182">
        <v>366590.93483722652</v>
      </c>
      <c r="D352" s="182">
        <v>8735809.9344314951</v>
      </c>
      <c r="E352" s="182">
        <v>0</v>
      </c>
      <c r="F352" s="189">
        <f t="shared" si="61"/>
        <v>0</v>
      </c>
      <c r="G352" s="182">
        <v>9102400.869268721</v>
      </c>
      <c r="H352" s="182"/>
      <c r="I352" s="182">
        <v>8735809.9344314951</v>
      </c>
      <c r="J352" s="182"/>
      <c r="K352" s="182">
        <v>8276113.823133559</v>
      </c>
      <c r="L352" s="182"/>
      <c r="M352" s="182">
        <v>8276113.823133559</v>
      </c>
      <c r="N352" s="182">
        <v>0</v>
      </c>
      <c r="O352" s="182">
        <v>8642704.7579707857</v>
      </c>
      <c r="P352" s="182">
        <v>366590.93483722652</v>
      </c>
      <c r="Q352" s="182">
        <v>7.0280574781129701E-3</v>
      </c>
      <c r="R352" s="182">
        <v>0</v>
      </c>
      <c r="S352" s="182">
        <f t="shared" si="59"/>
        <v>110434297.45221511</v>
      </c>
      <c r="T352" s="192">
        <f t="shared" si="55"/>
        <v>6.1700598404847984E-3</v>
      </c>
      <c r="W352" s="182">
        <v>5212150.8030214058</v>
      </c>
      <c r="X352" s="183">
        <f t="shared" si="58"/>
        <v>21187.855383654289</v>
      </c>
      <c r="Y352" s="192">
        <f t="shared" si="56"/>
        <v>-7.6293732091209376E-3</v>
      </c>
    </row>
    <row r="353" spans="1:25" ht="14.4">
      <c r="A353" s="187">
        <f t="shared" si="57"/>
        <v>44597</v>
      </c>
      <c r="B353" s="182">
        <v>8191052.5240460169</v>
      </c>
      <c r="C353" s="182">
        <v>354108.75261600886</v>
      </c>
      <c r="D353" s="182">
        <v>7836943.7714300081</v>
      </c>
      <c r="E353" s="182">
        <v>0</v>
      </c>
      <c r="F353" s="189">
        <f t="shared" si="61"/>
        <v>0</v>
      </c>
      <c r="G353" s="182">
        <v>8191052.5240460169</v>
      </c>
      <c r="H353" s="182"/>
      <c r="I353" s="182">
        <v>7836943.7714300081</v>
      </c>
      <c r="J353" s="182"/>
      <c r="K353" s="182">
        <v>7425754.2712575821</v>
      </c>
      <c r="L353" s="182"/>
      <c r="M353" s="182">
        <v>7425754.2712575821</v>
      </c>
      <c r="N353" s="182">
        <v>0</v>
      </c>
      <c r="O353" s="182">
        <v>7779863.0238735909</v>
      </c>
      <c r="P353" s="182">
        <v>354108.75261600886</v>
      </c>
      <c r="Q353" s="182">
        <v>6.293005183845457E-3</v>
      </c>
      <c r="R353" s="182">
        <v>0</v>
      </c>
      <c r="S353" s="182">
        <f t="shared" si="59"/>
        <v>110480735.52729091</v>
      </c>
      <c r="T353" s="192">
        <f t="shared" si="55"/>
        <v>7.824123182797571E-3</v>
      </c>
      <c r="W353" s="182">
        <v>5218084.6942117466</v>
      </c>
      <c r="X353" s="183">
        <f t="shared" si="58"/>
        <v>21172.660468666527</v>
      </c>
      <c r="Y353" s="192">
        <f t="shared" si="56"/>
        <v>-5.9764122416876564E-3</v>
      </c>
    </row>
    <row r="354" spans="1:25" ht="14.4">
      <c r="A354" s="187">
        <f t="shared" si="57"/>
        <v>44626</v>
      </c>
      <c r="B354" s="182">
        <v>9222716.813941421</v>
      </c>
      <c r="C354" s="182">
        <v>417732.71770472854</v>
      </c>
      <c r="D354" s="182">
        <v>8804984.0962366927</v>
      </c>
      <c r="E354" s="182">
        <v>0</v>
      </c>
      <c r="F354" s="189">
        <f t="shared" si="61"/>
        <v>0</v>
      </c>
      <c r="G354" s="182">
        <v>9222716.813941421</v>
      </c>
      <c r="H354" s="182"/>
      <c r="I354" s="182">
        <v>8804984.0962366927</v>
      </c>
      <c r="J354" s="182"/>
      <c r="K354" s="182">
        <v>8350345.9954780452</v>
      </c>
      <c r="L354" s="182"/>
      <c r="M354" s="182">
        <v>8350345.9954780452</v>
      </c>
      <c r="N354" s="182">
        <v>0</v>
      </c>
      <c r="O354" s="182">
        <v>8768078.7131827734</v>
      </c>
      <c r="P354" s="182">
        <v>417732.71770472854</v>
      </c>
      <c r="Q354" s="182">
        <v>6.7223191030314489E-3</v>
      </c>
      <c r="R354" s="182">
        <v>0</v>
      </c>
      <c r="S354" s="182">
        <f t="shared" si="59"/>
        <v>110536494.38883312</v>
      </c>
      <c r="T354" s="192">
        <f t="shared" si="55"/>
        <v>7.6270164637144422E-3</v>
      </c>
      <c r="W354" s="182">
        <v>5224010.4107248057</v>
      </c>
      <c r="X354" s="183">
        <f t="shared" si="58"/>
        <v>21159.317401417033</v>
      </c>
      <c r="Y354" s="192">
        <f t="shared" si="56"/>
        <v>-6.1502827242219116E-3</v>
      </c>
    </row>
    <row r="355" spans="1:25" ht="14.4">
      <c r="A355" s="187">
        <f t="shared" si="57"/>
        <v>44657</v>
      </c>
      <c r="B355" s="182">
        <v>9486479.8507982381</v>
      </c>
      <c r="C355" s="182">
        <v>454024.69760624226</v>
      </c>
      <c r="D355" s="182">
        <v>9032455.1531919949</v>
      </c>
      <c r="E355" s="182">
        <v>0</v>
      </c>
      <c r="F355" s="189">
        <f t="shared" si="61"/>
        <v>0</v>
      </c>
      <c r="G355" s="182">
        <v>9486479.8507982381</v>
      </c>
      <c r="H355" s="182"/>
      <c r="I355" s="182">
        <v>9032455.1531919949</v>
      </c>
      <c r="J355" s="182"/>
      <c r="K355" s="182">
        <v>8599325.9484978691</v>
      </c>
      <c r="L355" s="182"/>
      <c r="M355" s="182">
        <v>8599325.9484978691</v>
      </c>
      <c r="N355" s="182">
        <v>0</v>
      </c>
      <c r="O355" s="182">
        <v>9053350.6461041104</v>
      </c>
      <c r="P355" s="182">
        <v>454024.69760624226</v>
      </c>
      <c r="Q355" s="182">
        <v>6.2946202425535613E-3</v>
      </c>
      <c r="R355" s="182">
        <v>0</v>
      </c>
      <c r="S355" s="182">
        <f t="shared" si="59"/>
        <v>110590285.286746</v>
      </c>
      <c r="T355" s="192">
        <f t="shared" si="55"/>
        <v>7.4647161166792042E-3</v>
      </c>
      <c r="W355" s="182">
        <v>5229937.7340762047</v>
      </c>
      <c r="X355" s="183">
        <f t="shared" si="58"/>
        <v>21145.62178554889</v>
      </c>
      <c r="Y355" s="192">
        <f t="shared" si="56"/>
        <v>-6.2900129629192003E-3</v>
      </c>
    </row>
    <row r="356" spans="1:25" ht="14.4">
      <c r="A356" s="187">
        <f t="shared" si="57"/>
        <v>44687</v>
      </c>
      <c r="B356" s="182">
        <v>10775279.760024553</v>
      </c>
      <c r="C356" s="182">
        <v>468262.29768351698</v>
      </c>
      <c r="D356" s="182">
        <v>10307017.462341037</v>
      </c>
      <c r="E356" s="182">
        <v>0</v>
      </c>
      <c r="F356" s="189">
        <f t="shared" si="61"/>
        <v>0</v>
      </c>
      <c r="G356" s="182">
        <v>10775279.760024553</v>
      </c>
      <c r="H356" s="182"/>
      <c r="I356" s="182">
        <v>10307017.462341037</v>
      </c>
      <c r="J356" s="182"/>
      <c r="K356" s="182">
        <v>9837379.0343789831</v>
      </c>
      <c r="L356" s="182"/>
      <c r="M356" s="182">
        <v>9837379.0343789831</v>
      </c>
      <c r="N356" s="182">
        <v>0</v>
      </c>
      <c r="O356" s="182">
        <v>10305641.3320625</v>
      </c>
      <c r="P356" s="182">
        <v>468262.29768351698</v>
      </c>
      <c r="Q356" s="182">
        <v>6.0308696347370905E-3</v>
      </c>
      <c r="R356" s="182">
        <v>0</v>
      </c>
      <c r="S356" s="182">
        <f t="shared" si="59"/>
        <v>110649257.58301893</v>
      </c>
      <c r="T356" s="192">
        <f t="shared" ref="T356:T419" si="63">S356/S344-1</f>
        <v>7.3023374373422101E-3</v>
      </c>
      <c r="W356" s="182">
        <v>5235872.7592082322</v>
      </c>
      <c r="X356" s="183">
        <f t="shared" si="58"/>
        <v>21132.915689828813</v>
      </c>
      <c r="Y356" s="192">
        <f t="shared" ref="Y356:Y419" si="64">X356/X344-1</f>
        <v>-6.429480567070267E-3</v>
      </c>
    </row>
    <row r="357" spans="1:25" ht="14.4">
      <c r="A357" s="187">
        <f t="shared" ref="A357:A420" si="65">+A345+366</f>
        <v>44718</v>
      </c>
      <c r="B357" s="182">
        <v>11257287.633494116</v>
      </c>
      <c r="C357" s="182">
        <v>487910.60086398001</v>
      </c>
      <c r="D357" s="182">
        <v>10769377.032630136</v>
      </c>
      <c r="E357" s="182">
        <v>0</v>
      </c>
      <c r="F357" s="189">
        <f t="shared" si="61"/>
        <v>0</v>
      </c>
      <c r="G357" s="182">
        <v>11257287.633494116</v>
      </c>
      <c r="H357" s="182"/>
      <c r="I357" s="182">
        <v>10769377.032630136</v>
      </c>
      <c r="J357" s="182"/>
      <c r="K357" s="182">
        <v>10271976.854754139</v>
      </c>
      <c r="L357" s="182"/>
      <c r="M357" s="182">
        <v>10271976.854754139</v>
      </c>
      <c r="N357" s="182">
        <v>0</v>
      </c>
      <c r="O357" s="182">
        <v>10759887.455618119</v>
      </c>
      <c r="P357" s="182">
        <v>487910.60086398001</v>
      </c>
      <c r="Q357" s="182">
        <v>5.3154009404117186E-3</v>
      </c>
      <c r="R357" s="182">
        <v>0</v>
      </c>
      <c r="S357" s="182">
        <f t="shared" si="59"/>
        <v>110703568.57376133</v>
      </c>
      <c r="T357" s="192">
        <f t="shared" si="63"/>
        <v>7.0486856496518868E-3</v>
      </c>
      <c r="W357" s="182">
        <v>5241808.9361729128</v>
      </c>
      <c r="X357" s="183">
        <f t="shared" si="58"/>
        <v>21119.34447091597</v>
      </c>
      <c r="Y357" s="192">
        <f t="shared" si="64"/>
        <v>-6.6592255931395838E-3</v>
      </c>
    </row>
    <row r="358" spans="1:25" ht="14.4">
      <c r="A358" s="187">
        <f t="shared" si="65"/>
        <v>44748</v>
      </c>
      <c r="B358" s="182">
        <v>11983941.693609759</v>
      </c>
      <c r="C358" s="182">
        <v>471954.21073289233</v>
      </c>
      <c r="D358" s="182">
        <v>11511987.482876867</v>
      </c>
      <c r="E358" s="182">
        <v>0</v>
      </c>
      <c r="F358" s="189">
        <f t="shared" si="61"/>
        <v>0</v>
      </c>
      <c r="G358" s="182">
        <v>11983941.693609759</v>
      </c>
      <c r="H358" s="182"/>
      <c r="I358" s="182">
        <v>11511987.482876867</v>
      </c>
      <c r="J358" s="182"/>
      <c r="K358" s="182">
        <v>10954291.545921899</v>
      </c>
      <c r="L358" s="182"/>
      <c r="M358" s="182">
        <v>10954291.545921899</v>
      </c>
      <c r="N358" s="182">
        <v>0</v>
      </c>
      <c r="O358" s="182">
        <v>11426245.756654792</v>
      </c>
      <c r="P358" s="182">
        <v>471954.21073289233</v>
      </c>
      <c r="Q358" s="182">
        <v>5.0780883104053487E-3</v>
      </c>
      <c r="R358" s="182">
        <v>0</v>
      </c>
      <c r="S358" s="182">
        <f t="shared" si="59"/>
        <v>110758914.38270402</v>
      </c>
      <c r="T358" s="192">
        <f t="shared" si="63"/>
        <v>6.7754284150229882E-3</v>
      </c>
      <c r="W358" s="182">
        <v>5247747.972941122</v>
      </c>
      <c r="X358" s="183">
        <f t="shared" si="58"/>
        <v>21105.989646188882</v>
      </c>
      <c r="Y358" s="192">
        <f t="shared" si="64"/>
        <v>-6.9084171394659943E-3</v>
      </c>
    </row>
    <row r="359" spans="1:25" ht="14.4">
      <c r="A359" s="187">
        <f t="shared" si="65"/>
        <v>44779</v>
      </c>
      <c r="B359" s="182">
        <v>12198155.189218815</v>
      </c>
      <c r="C359" s="182">
        <v>498965.33520517364</v>
      </c>
      <c r="D359" s="182">
        <v>11699189.854013642</v>
      </c>
      <c r="E359" s="182">
        <v>0</v>
      </c>
      <c r="F359" s="189">
        <f t="shared" si="61"/>
        <v>0</v>
      </c>
      <c r="G359" s="182">
        <v>12198155.189218815</v>
      </c>
      <c r="H359" s="182"/>
      <c r="I359" s="182">
        <v>11699189.854013642</v>
      </c>
      <c r="J359" s="182"/>
      <c r="K359" s="182">
        <v>11100425.133714907</v>
      </c>
      <c r="L359" s="182"/>
      <c r="M359" s="182">
        <v>11100425.133714907</v>
      </c>
      <c r="N359" s="182">
        <v>0</v>
      </c>
      <c r="O359" s="182">
        <v>11599390.46892008</v>
      </c>
      <c r="P359" s="182">
        <v>498965.33520517364</v>
      </c>
      <c r="Q359" s="182">
        <v>4.9667864165834352E-3</v>
      </c>
      <c r="R359" s="182">
        <v>0</v>
      </c>
      <c r="S359" s="182">
        <f t="shared" si="59"/>
        <v>110813775.34081492</v>
      </c>
      <c r="T359" s="192">
        <f t="shared" si="63"/>
        <v>6.514385784336385E-3</v>
      </c>
      <c r="W359" s="182">
        <v>5253688.1166445632</v>
      </c>
      <c r="X359" s="183">
        <f t="shared" si="58"/>
        <v>21092.568283552715</v>
      </c>
      <c r="Y359" s="192">
        <f t="shared" si="64"/>
        <v>-7.1453992179043579E-3</v>
      </c>
    </row>
    <row r="360" spans="1:25" ht="14.4">
      <c r="A360" s="187">
        <f t="shared" si="65"/>
        <v>44810</v>
      </c>
      <c r="B360" s="182">
        <v>11239901.262679687</v>
      </c>
      <c r="C360" s="182">
        <v>479891.41181051586</v>
      </c>
      <c r="D360" s="182">
        <v>10760009.850869171</v>
      </c>
      <c r="E360" s="182">
        <v>0</v>
      </c>
      <c r="F360" s="189">
        <f t="shared" si="61"/>
        <v>0</v>
      </c>
      <c r="G360" s="182">
        <v>11239901.262679687</v>
      </c>
      <c r="H360" s="182"/>
      <c r="I360" s="182">
        <v>10760009.850869171</v>
      </c>
      <c r="J360" s="182"/>
      <c r="K360" s="182">
        <v>10209401.598514525</v>
      </c>
      <c r="L360" s="182"/>
      <c r="M360" s="182">
        <v>10209401.598514525</v>
      </c>
      <c r="N360" s="182">
        <v>0</v>
      </c>
      <c r="O360" s="182">
        <v>10689293.010325041</v>
      </c>
      <c r="P360" s="182">
        <v>479891.41181051586</v>
      </c>
      <c r="Q360" s="182">
        <v>4.639171451454871E-3</v>
      </c>
      <c r="R360" s="182">
        <v>0</v>
      </c>
      <c r="S360" s="182">
        <f t="shared" si="59"/>
        <v>110860919.79404566</v>
      </c>
      <c r="T360" s="192">
        <f t="shared" si="63"/>
        <v>6.2551616939829913E-3</v>
      </c>
      <c r="W360" s="182">
        <v>5259625.7888092855</v>
      </c>
      <c r="X360" s="183">
        <f t="shared" si="58"/>
        <v>21077.720021435824</v>
      </c>
      <c r="Y360" s="192">
        <f t="shared" si="64"/>
        <v>-7.3807485356223168E-3</v>
      </c>
    </row>
    <row r="361" spans="1:25" ht="14.4">
      <c r="A361" s="187">
        <f t="shared" si="65"/>
        <v>44840</v>
      </c>
      <c r="B361" s="182">
        <v>10559257.78805331</v>
      </c>
      <c r="C361" s="182">
        <v>439600.47938923235</v>
      </c>
      <c r="D361" s="182">
        <v>10119657.308664078</v>
      </c>
      <c r="E361" s="182">
        <v>0</v>
      </c>
      <c r="F361" s="189">
        <f t="shared" si="61"/>
        <v>0</v>
      </c>
      <c r="G361" s="182">
        <v>10559257.78805331</v>
      </c>
      <c r="H361" s="182"/>
      <c r="I361" s="182">
        <v>10119657.308664078</v>
      </c>
      <c r="J361" s="182"/>
      <c r="K361" s="182">
        <v>9602090.5391806401</v>
      </c>
      <c r="L361" s="182"/>
      <c r="M361" s="182">
        <v>9602090.5391806401</v>
      </c>
      <c r="N361" s="182">
        <v>0</v>
      </c>
      <c r="O361" s="182">
        <v>10041691.018569872</v>
      </c>
      <c r="P361" s="182">
        <v>439600.47938923235</v>
      </c>
      <c r="Q361" s="182">
        <v>4.717489622506621E-3</v>
      </c>
      <c r="R361" s="182">
        <v>0</v>
      </c>
      <c r="S361" s="182">
        <f t="shared" si="59"/>
        <v>110906004.8681494</v>
      </c>
      <c r="T361" s="192">
        <f t="shared" si="63"/>
        <v>5.9941228741200447E-3</v>
      </c>
      <c r="W361" s="182">
        <v>5265560.2783003272</v>
      </c>
      <c r="X361" s="183">
        <f t="shared" si="58"/>
        <v>21062.526873958566</v>
      </c>
      <c r="Y361" s="192">
        <f t="shared" si="64"/>
        <v>-7.6181183270046526E-3</v>
      </c>
    </row>
    <row r="362" spans="1:25" ht="14.4">
      <c r="A362" s="187">
        <f t="shared" si="65"/>
        <v>44871</v>
      </c>
      <c r="B362" s="182">
        <v>8840522.2263902593</v>
      </c>
      <c r="C362" s="182">
        <v>393885.57225740817</v>
      </c>
      <c r="D362" s="182">
        <v>8446636.6541328505</v>
      </c>
      <c r="E362" s="182">
        <v>0</v>
      </c>
      <c r="F362" s="189">
        <f t="shared" si="61"/>
        <v>0</v>
      </c>
      <c r="G362" s="182">
        <v>8840522.2263902593</v>
      </c>
      <c r="H362" s="182"/>
      <c r="I362" s="182">
        <v>8446636.6541328505</v>
      </c>
      <c r="J362" s="182"/>
      <c r="K362" s="182">
        <v>8061602.9912774535</v>
      </c>
      <c r="L362" s="182"/>
      <c r="M362" s="182">
        <v>8061602.9912774535</v>
      </c>
      <c r="N362" s="182">
        <v>0</v>
      </c>
      <c r="O362" s="182">
        <v>8455488.5635348614</v>
      </c>
      <c r="P362" s="182">
        <v>393885.57225740817</v>
      </c>
      <c r="Q362" s="182">
        <v>4.6954847798890142E-3</v>
      </c>
      <c r="R362" s="182">
        <v>0</v>
      </c>
      <c r="S362" s="182">
        <f t="shared" si="59"/>
        <v>110943681.09415072</v>
      </c>
      <c r="T362" s="192">
        <f t="shared" si="63"/>
        <v>5.7550007573627937E-3</v>
      </c>
      <c r="W362" s="182">
        <v>5271490.1459577596</v>
      </c>
      <c r="X362" s="183">
        <f t="shared" si="58"/>
        <v>21045.980931828857</v>
      </c>
      <c r="Y362" s="192">
        <f t="shared" si="64"/>
        <v>-7.834230216095972E-3</v>
      </c>
    </row>
    <row r="363" spans="1:25" ht="14.4">
      <c r="A363" s="187">
        <f t="shared" si="65"/>
        <v>44901</v>
      </c>
      <c r="B363" s="182">
        <v>9108700.4680249803</v>
      </c>
      <c r="C363" s="182">
        <v>374568.74237968237</v>
      </c>
      <c r="D363" s="182">
        <v>8734131.7256452981</v>
      </c>
      <c r="E363" s="182">
        <v>0</v>
      </c>
      <c r="F363" s="189">
        <f t="shared" si="61"/>
        <v>0</v>
      </c>
      <c r="G363" s="182">
        <v>9108700.4680249803</v>
      </c>
      <c r="H363" s="182"/>
      <c r="I363" s="182">
        <v>8734131.7256452981</v>
      </c>
      <c r="J363" s="182"/>
      <c r="K363" s="182">
        <v>8298476.6957446616</v>
      </c>
      <c r="L363" s="182"/>
      <c r="M363" s="182">
        <v>8298476.6957446616</v>
      </c>
      <c r="N363" s="182">
        <v>0</v>
      </c>
      <c r="O363" s="182">
        <v>8673045.4381243438</v>
      </c>
      <c r="P363" s="182">
        <v>374568.74237968237</v>
      </c>
      <c r="Q363" s="182">
        <v>5.2699549491805886E-3</v>
      </c>
      <c r="R363" s="182">
        <v>0</v>
      </c>
      <c r="S363" s="182">
        <f t="shared" si="59"/>
        <v>110987184.43185426</v>
      </c>
      <c r="T363" s="192">
        <f t="shared" si="63"/>
        <v>5.5323899278827415E-3</v>
      </c>
      <c r="W363" s="182">
        <v>5277414.6843705336</v>
      </c>
      <c r="X363" s="183">
        <f t="shared" si="58"/>
        <v>21030.597569023954</v>
      </c>
      <c r="Y363" s="192">
        <f t="shared" si="64"/>
        <v>-8.034482921675079E-3</v>
      </c>
    </row>
    <row r="364" spans="1:25" ht="14.4">
      <c r="A364" s="187">
        <f t="shared" si="65"/>
        <v>44932</v>
      </c>
      <c r="B364" s="182">
        <v>9165226.2617506552</v>
      </c>
      <c r="C364" s="182">
        <v>371923.39922644926</v>
      </c>
      <c r="D364" s="182">
        <v>8793302.8625242058</v>
      </c>
      <c r="E364" s="182">
        <v>0</v>
      </c>
      <c r="F364" s="189">
        <f t="shared" si="61"/>
        <v>0</v>
      </c>
      <c r="G364" s="182">
        <v>9165226.2617506552</v>
      </c>
      <c r="H364" s="182"/>
      <c r="I364" s="182">
        <v>8793302.8625242058</v>
      </c>
      <c r="J364" s="182"/>
      <c r="K364" s="182">
        <v>8330433.8972694408</v>
      </c>
      <c r="L364" s="182"/>
      <c r="M364" s="182">
        <v>8330433.8972694408</v>
      </c>
      <c r="N364" s="182">
        <v>0</v>
      </c>
      <c r="O364" s="182">
        <v>8702357.2964958902</v>
      </c>
      <c r="P364" s="182">
        <v>371923.39922644926</v>
      </c>
      <c r="Q364" s="182">
        <v>6.5634759618753424E-3</v>
      </c>
      <c r="R364" s="182">
        <v>0</v>
      </c>
      <c r="S364" s="182">
        <f t="shared" si="59"/>
        <v>111041504.50599015</v>
      </c>
      <c r="T364" s="192">
        <f t="shared" si="63"/>
        <v>5.4983557443988307E-3</v>
      </c>
      <c r="W364" s="182">
        <v>5283334.878018246</v>
      </c>
      <c r="X364" s="183">
        <f t="shared" si="58"/>
        <v>21017.313320037229</v>
      </c>
      <c r="Y364" s="192">
        <f t="shared" si="64"/>
        <v>-8.049047934725273E-3</v>
      </c>
    </row>
    <row r="365" spans="1:25" ht="14.4">
      <c r="A365" s="187">
        <f t="shared" si="65"/>
        <v>44963</v>
      </c>
      <c r="B365" s="182">
        <v>8240337.53447707</v>
      </c>
      <c r="C365" s="182">
        <v>359266.08124807529</v>
      </c>
      <c r="D365" s="182">
        <v>7881071.4532289943</v>
      </c>
      <c r="E365" s="182">
        <v>0</v>
      </c>
      <c r="F365" s="189">
        <f t="shared" si="61"/>
        <v>0</v>
      </c>
      <c r="G365" s="182">
        <v>8240337.53447707</v>
      </c>
      <c r="H365" s="182"/>
      <c r="I365" s="182">
        <v>7881071.4532289943</v>
      </c>
      <c r="J365" s="182"/>
      <c r="K365" s="182">
        <v>7467407.8535747686</v>
      </c>
      <c r="L365" s="182"/>
      <c r="M365" s="182">
        <v>7467407.8535747686</v>
      </c>
      <c r="N365" s="182">
        <v>0</v>
      </c>
      <c r="O365" s="182">
        <v>7826673.9348228443</v>
      </c>
      <c r="P365" s="182">
        <v>359266.08124807529</v>
      </c>
      <c r="Q365" s="182">
        <v>5.6093402495707156E-3</v>
      </c>
      <c r="R365" s="182">
        <v>0</v>
      </c>
      <c r="S365" s="182">
        <f t="shared" si="59"/>
        <v>111083158.08830734</v>
      </c>
      <c r="T365" s="192">
        <f t="shared" si="63"/>
        <v>5.4527385081322155E-3</v>
      </c>
      <c r="W365" s="182">
        <v>5289250.4270172492</v>
      </c>
      <c r="X365" s="183">
        <f t="shared" si="58"/>
        <v>21001.682491889522</v>
      </c>
      <c r="Y365" s="192">
        <f t="shared" si="64"/>
        <v>-8.0754129614478698E-3</v>
      </c>
    </row>
    <row r="366" spans="1:25" ht="14.4">
      <c r="A366" s="187">
        <f t="shared" si="65"/>
        <v>44992</v>
      </c>
      <c r="B366" s="182">
        <v>9282778.9553246852</v>
      </c>
      <c r="C366" s="182">
        <v>423822.37956293009</v>
      </c>
      <c r="D366" s="182">
        <v>8858956.5757617559</v>
      </c>
      <c r="E366" s="182">
        <v>0</v>
      </c>
      <c r="F366" s="189">
        <f t="shared" si="61"/>
        <v>0</v>
      </c>
      <c r="G366" s="182">
        <v>9282778.9553246852</v>
      </c>
      <c r="H366" s="182"/>
      <c r="I366" s="182">
        <v>8858956.5757617559</v>
      </c>
      <c r="J366" s="182"/>
      <c r="K366" s="182">
        <v>8401357.6839003488</v>
      </c>
      <c r="L366" s="182"/>
      <c r="M366" s="182">
        <v>8401357.6839003488</v>
      </c>
      <c r="N366" s="182">
        <v>0</v>
      </c>
      <c r="O366" s="182">
        <v>8825180.0634632781</v>
      </c>
      <c r="P366" s="182">
        <v>423822.37956293009</v>
      </c>
      <c r="Q366" s="182">
        <v>6.108931108953719E-3</v>
      </c>
      <c r="R366" s="182">
        <v>0</v>
      </c>
      <c r="S366" s="182">
        <f t="shared" si="59"/>
        <v>111134169.77672964</v>
      </c>
      <c r="T366" s="192">
        <f t="shared" si="63"/>
        <v>5.4070412780966581E-3</v>
      </c>
      <c r="W366" s="182">
        <v>5295160.0670630019</v>
      </c>
      <c r="X366" s="183">
        <f t="shared" si="58"/>
        <v>20987.877301010656</v>
      </c>
      <c r="Y366" s="192">
        <f t="shared" si="64"/>
        <v>-8.1023455130407873E-3</v>
      </c>
    </row>
    <row r="367" spans="1:25" ht="14.4">
      <c r="A367" s="187">
        <f t="shared" si="65"/>
        <v>45023</v>
      </c>
      <c r="B367" s="182">
        <v>9547511.8255025856</v>
      </c>
      <c r="C367" s="182">
        <v>460649.93361787754</v>
      </c>
      <c r="D367" s="182">
        <v>9086861.8918847088</v>
      </c>
      <c r="E367" s="182">
        <v>0</v>
      </c>
      <c r="F367" s="189">
        <f t="shared" si="61"/>
        <v>0</v>
      </c>
      <c r="G367" s="182">
        <v>9547511.8255025856</v>
      </c>
      <c r="H367" s="182"/>
      <c r="I367" s="182">
        <v>9086861.8918847088</v>
      </c>
      <c r="J367" s="182"/>
      <c r="K367" s="182">
        <v>8650946.1181912944</v>
      </c>
      <c r="L367" s="182"/>
      <c r="M367" s="182">
        <v>8650946.1181912944</v>
      </c>
      <c r="N367" s="182">
        <v>0</v>
      </c>
      <c r="O367" s="182">
        <v>9111596.0518091712</v>
      </c>
      <c r="P367" s="182">
        <v>460649.93361787754</v>
      </c>
      <c r="Q367" s="182">
        <v>6.0028158023759381E-3</v>
      </c>
      <c r="R367" s="182">
        <v>0</v>
      </c>
      <c r="S367" s="182">
        <f t="shared" si="59"/>
        <v>111185789.94642308</v>
      </c>
      <c r="T367" s="192">
        <f t="shared" si="63"/>
        <v>5.3847827422908168E-3</v>
      </c>
      <c r="W367" s="182">
        <v>5301070.5929381996</v>
      </c>
      <c r="X367" s="183">
        <f t="shared" si="58"/>
        <v>20974.214169971401</v>
      </c>
      <c r="Y367" s="192">
        <f t="shared" si="64"/>
        <v>-8.106057003943512E-3</v>
      </c>
    </row>
    <row r="368" spans="1:25" ht="14.4">
      <c r="A368" s="187">
        <f t="shared" si="65"/>
        <v>45053</v>
      </c>
      <c r="B368" s="182">
        <v>10850884.952455524</v>
      </c>
      <c r="C368" s="182">
        <v>475076.70939635939</v>
      </c>
      <c r="D368" s="182">
        <v>10375808.243059166</v>
      </c>
      <c r="E368" s="182">
        <v>0</v>
      </c>
      <c r="F368" s="189">
        <f t="shared" si="61"/>
        <v>0</v>
      </c>
      <c r="G368" s="182">
        <v>10850884.952455524</v>
      </c>
      <c r="H368" s="182"/>
      <c r="I368" s="182">
        <v>10375808.243059166</v>
      </c>
      <c r="J368" s="182"/>
      <c r="K368" s="182">
        <v>9902874.5778030623</v>
      </c>
      <c r="L368" s="182"/>
      <c r="M368" s="182">
        <v>9902874.5778030623</v>
      </c>
      <c r="N368" s="182">
        <v>0</v>
      </c>
      <c r="O368" s="182">
        <v>10377951.287199421</v>
      </c>
      <c r="P368" s="182">
        <v>475076.70939635939</v>
      </c>
      <c r="Q368" s="182">
        <v>6.6578245277719716E-3</v>
      </c>
      <c r="R368" s="182">
        <v>0</v>
      </c>
      <c r="S368" s="182">
        <f t="shared" si="59"/>
        <v>111251285.48984714</v>
      </c>
      <c r="T368" s="192">
        <f t="shared" si="63"/>
        <v>5.4408671145083076E-3</v>
      </c>
      <c r="W368" s="182">
        <v>5306986.2470027842</v>
      </c>
      <c r="X368" s="183">
        <f t="shared" si="58"/>
        <v>20963.175767165085</v>
      </c>
      <c r="Y368" s="192">
        <f t="shared" si="64"/>
        <v>-8.0320162704961007E-3</v>
      </c>
    </row>
    <row r="369" spans="1:25" ht="14.4">
      <c r="A369" s="187">
        <f t="shared" si="65"/>
        <v>45084</v>
      </c>
      <c r="B369" s="182">
        <v>11339045.447899424</v>
      </c>
      <c r="C369" s="182">
        <v>495001.23439371301</v>
      </c>
      <c r="D369" s="182">
        <v>10844044.213505711</v>
      </c>
      <c r="E369" s="182">
        <v>0</v>
      </c>
      <c r="F369" s="189">
        <f t="shared" si="61"/>
        <v>0</v>
      </c>
      <c r="G369" s="182">
        <v>11339045.447899424</v>
      </c>
      <c r="H369" s="182"/>
      <c r="I369" s="182">
        <v>10844044.213505711</v>
      </c>
      <c r="J369" s="182"/>
      <c r="K369" s="182">
        <v>10343031.588941671</v>
      </c>
      <c r="L369" s="182"/>
      <c r="M369" s="182">
        <v>10343031.588941671</v>
      </c>
      <c r="N369" s="182">
        <v>0</v>
      </c>
      <c r="O369" s="182">
        <v>10838032.823335383</v>
      </c>
      <c r="P369" s="182">
        <v>495001.23439371301</v>
      </c>
      <c r="Q369" s="182">
        <v>6.9173378398577068E-3</v>
      </c>
      <c r="R369" s="182">
        <v>0</v>
      </c>
      <c r="S369" s="182">
        <f t="shared" si="59"/>
        <v>111322340.2240347</v>
      </c>
      <c r="T369" s="192">
        <f t="shared" si="63"/>
        <v>5.5894462865584416E-3</v>
      </c>
      <c r="W369" s="182">
        <v>5312902.5182325356</v>
      </c>
      <c r="X369" s="183">
        <f t="shared" si="58"/>
        <v>20953.205868544475</v>
      </c>
      <c r="Y369" s="192">
        <f t="shared" si="64"/>
        <v>-7.8666552648113397E-3</v>
      </c>
    </row>
    <row r="370" spans="1:25" ht="14.4">
      <c r="A370" s="187">
        <f t="shared" si="65"/>
        <v>45114</v>
      </c>
      <c r="B370" s="182">
        <v>12071094.25968343</v>
      </c>
      <c r="C370" s="182">
        <v>478784.17076854385</v>
      </c>
      <c r="D370" s="182">
        <v>11592310.088914886</v>
      </c>
      <c r="E370" s="182">
        <v>0</v>
      </c>
      <c r="F370" s="189">
        <f t="shared" si="61"/>
        <v>0</v>
      </c>
      <c r="G370" s="182">
        <v>12071094.25968343</v>
      </c>
      <c r="H370" s="182"/>
      <c r="I370" s="182">
        <v>11592310.088914886</v>
      </c>
      <c r="J370" s="182"/>
      <c r="K370" s="182">
        <v>11030558.338502446</v>
      </c>
      <c r="L370" s="182"/>
      <c r="M370" s="182">
        <v>11030558.338502446</v>
      </c>
      <c r="N370" s="182">
        <v>0</v>
      </c>
      <c r="O370" s="182">
        <v>11509342.50927099</v>
      </c>
      <c r="P370" s="182">
        <v>478784.17076854385</v>
      </c>
      <c r="Q370" s="182">
        <v>6.9622752197917581E-3</v>
      </c>
      <c r="R370" s="182">
        <v>0</v>
      </c>
      <c r="S370" s="182">
        <f t="shared" si="59"/>
        <v>111398607.01661523</v>
      </c>
      <c r="T370" s="192">
        <f t="shared" si="63"/>
        <v>5.7755408445128165E-3</v>
      </c>
      <c r="W370" s="182">
        <v>5318820.6112213032</v>
      </c>
      <c r="X370" s="183">
        <f t="shared" si="58"/>
        <v>20944.230903669446</v>
      </c>
      <c r="Y370" s="192">
        <f t="shared" si="64"/>
        <v>-7.6641155061234478E-3</v>
      </c>
    </row>
    <row r="371" spans="1:25" ht="14.4">
      <c r="A371" s="187">
        <f t="shared" si="65"/>
        <v>45145</v>
      </c>
      <c r="B371" s="182">
        <v>12285976.526701692</v>
      </c>
      <c r="C371" s="182">
        <v>506199.83309562155</v>
      </c>
      <c r="D371" s="182">
        <v>11779776.693606071</v>
      </c>
      <c r="E371" s="182">
        <v>0</v>
      </c>
      <c r="F371" s="189">
        <f t="shared" si="61"/>
        <v>0</v>
      </c>
      <c r="G371" s="182">
        <v>12285976.526701692</v>
      </c>
      <c r="H371" s="182"/>
      <c r="I371" s="182">
        <v>11779776.693606071</v>
      </c>
      <c r="J371" s="182"/>
      <c r="K371" s="182">
        <v>11176701.131400628</v>
      </c>
      <c r="L371" s="182"/>
      <c r="M371" s="182">
        <v>11176701.131400628</v>
      </c>
      <c r="N371" s="182">
        <v>0</v>
      </c>
      <c r="O371" s="182">
        <v>11682900.964496249</v>
      </c>
      <c r="P371" s="182">
        <v>506199.83309562155</v>
      </c>
      <c r="Q371" s="182">
        <v>6.8714483244476376E-3</v>
      </c>
      <c r="R371" s="182">
        <v>0</v>
      </c>
      <c r="S371" s="182">
        <f t="shared" si="59"/>
        <v>111474883.01430094</v>
      </c>
      <c r="T371" s="192">
        <f t="shared" si="63"/>
        <v>5.9659340316917664E-3</v>
      </c>
      <c r="W371" s="182">
        <v>5324739.1209506663</v>
      </c>
      <c r="X371" s="183">
        <f t="shared" si="58"/>
        <v>20935.275979191727</v>
      </c>
      <c r="Y371" s="192">
        <f t="shared" si="64"/>
        <v>-7.4572381251286624E-3</v>
      </c>
    </row>
    <row r="372" spans="1:25" ht="14.4">
      <c r="A372" s="187">
        <f t="shared" si="65"/>
        <v>45176</v>
      </c>
      <c r="B372" s="182">
        <v>11315266.330021858</v>
      </c>
      <c r="C372" s="182">
        <v>486879.44220216287</v>
      </c>
      <c r="D372" s="182">
        <v>10828386.887819696</v>
      </c>
      <c r="E372" s="182">
        <v>0</v>
      </c>
      <c r="F372" s="189">
        <f t="shared" si="61"/>
        <v>0</v>
      </c>
      <c r="G372" s="182">
        <v>11315266.330021858</v>
      </c>
      <c r="H372" s="182"/>
      <c r="I372" s="182">
        <v>10828386.887819696</v>
      </c>
      <c r="J372" s="182"/>
      <c r="K372" s="182">
        <v>10274086.732213583</v>
      </c>
      <c r="L372" s="182"/>
      <c r="M372" s="182">
        <v>10274086.732213583</v>
      </c>
      <c r="N372" s="182">
        <v>0</v>
      </c>
      <c r="O372" s="182">
        <v>10760966.174415745</v>
      </c>
      <c r="P372" s="182">
        <v>486879.44220216287</v>
      </c>
      <c r="Q372" s="182">
        <v>6.3358398702300089E-3</v>
      </c>
      <c r="R372" s="182">
        <v>0</v>
      </c>
      <c r="S372" s="182">
        <f t="shared" si="59"/>
        <v>111539568.148</v>
      </c>
      <c r="T372" s="192">
        <f t="shared" si="63"/>
        <v>6.121619369703124E-3</v>
      </c>
      <c r="W372" s="182">
        <v>5330655.5916809067</v>
      </c>
      <c r="X372" s="183">
        <f t="shared" si="58"/>
        <v>20924.174565333044</v>
      </c>
      <c r="Y372" s="192">
        <f t="shared" si="64"/>
        <v>-7.2847279471700555E-3</v>
      </c>
    </row>
    <row r="373" spans="1:25" ht="14.4">
      <c r="A373" s="187">
        <f t="shared" si="65"/>
        <v>45206</v>
      </c>
      <c r="B373" s="182">
        <v>10624907.506314779</v>
      </c>
      <c r="C373" s="182">
        <v>446000.00225641567</v>
      </c>
      <c r="D373" s="182">
        <v>10178907.504058363</v>
      </c>
      <c r="E373" s="182">
        <v>0</v>
      </c>
      <c r="F373" s="189">
        <f t="shared" si="61"/>
        <v>0</v>
      </c>
      <c r="G373" s="182">
        <v>10624907.506314779</v>
      </c>
      <c r="H373" s="182"/>
      <c r="I373" s="182">
        <v>10178907.504058363</v>
      </c>
      <c r="J373" s="182"/>
      <c r="K373" s="182">
        <v>9658122.8841085285</v>
      </c>
      <c r="L373" s="182"/>
      <c r="M373" s="182">
        <v>9658122.8841085285</v>
      </c>
      <c r="N373" s="182">
        <v>0</v>
      </c>
      <c r="O373" s="182">
        <v>10104122.886364944</v>
      </c>
      <c r="P373" s="182">
        <v>446000.00225641567</v>
      </c>
      <c r="Q373" s="182">
        <v>5.8354318467683797E-3</v>
      </c>
      <c r="R373" s="182">
        <v>0</v>
      </c>
      <c r="S373" s="182">
        <f t="shared" si="59"/>
        <v>111595600.49292789</v>
      </c>
      <c r="T373" s="192">
        <f t="shared" si="63"/>
        <v>6.217838480417015E-3</v>
      </c>
      <c r="W373" s="182">
        <v>5336569.5519515006</v>
      </c>
      <c r="X373" s="183">
        <f t="shared" si="58"/>
        <v>20911.48619099682</v>
      </c>
      <c r="Y373" s="192">
        <f t="shared" si="64"/>
        <v>-7.1710618514861935E-3</v>
      </c>
    </row>
    <row r="374" spans="1:25" ht="14.4">
      <c r="A374" s="187">
        <f t="shared" si="65"/>
        <v>45237</v>
      </c>
      <c r="B374" s="182">
        <v>8886782.8715941869</v>
      </c>
      <c r="C374" s="182">
        <v>399633.80006322789</v>
      </c>
      <c r="D374" s="182">
        <v>8487149.0715309586</v>
      </c>
      <c r="E374" s="182">
        <v>0</v>
      </c>
      <c r="F374" s="189">
        <f t="shared" si="61"/>
        <v>0</v>
      </c>
      <c r="G374" s="182">
        <v>8886782.8715941869</v>
      </c>
      <c r="H374" s="182"/>
      <c r="I374" s="182">
        <v>8487149.0715309586</v>
      </c>
      <c r="J374" s="182"/>
      <c r="K374" s="182">
        <v>8100100.6062450279</v>
      </c>
      <c r="L374" s="182"/>
      <c r="M374" s="182">
        <v>8100100.6062450279</v>
      </c>
      <c r="N374" s="182">
        <v>0</v>
      </c>
      <c r="O374" s="182">
        <v>8499734.4063082561</v>
      </c>
      <c r="P374" s="182">
        <v>399633.80006322789</v>
      </c>
      <c r="Q374" s="182">
        <v>4.7754292799122577E-3</v>
      </c>
      <c r="R374" s="182">
        <v>0</v>
      </c>
      <c r="S374" s="182">
        <f t="shared" si="59"/>
        <v>111634098.10789546</v>
      </c>
      <c r="T374" s="192">
        <f t="shared" si="63"/>
        <v>6.2231305734197218E-3</v>
      </c>
      <c r="W374" s="182">
        <v>5342480.0258708782</v>
      </c>
      <c r="X374" s="183">
        <f t="shared" si="58"/>
        <v>20895.55741290731</v>
      </c>
      <c r="Y374" s="192">
        <f t="shared" si="64"/>
        <v>-7.1473750455629537E-3</v>
      </c>
    </row>
    <row r="375" spans="1:25" ht="14.4">
      <c r="A375" s="187">
        <f t="shared" si="65"/>
        <v>45267</v>
      </c>
      <c r="B375" s="182">
        <v>9157842.9687598106</v>
      </c>
      <c r="C375" s="182">
        <v>380022.12388062302</v>
      </c>
      <c r="D375" s="182">
        <v>8777820.8448791876</v>
      </c>
      <c r="E375" s="182">
        <v>0</v>
      </c>
      <c r="F375" s="189">
        <f t="shared" si="61"/>
        <v>0</v>
      </c>
      <c r="G375" s="182">
        <v>9157842.9687598106</v>
      </c>
      <c r="H375" s="182"/>
      <c r="I375" s="182">
        <v>8777820.8448791876</v>
      </c>
      <c r="J375" s="182"/>
      <c r="K375" s="182">
        <v>8339815.4053123016</v>
      </c>
      <c r="L375" s="182"/>
      <c r="M375" s="182">
        <v>8339815.4053123016</v>
      </c>
      <c r="N375" s="182">
        <v>0</v>
      </c>
      <c r="O375" s="182">
        <v>8719837.5291929245</v>
      </c>
      <c r="P375" s="182">
        <v>380022.12388062302</v>
      </c>
      <c r="Q375" s="182">
        <v>4.9814816722733024E-3</v>
      </c>
      <c r="R375" s="182">
        <v>0</v>
      </c>
      <c r="S375" s="182">
        <f t="shared" si="59"/>
        <v>111675436.8174631</v>
      </c>
      <c r="T375" s="192">
        <f t="shared" si="63"/>
        <v>6.2011879040990703E-3</v>
      </c>
      <c r="W375" s="182">
        <v>5348386.5435879529</v>
      </c>
      <c r="X375" s="183">
        <f t="shared" si="58"/>
        <v>20880.210491021444</v>
      </c>
      <c r="Y375" s="192">
        <f t="shared" si="64"/>
        <v>-7.1508704167311254E-3</v>
      </c>
    </row>
    <row r="376" spans="1:25" ht="14.4">
      <c r="A376" s="187">
        <f t="shared" si="65"/>
        <v>45298</v>
      </c>
      <c r="B376" s="182">
        <v>9219864.4194741026</v>
      </c>
      <c r="C376" s="182">
        <v>377257.83791778615</v>
      </c>
      <c r="D376" s="182">
        <v>8842606.5815563165</v>
      </c>
      <c r="E376" s="182">
        <v>0</v>
      </c>
      <c r="F376" s="189">
        <f t="shared" si="61"/>
        <v>0</v>
      </c>
      <c r="G376" s="182">
        <v>9219864.4194741026</v>
      </c>
      <c r="H376" s="182"/>
      <c r="I376" s="182">
        <v>8842606.5815563165</v>
      </c>
      <c r="J376" s="182"/>
      <c r="K376" s="182">
        <v>8376978.2400672287</v>
      </c>
      <c r="L376" s="182"/>
      <c r="M376" s="182">
        <v>8376978.2400672287</v>
      </c>
      <c r="N376" s="182">
        <v>0</v>
      </c>
      <c r="O376" s="182">
        <v>8754236.0779850148</v>
      </c>
      <c r="P376" s="182">
        <v>377257.83791778615</v>
      </c>
      <c r="Q376" s="182">
        <v>5.5872651258950246E-3</v>
      </c>
      <c r="R376" s="182">
        <v>0</v>
      </c>
      <c r="S376" s="182">
        <f t="shared" si="59"/>
        <v>111721981.16026089</v>
      </c>
      <c r="T376" s="192">
        <f t="shared" si="63"/>
        <v>6.1281289126808858E-3</v>
      </c>
      <c r="W376" s="182">
        <v>5354289.8059164835</v>
      </c>
      <c r="X376" s="183">
        <f t="shared" ref="X376:X439" si="66">S376/W376*1000</f>
        <v>20865.882350411484</v>
      </c>
      <c r="Y376" s="192">
        <f t="shared" si="64"/>
        <v>-7.2050583878090491E-3</v>
      </c>
    </row>
    <row r="377" spans="1:25" ht="14.4">
      <c r="A377" s="187">
        <f t="shared" si="65"/>
        <v>45329</v>
      </c>
      <c r="B377" s="182">
        <v>8505519.3963403925</v>
      </c>
      <c r="C377" s="182">
        <v>364498.87350662169</v>
      </c>
      <c r="D377" s="182">
        <v>8141020.5228337711</v>
      </c>
      <c r="E377" s="182">
        <v>0</v>
      </c>
      <c r="F377" s="189">
        <f t="shared" si="61"/>
        <v>0</v>
      </c>
      <c r="G377" s="182">
        <v>8505519.3963403925</v>
      </c>
      <c r="H377" s="182"/>
      <c r="I377" s="182">
        <v>8141020.5228337711</v>
      </c>
      <c r="J377" s="182"/>
      <c r="K377" s="182">
        <v>7714044.8369837515</v>
      </c>
      <c r="L377" s="182"/>
      <c r="M377" s="182">
        <v>7714044.8369837515</v>
      </c>
      <c r="N377" s="182">
        <v>0</v>
      </c>
      <c r="O377" s="182">
        <v>8078543.710490373</v>
      </c>
      <c r="P377" s="182">
        <v>364498.87350662169</v>
      </c>
      <c r="Q377" s="182">
        <v>3.3028460242855662E-2</v>
      </c>
      <c r="R377" s="182">
        <v>0</v>
      </c>
      <c r="S377" s="182">
        <f t="shared" si="59"/>
        <v>111968618.14366987</v>
      </c>
      <c r="T377" s="192">
        <f t="shared" si="63"/>
        <v>7.9711458568600957E-3</v>
      </c>
      <c r="W377" s="182">
        <v>5360189.6241739327</v>
      </c>
      <c r="X377" s="183">
        <f t="shared" si="66"/>
        <v>20888.928563031113</v>
      </c>
      <c r="Y377" s="192">
        <f t="shared" si="64"/>
        <v>-5.3688045661081096E-3</v>
      </c>
    </row>
    <row r="378" spans="1:25" ht="14.4">
      <c r="A378" s="187">
        <f t="shared" si="65"/>
        <v>45358</v>
      </c>
      <c r="B378" s="182">
        <v>9327724.5213926397</v>
      </c>
      <c r="C378" s="182">
        <v>430001.22056622966</v>
      </c>
      <c r="D378" s="182">
        <v>8897723.3008264098</v>
      </c>
      <c r="E378" s="182">
        <v>0</v>
      </c>
      <c r="F378" s="189">
        <f t="shared" si="61"/>
        <v>0</v>
      </c>
      <c r="G378" s="182">
        <v>9327724.5213926397</v>
      </c>
      <c r="H378" s="182"/>
      <c r="I378" s="182">
        <v>8897723.3008264098</v>
      </c>
      <c r="J378" s="182"/>
      <c r="K378" s="182">
        <v>8437908.7964500692</v>
      </c>
      <c r="L378" s="182"/>
      <c r="M378" s="182">
        <v>8437908.7964500692</v>
      </c>
      <c r="N378" s="182">
        <v>0</v>
      </c>
      <c r="O378" s="182">
        <v>8867910.0170162991</v>
      </c>
      <c r="P378" s="182">
        <v>430001.22056622966</v>
      </c>
      <c r="Q378" s="182">
        <v>4.3506197361129484E-3</v>
      </c>
      <c r="R378" s="182">
        <v>0</v>
      </c>
      <c r="S378" s="182">
        <f t="shared" si="59"/>
        <v>112005169.25621958</v>
      </c>
      <c r="T378" s="192">
        <f t="shared" si="63"/>
        <v>7.8373688420023679E-3</v>
      </c>
      <c r="W378" s="182">
        <v>5366085.1416573012</v>
      </c>
      <c r="X378" s="183">
        <f t="shared" si="66"/>
        <v>20872.790181191027</v>
      </c>
      <c r="Y378" s="192">
        <f t="shared" si="64"/>
        <v>-5.4835045092477275E-3</v>
      </c>
    </row>
    <row r="379" spans="1:25" ht="14.4">
      <c r="A379" s="187">
        <f t="shared" si="65"/>
        <v>45389</v>
      </c>
      <c r="B379" s="182">
        <v>9590889.948165454</v>
      </c>
      <c r="C379" s="182">
        <v>467372.27081316878</v>
      </c>
      <c r="D379" s="182">
        <v>9123517.677352285</v>
      </c>
      <c r="E379" s="182">
        <v>0</v>
      </c>
      <c r="F379" s="189">
        <f t="shared" si="61"/>
        <v>0</v>
      </c>
      <c r="G379" s="182">
        <v>9590889.948165454</v>
      </c>
      <c r="H379" s="182"/>
      <c r="I379" s="182">
        <v>9123517.677352285</v>
      </c>
      <c r="J379" s="182"/>
      <c r="K379" s="182">
        <v>8685621.3658760898</v>
      </c>
      <c r="L379" s="182"/>
      <c r="M379" s="182">
        <v>8685621.3658760898</v>
      </c>
      <c r="N379" s="182">
        <v>0</v>
      </c>
      <c r="O379" s="182">
        <v>9152993.6366892587</v>
      </c>
      <c r="P379" s="182">
        <v>467372.27081316878</v>
      </c>
      <c r="Q379" s="182">
        <v>4.008260739467584E-3</v>
      </c>
      <c r="R379" s="182">
        <v>0</v>
      </c>
      <c r="S379" s="182">
        <f t="shared" si="59"/>
        <v>112039844.50390439</v>
      </c>
      <c r="T379" s="192">
        <f t="shared" si="63"/>
        <v>7.681328323456027E-3</v>
      </c>
      <c r="W379" s="182">
        <v>5371981.0797538897</v>
      </c>
      <c r="X379" s="183">
        <f t="shared" si="66"/>
        <v>20856.336394438185</v>
      </c>
      <c r="Y379" s="192">
        <f t="shared" si="64"/>
        <v>-5.620128343210129E-3</v>
      </c>
    </row>
    <row r="380" spans="1:25" ht="14.4">
      <c r="A380" s="187">
        <f t="shared" si="65"/>
        <v>45419</v>
      </c>
      <c r="B380" s="182">
        <v>10911173.351124935</v>
      </c>
      <c r="C380" s="182">
        <v>481990.76179836824</v>
      </c>
      <c r="D380" s="182">
        <v>10429182.589326566</v>
      </c>
      <c r="E380" s="182">
        <v>0</v>
      </c>
      <c r="F380" s="189">
        <f t="shared" si="61"/>
        <v>0</v>
      </c>
      <c r="G380" s="182">
        <v>10911173.351124935</v>
      </c>
      <c r="H380" s="182"/>
      <c r="I380" s="182">
        <v>10429182.589326566</v>
      </c>
      <c r="J380" s="182"/>
      <c r="K380" s="182">
        <v>9953621.2661900166</v>
      </c>
      <c r="L380" s="182"/>
      <c r="M380" s="182">
        <v>9953621.2661900166</v>
      </c>
      <c r="N380" s="182">
        <v>0</v>
      </c>
      <c r="O380" s="182">
        <v>10435612.027988385</v>
      </c>
      <c r="P380" s="182">
        <v>481990.76179836824</v>
      </c>
      <c r="Q380" s="182">
        <v>5.1244401802987838E-3</v>
      </c>
      <c r="R380" s="182">
        <v>0</v>
      </c>
      <c r="S380" s="182">
        <f t="shared" si="59"/>
        <v>112090591.19229135</v>
      </c>
      <c r="T380" s="192">
        <f t="shared" si="63"/>
        <v>7.5442337474904697E-3</v>
      </c>
      <c r="W380" s="182">
        <v>5377880.392631474</v>
      </c>
      <c r="X380" s="183">
        <f t="shared" si="66"/>
        <v>20842.894041651194</v>
      </c>
      <c r="Y380" s="192">
        <f t="shared" si="64"/>
        <v>-5.7377625818646472E-3</v>
      </c>
    </row>
    <row r="381" spans="1:25" ht="14.4">
      <c r="A381" s="187">
        <f t="shared" si="65"/>
        <v>45450</v>
      </c>
      <c r="B381" s="182">
        <v>11407764.552069956</v>
      </c>
      <c r="C381" s="182">
        <v>502195.42235333181</v>
      </c>
      <c r="D381" s="182">
        <v>10905569.129716625</v>
      </c>
      <c r="E381" s="182">
        <v>0</v>
      </c>
      <c r="F381" s="189">
        <f t="shared" si="61"/>
        <v>0</v>
      </c>
      <c r="G381" s="182">
        <v>11407764.552069956</v>
      </c>
      <c r="H381" s="182"/>
      <c r="I381" s="182">
        <v>10905569.129716625</v>
      </c>
      <c r="J381" s="182"/>
      <c r="K381" s="182">
        <v>10401520.17031326</v>
      </c>
      <c r="L381" s="182"/>
      <c r="M381" s="182">
        <v>10401520.17031326</v>
      </c>
      <c r="N381" s="182">
        <v>0</v>
      </c>
      <c r="O381" s="182">
        <v>10903715.592666591</v>
      </c>
      <c r="P381" s="182">
        <v>502195.42235333181</v>
      </c>
      <c r="Q381" s="182">
        <v>5.6548779599707721E-3</v>
      </c>
      <c r="R381" s="182">
        <v>0</v>
      </c>
      <c r="S381" s="182">
        <f t="shared" si="59"/>
        <v>112149079.77366292</v>
      </c>
      <c r="T381" s="192">
        <f t="shared" si="63"/>
        <v>7.426537638037578E-3</v>
      </c>
      <c r="W381" s="182">
        <v>5383779.974923606</v>
      </c>
      <c r="X381" s="183">
        <f t="shared" si="66"/>
        <v>20830.918108843085</v>
      </c>
      <c r="Y381" s="192">
        <f t="shared" si="64"/>
        <v>-5.8362314802133941E-3</v>
      </c>
    </row>
    <row r="382" spans="1:25" ht="14.4">
      <c r="A382" s="187">
        <f t="shared" si="65"/>
        <v>45480</v>
      </c>
      <c r="B382" s="182">
        <v>12147070.121365981</v>
      </c>
      <c r="C382" s="182">
        <v>485713.51184416621</v>
      </c>
      <c r="D382" s="182">
        <v>11661356.609521816</v>
      </c>
      <c r="E382" s="182">
        <v>0</v>
      </c>
      <c r="F382" s="189">
        <f t="shared" si="61"/>
        <v>0</v>
      </c>
      <c r="G382" s="182">
        <v>12147070.121365981</v>
      </c>
      <c r="H382" s="182"/>
      <c r="I382" s="182">
        <v>11661356.609521816</v>
      </c>
      <c r="J382" s="182"/>
      <c r="K382" s="182">
        <v>11096069.175237549</v>
      </c>
      <c r="L382" s="182"/>
      <c r="M382" s="182">
        <v>11096069.175237549</v>
      </c>
      <c r="N382" s="182">
        <v>0</v>
      </c>
      <c r="O382" s="182">
        <v>11581782.687081715</v>
      </c>
      <c r="P382" s="182">
        <v>485713.51184416621</v>
      </c>
      <c r="Q382" s="182">
        <v>5.939031799182537E-3</v>
      </c>
      <c r="R382" s="182">
        <v>0</v>
      </c>
      <c r="S382" s="182">
        <f t="shared" si="59"/>
        <v>112214590.61039802</v>
      </c>
      <c r="T382" s="192">
        <f t="shared" si="63"/>
        <v>7.3248994366788001E-3</v>
      </c>
      <c r="W382" s="182">
        <v>5389680.6772275558</v>
      </c>
      <c r="X382" s="183">
        <f t="shared" si="66"/>
        <v>20820.266975096762</v>
      </c>
      <c r="Y382" s="192">
        <f t="shared" si="64"/>
        <v>-5.9187625051901893E-3</v>
      </c>
    </row>
    <row r="383" spans="1:25" ht="14.4">
      <c r="A383" s="187">
        <f t="shared" si="65"/>
        <v>45511</v>
      </c>
      <c r="B383" s="182">
        <v>12363271.410118619</v>
      </c>
      <c r="C383" s="182">
        <v>513463.80692779977</v>
      </c>
      <c r="D383" s="182">
        <v>11849807.603190819</v>
      </c>
      <c r="E383" s="182">
        <v>0</v>
      </c>
      <c r="F383" s="189">
        <f t="shared" si="61"/>
        <v>0</v>
      </c>
      <c r="G383" s="182">
        <v>12363271.410118619</v>
      </c>
      <c r="H383" s="182"/>
      <c r="I383" s="182">
        <v>11849807.603190819</v>
      </c>
      <c r="J383" s="182"/>
      <c r="K383" s="182">
        <v>11242937.905845124</v>
      </c>
      <c r="L383" s="182"/>
      <c r="M383" s="182">
        <v>11242937.905845124</v>
      </c>
      <c r="N383" s="182">
        <v>0</v>
      </c>
      <c r="O383" s="182">
        <v>11756401.712772924</v>
      </c>
      <c r="P383" s="182">
        <v>513463.80692779977</v>
      </c>
      <c r="Q383" s="182">
        <v>5.9263259942063939E-3</v>
      </c>
      <c r="R383" s="182">
        <v>0</v>
      </c>
      <c r="S383" s="182">
        <f t="shared" si="59"/>
        <v>112280827.38484253</v>
      </c>
      <c r="T383" s="192">
        <f t="shared" si="63"/>
        <v>7.2298292561401301E-3</v>
      </c>
      <c r="W383" s="182">
        <v>5395581.5099122506</v>
      </c>
      <c r="X383" s="183">
        <f t="shared" si="66"/>
        <v>20809.773178029252</v>
      </c>
      <c r="Y383" s="192">
        <f t="shared" si="64"/>
        <v>-5.9948004166372471E-3</v>
      </c>
    </row>
    <row r="384" spans="1:25" ht="14.4">
      <c r="A384" s="187">
        <f t="shared" si="65"/>
        <v>45542</v>
      </c>
      <c r="B384" s="182">
        <v>11379241.207164153</v>
      </c>
      <c r="C384" s="182">
        <v>493969.70601442695</v>
      </c>
      <c r="D384" s="182">
        <v>10885271.501149727</v>
      </c>
      <c r="E384" s="182">
        <v>0</v>
      </c>
      <c r="F384" s="189">
        <f t="shared" si="61"/>
        <v>0</v>
      </c>
      <c r="G384" s="182">
        <v>11379241.207164153</v>
      </c>
      <c r="H384" s="182"/>
      <c r="I384" s="182">
        <v>10885271.501149727</v>
      </c>
      <c r="J384" s="182"/>
      <c r="K384" s="182">
        <v>10327837.412738092</v>
      </c>
      <c r="L384" s="182"/>
      <c r="M384" s="182">
        <v>10327837.412738092</v>
      </c>
      <c r="N384" s="182">
        <v>0</v>
      </c>
      <c r="O384" s="182">
        <v>10821807.118752519</v>
      </c>
      <c r="P384" s="182">
        <v>493969.70601442695</v>
      </c>
      <c r="Q384" s="182">
        <v>5.2316747877918512E-3</v>
      </c>
      <c r="R384" s="182">
        <v>0</v>
      </c>
      <c r="S384" s="182">
        <f t="shared" si="59"/>
        <v>112334578.06536704</v>
      </c>
      <c r="T384" s="192">
        <f t="shared" si="63"/>
        <v>7.1276044059285226E-3</v>
      </c>
      <c r="W384" s="182">
        <v>5401480.7890994819</v>
      </c>
      <c r="X384" s="183">
        <f t="shared" si="66"/>
        <v>20796.996685069229</v>
      </c>
      <c r="Y384" s="192">
        <f t="shared" si="64"/>
        <v>-6.078035712554275E-3</v>
      </c>
    </row>
    <row r="385" spans="1:25" ht="14.4">
      <c r="A385" s="187">
        <f t="shared" si="65"/>
        <v>45572</v>
      </c>
      <c r="B385" s="182">
        <v>10677176.292162852</v>
      </c>
      <c r="C385" s="182">
        <v>452493.12566029432</v>
      </c>
      <c r="D385" s="182">
        <v>10224683.166502558</v>
      </c>
      <c r="E385" s="182">
        <v>0</v>
      </c>
      <c r="F385" s="189">
        <f t="shared" si="61"/>
        <v>0</v>
      </c>
      <c r="G385" s="182">
        <v>10677176.292162852</v>
      </c>
      <c r="H385" s="182"/>
      <c r="I385" s="182">
        <v>10224683.166502558</v>
      </c>
      <c r="J385" s="182"/>
      <c r="K385" s="182">
        <v>9701336.5685066134</v>
      </c>
      <c r="L385" s="182"/>
      <c r="M385" s="182">
        <v>9701336.5685066134</v>
      </c>
      <c r="N385" s="182">
        <v>0</v>
      </c>
      <c r="O385" s="182">
        <v>10153829.694166908</v>
      </c>
      <c r="P385" s="182">
        <v>452493.12566029432</v>
      </c>
      <c r="Q385" s="182">
        <v>4.4743357396279659E-3</v>
      </c>
      <c r="R385" s="182">
        <v>0</v>
      </c>
      <c r="S385" s="182">
        <f t="shared" si="59"/>
        <v>112377791.74976511</v>
      </c>
      <c r="T385" s="192">
        <f t="shared" si="63"/>
        <v>7.0091585455180905E-3</v>
      </c>
      <c r="W385" s="182">
        <v>5407378.204058378</v>
      </c>
      <c r="X385" s="183">
        <f t="shared" si="66"/>
        <v>20782.306602009576</v>
      </c>
      <c r="Y385" s="192">
        <f t="shared" si="64"/>
        <v>-6.1774465864057326E-3</v>
      </c>
    </row>
    <row r="386" spans="1:25" ht="14.4">
      <c r="A386" s="187">
        <f t="shared" si="65"/>
        <v>45603</v>
      </c>
      <c r="B386" s="182">
        <v>8916804.1499305908</v>
      </c>
      <c r="C386" s="182">
        <v>405466.28487490554</v>
      </c>
      <c r="D386" s="182">
        <v>8511337.8650556859</v>
      </c>
      <c r="E386" s="182">
        <v>0</v>
      </c>
      <c r="F386" s="189">
        <f t="shared" si="61"/>
        <v>0</v>
      </c>
      <c r="G386" s="182">
        <v>8916804.1499305908</v>
      </c>
      <c r="H386" s="182"/>
      <c r="I386" s="182">
        <v>8511337.8650556859</v>
      </c>
      <c r="J386" s="182"/>
      <c r="K386" s="182">
        <v>8122981.8748899503</v>
      </c>
      <c r="L386" s="182"/>
      <c r="M386" s="182">
        <v>8122981.8748899503</v>
      </c>
      <c r="N386" s="182">
        <v>0</v>
      </c>
      <c r="O386" s="182">
        <v>8528448.1597648561</v>
      </c>
      <c r="P386" s="182">
        <v>405466.28487490554</v>
      </c>
      <c r="Q386" s="182">
        <v>2.8248128951979812E-3</v>
      </c>
      <c r="R386" s="182">
        <v>0</v>
      </c>
      <c r="S386" s="182">
        <f t="shared" si="59"/>
        <v>112400673.01841006</v>
      </c>
      <c r="T386" s="192">
        <f t="shared" si="63"/>
        <v>6.8668527224871045E-3</v>
      </c>
      <c r="W386" s="182">
        <v>5413273.0945213437</v>
      </c>
      <c r="X386" s="183">
        <f t="shared" si="66"/>
        <v>20763.902181873724</v>
      </c>
      <c r="Y386" s="192">
        <f t="shared" si="64"/>
        <v>-6.3006326384125177E-3</v>
      </c>
    </row>
    <row r="387" spans="1:25" ht="14.4">
      <c r="A387" s="187">
        <f t="shared" si="65"/>
        <v>45633</v>
      </c>
      <c r="B387" s="182">
        <v>9190065.0593473595</v>
      </c>
      <c r="C387" s="182">
        <v>385555.27501276752</v>
      </c>
      <c r="D387" s="182">
        <v>8804509.7843345925</v>
      </c>
      <c r="E387" s="182">
        <v>0</v>
      </c>
      <c r="F387" s="189">
        <f t="shared" si="61"/>
        <v>0</v>
      </c>
      <c r="G387" s="182">
        <v>9190065.0593473595</v>
      </c>
      <c r="H387" s="182"/>
      <c r="I387" s="182">
        <v>8804509.7843345925</v>
      </c>
      <c r="J387" s="182"/>
      <c r="K387" s="182">
        <v>8364963.212101453</v>
      </c>
      <c r="L387" s="182"/>
      <c r="M387" s="182">
        <v>8364963.212101453</v>
      </c>
      <c r="N387" s="182">
        <v>0</v>
      </c>
      <c r="O387" s="182">
        <v>8750518.4871142209</v>
      </c>
      <c r="P387" s="182">
        <v>385555.27501276752</v>
      </c>
      <c r="Q387" s="182">
        <v>3.0153912966865981E-3</v>
      </c>
      <c r="R387" s="182">
        <v>0</v>
      </c>
      <c r="S387" s="182">
        <f t="shared" si="59"/>
        <v>112425820.82519922</v>
      </c>
      <c r="T387" s="192">
        <f t="shared" si="63"/>
        <v>6.7193290585703114E-3</v>
      </c>
      <c r="W387" s="182">
        <v>5419165.1501442604</v>
      </c>
      <c r="X387" s="183">
        <f t="shared" si="66"/>
        <v>20745.966899016981</v>
      </c>
      <c r="Y387" s="192">
        <f t="shared" si="64"/>
        <v>-6.4292259918637962E-3</v>
      </c>
    </row>
    <row r="388" spans="1:25" ht="14.4">
      <c r="A388" s="187">
        <f t="shared" si="65"/>
        <v>45664</v>
      </c>
      <c r="B388" s="182">
        <v>9268692.9135790747</v>
      </c>
      <c r="C388" s="182">
        <v>382639.3963109249</v>
      </c>
      <c r="D388" s="182">
        <v>8886053.5172681492</v>
      </c>
      <c r="E388" s="182">
        <v>0</v>
      </c>
      <c r="F388" s="189">
        <f t="shared" si="61"/>
        <v>0</v>
      </c>
      <c r="G388" s="182">
        <v>9268692.9135790747</v>
      </c>
      <c r="H388" s="182"/>
      <c r="I388" s="182">
        <v>8886053.5172681492</v>
      </c>
      <c r="J388" s="182"/>
      <c r="K388" s="182">
        <v>8417959.2034292407</v>
      </c>
      <c r="L388" s="182"/>
      <c r="M388" s="182">
        <v>8417959.2034292407</v>
      </c>
      <c r="N388" s="182">
        <v>0</v>
      </c>
      <c r="O388" s="182">
        <v>8800598.5997401662</v>
      </c>
      <c r="P388" s="182">
        <v>382639.3963109249</v>
      </c>
      <c r="Q388" s="182">
        <v>4.892093806093456E-3</v>
      </c>
      <c r="R388" s="182">
        <v>0</v>
      </c>
      <c r="S388" s="182">
        <f t="shared" ref="S388:S451" si="67">SUM(M377:M388)</f>
        <v>112466801.78856121</v>
      </c>
      <c r="T388" s="192">
        <f t="shared" si="63"/>
        <v>6.6667330865883834E-3</v>
      </c>
      <c r="W388" s="182">
        <v>5425054.8705699965</v>
      </c>
      <c r="X388" s="183">
        <f t="shared" si="66"/>
        <v>20730.998021545285</v>
      </c>
      <c r="Y388" s="192">
        <f t="shared" si="64"/>
        <v>-6.4643481929504976E-3</v>
      </c>
    </row>
    <row r="389" spans="1:25" ht="14.4">
      <c r="A389" s="187">
        <f t="shared" si="65"/>
        <v>45695</v>
      </c>
      <c r="B389" s="182">
        <v>8325436.3425028203</v>
      </c>
      <c r="C389" s="182">
        <v>369808.23537761421</v>
      </c>
      <c r="D389" s="182">
        <v>7955628.1071252059</v>
      </c>
      <c r="E389" s="182">
        <v>0</v>
      </c>
      <c r="F389" s="189">
        <f t="shared" si="61"/>
        <v>0</v>
      </c>
      <c r="G389" s="182">
        <v>8325436.3425028203</v>
      </c>
      <c r="H389" s="182"/>
      <c r="I389" s="182">
        <v>7955628.1071252059</v>
      </c>
      <c r="J389" s="182"/>
      <c r="K389" s="182">
        <v>7537692.5611936664</v>
      </c>
      <c r="L389" s="182"/>
      <c r="M389" s="182">
        <v>7537692.5611936664</v>
      </c>
      <c r="N389" s="182">
        <v>0</v>
      </c>
      <c r="O389" s="182">
        <v>7907500.7965712808</v>
      </c>
      <c r="P389" s="182">
        <v>369808.23537761421</v>
      </c>
      <c r="Q389" s="182">
        <v>-2.2861194032032683E-2</v>
      </c>
      <c r="R389" s="182">
        <v>0</v>
      </c>
      <c r="S389" s="182">
        <f t="shared" si="67"/>
        <v>112290449.51277113</v>
      </c>
      <c r="T389" s="192">
        <f t="shared" si="63"/>
        <v>2.8742997318078611E-3</v>
      </c>
      <c r="W389" s="182">
        <v>5430942.1393867442</v>
      </c>
      <c r="X389" s="183">
        <f t="shared" si="66"/>
        <v>20676.05336805353</v>
      </c>
      <c r="Y389" s="192">
        <f t="shared" si="64"/>
        <v>-1.0190814446765173E-2</v>
      </c>
    </row>
    <row r="390" spans="1:25" ht="14.4">
      <c r="A390" s="187">
        <f t="shared" si="65"/>
        <v>45724</v>
      </c>
      <c r="B390" s="182">
        <v>9399764.8920057248</v>
      </c>
      <c r="C390" s="182">
        <v>436270.54782915814</v>
      </c>
      <c r="D390" s="182">
        <v>8963494.3441765662</v>
      </c>
      <c r="E390" s="182">
        <v>0</v>
      </c>
      <c r="F390" s="189">
        <f t="shared" si="61"/>
        <v>0</v>
      </c>
      <c r="G390" s="182">
        <v>9399764.8920057248</v>
      </c>
      <c r="H390" s="182"/>
      <c r="I390" s="182">
        <v>8963494.3441765662</v>
      </c>
      <c r="J390" s="182"/>
      <c r="K390" s="182">
        <v>8500128.5763347819</v>
      </c>
      <c r="L390" s="182"/>
      <c r="M390" s="182">
        <v>8500128.5763347819</v>
      </c>
      <c r="N390" s="182">
        <v>0</v>
      </c>
      <c r="O390" s="182">
        <v>8936399.1241639405</v>
      </c>
      <c r="P390" s="182">
        <v>436270.54782915814</v>
      </c>
      <c r="Q390" s="182">
        <v>7.373838872362537E-3</v>
      </c>
      <c r="R390" s="182">
        <v>0</v>
      </c>
      <c r="S390" s="182">
        <f t="shared" si="67"/>
        <v>112352669.29265586</v>
      </c>
      <c r="T390" s="192">
        <f t="shared" si="63"/>
        <v>3.1025357020919575E-3</v>
      </c>
      <c r="W390" s="182">
        <v>5436826.3774423553</v>
      </c>
      <c r="X390" s="183">
        <f t="shared" si="66"/>
        <v>20665.119960205517</v>
      </c>
      <c r="Y390" s="192">
        <f t="shared" si="64"/>
        <v>-9.9493272908308672E-3</v>
      </c>
    </row>
    <row r="391" spans="1:25" ht="14.4">
      <c r="A391" s="187">
        <f t="shared" si="65"/>
        <v>45755</v>
      </c>
      <c r="B391" s="182">
        <v>9676988.3303999882</v>
      </c>
      <c r="C391" s="182">
        <v>474193.14035599644</v>
      </c>
      <c r="D391" s="182">
        <v>9202795.1900439914</v>
      </c>
      <c r="E391" s="182">
        <v>0</v>
      </c>
      <c r="F391" s="189">
        <f t="shared" si="61"/>
        <v>0</v>
      </c>
      <c r="G391" s="182">
        <v>9676988.3303999882</v>
      </c>
      <c r="H391" s="182"/>
      <c r="I391" s="182">
        <v>9202795.1900439914</v>
      </c>
      <c r="J391" s="182"/>
      <c r="K391" s="182">
        <v>8760967.8394037206</v>
      </c>
      <c r="L391" s="182"/>
      <c r="M391" s="182">
        <v>8760967.8394037206</v>
      </c>
      <c r="N391" s="182">
        <v>0</v>
      </c>
      <c r="O391" s="182">
        <v>9235160.9797597174</v>
      </c>
      <c r="P391" s="182">
        <v>474193.14035599644</v>
      </c>
      <c r="Q391" s="182">
        <v>8.6748512689778234E-3</v>
      </c>
      <c r="R391" s="182">
        <v>0</v>
      </c>
      <c r="S391" s="182">
        <f t="shared" si="67"/>
        <v>112428015.76618347</v>
      </c>
      <c r="T391" s="192">
        <f t="shared" si="63"/>
        <v>3.4645823010361898E-3</v>
      </c>
      <c r="W391" s="182">
        <v>5442710.8664294444</v>
      </c>
      <c r="X391" s="183">
        <f t="shared" si="66"/>
        <v>20656.621034131673</v>
      </c>
      <c r="Y391" s="192">
        <f t="shared" si="64"/>
        <v>-9.5757642439912027E-3</v>
      </c>
    </row>
    <row r="392" spans="1:25" ht="14.4">
      <c r="A392" s="187">
        <f t="shared" si="65"/>
        <v>45785</v>
      </c>
      <c r="B392" s="182">
        <v>11012304.42490793</v>
      </c>
      <c r="C392" s="182">
        <v>489005.91580469668</v>
      </c>
      <c r="D392" s="182">
        <v>10523298.509103233</v>
      </c>
      <c r="E392" s="182">
        <v>0</v>
      </c>
      <c r="F392" s="189">
        <f t="shared" si="61"/>
        <v>0</v>
      </c>
      <c r="G392" s="182">
        <v>11012304.42490793</v>
      </c>
      <c r="H392" s="182"/>
      <c r="I392" s="182">
        <v>10523298.509103233</v>
      </c>
      <c r="J392" s="182"/>
      <c r="K392" s="182">
        <v>10043329.408204312</v>
      </c>
      <c r="L392" s="182"/>
      <c r="M392" s="182">
        <v>10043329.408204312</v>
      </c>
      <c r="N392" s="182">
        <v>0</v>
      </c>
      <c r="O392" s="182">
        <v>10532335.324009009</v>
      </c>
      <c r="P392" s="182">
        <v>489005.91580469668</v>
      </c>
      <c r="Q392" s="182">
        <v>9.012613561961702E-3</v>
      </c>
      <c r="R392" s="182">
        <v>0</v>
      </c>
      <c r="S392" s="182">
        <f t="shared" si="67"/>
        <v>112517723.90819776</v>
      </c>
      <c r="T392" s="192">
        <f t="shared" si="63"/>
        <v>3.810602757671866E-3</v>
      </c>
      <c r="W392" s="182">
        <v>5448597.6644468652</v>
      </c>
      <c r="X392" s="183">
        <f t="shared" si="66"/>
        <v>20650.767562155906</v>
      </c>
      <c r="Y392" s="192">
        <f t="shared" si="64"/>
        <v>-9.2178408195787709E-3</v>
      </c>
    </row>
    <row r="393" spans="1:25" ht="14.4">
      <c r="A393" s="187">
        <f t="shared" si="65"/>
        <v>45816</v>
      </c>
      <c r="B393" s="182">
        <v>11515894.670017218</v>
      </c>
      <c r="C393" s="182">
        <v>509494.68636727566</v>
      </c>
      <c r="D393" s="182">
        <v>11006399.983649943</v>
      </c>
      <c r="E393" s="182">
        <v>0</v>
      </c>
      <c r="F393" s="189">
        <f t="shared" si="61"/>
        <v>0</v>
      </c>
      <c r="G393" s="182">
        <v>11515894.670017218</v>
      </c>
      <c r="H393" s="182"/>
      <c r="I393" s="182">
        <v>11006399.983649943</v>
      </c>
      <c r="J393" s="182"/>
      <c r="K393" s="182">
        <v>10497573.324533131</v>
      </c>
      <c r="L393" s="182"/>
      <c r="M393" s="182">
        <v>10497573.324533131</v>
      </c>
      <c r="N393" s="182">
        <v>0</v>
      </c>
      <c r="O393" s="182">
        <v>11007068.010900406</v>
      </c>
      <c r="P393" s="182">
        <v>509494.68636727566</v>
      </c>
      <c r="Q393" s="182">
        <v>9.2345304000864825E-3</v>
      </c>
      <c r="R393" s="182">
        <v>0</v>
      </c>
      <c r="S393" s="182">
        <f t="shared" si="67"/>
        <v>112613777.06241763</v>
      </c>
      <c r="T393" s="192">
        <f t="shared" si="63"/>
        <v>4.1435675592929044E-3</v>
      </c>
      <c r="W393" s="182">
        <v>5454484.6348537058</v>
      </c>
      <c r="X393" s="183">
        <f t="shared" si="66"/>
        <v>20646.089337721278</v>
      </c>
      <c r="Y393" s="192">
        <f t="shared" si="64"/>
        <v>-8.8728096455501504E-3</v>
      </c>
    </row>
    <row r="394" spans="1:25" ht="14.4">
      <c r="A394" s="187">
        <f t="shared" si="65"/>
        <v>45846</v>
      </c>
      <c r="B394" s="182">
        <v>12262113.500657234</v>
      </c>
      <c r="C394" s="182">
        <v>492743.69023440371</v>
      </c>
      <c r="D394" s="182">
        <v>11769369.81042283</v>
      </c>
      <c r="E394" s="182">
        <v>0</v>
      </c>
      <c r="F394" s="189">
        <f t="shared" si="61"/>
        <v>0</v>
      </c>
      <c r="G394" s="182">
        <v>12262113.500657234</v>
      </c>
      <c r="H394" s="182"/>
      <c r="I394" s="182">
        <v>11769369.81042283</v>
      </c>
      <c r="J394" s="182"/>
      <c r="K394" s="182">
        <v>11198728.609669682</v>
      </c>
      <c r="L394" s="182"/>
      <c r="M394" s="182">
        <v>11198728.609669682</v>
      </c>
      <c r="N394" s="182">
        <v>0</v>
      </c>
      <c r="O394" s="182">
        <v>11691472.299904086</v>
      </c>
      <c r="P394" s="182">
        <v>492743.69023440371</v>
      </c>
      <c r="Q394" s="182">
        <v>9.2518740475437955E-3</v>
      </c>
      <c r="R394" s="182">
        <v>0</v>
      </c>
      <c r="S394" s="182">
        <f t="shared" si="67"/>
        <v>112716436.49684978</v>
      </c>
      <c r="T394" s="192">
        <f t="shared" si="63"/>
        <v>4.472198167118302E-3</v>
      </c>
      <c r="W394" s="182">
        <v>5460372.3790353136</v>
      </c>
      <c r="X394" s="183">
        <f t="shared" si="66"/>
        <v>20642.628134596827</v>
      </c>
      <c r="Y394" s="192">
        <f t="shared" si="64"/>
        <v>-8.53201549780358E-3</v>
      </c>
    </row>
    <row r="395" spans="1:25" ht="14.4">
      <c r="A395" s="187">
        <f t="shared" si="65"/>
        <v>45877</v>
      </c>
      <c r="B395" s="182">
        <v>12480613.887721861</v>
      </c>
      <c r="C395" s="182">
        <v>520802.80551210383</v>
      </c>
      <c r="D395" s="182">
        <v>11959811.082209757</v>
      </c>
      <c r="E395" s="182">
        <v>0</v>
      </c>
      <c r="F395" s="189">
        <f t="shared" si="61"/>
        <v>0</v>
      </c>
      <c r="G395" s="182">
        <v>12480613.887721861</v>
      </c>
      <c r="H395" s="182"/>
      <c r="I395" s="182">
        <v>11959811.082209757</v>
      </c>
      <c r="J395" s="182"/>
      <c r="K395" s="182">
        <v>11347181.45357188</v>
      </c>
      <c r="L395" s="182"/>
      <c r="M395" s="182">
        <v>11347181.45357188</v>
      </c>
      <c r="N395" s="182">
        <v>0</v>
      </c>
      <c r="O395" s="182">
        <v>11867984.259083984</v>
      </c>
      <c r="P395" s="182">
        <v>520802.80551210383</v>
      </c>
      <c r="Q395" s="182">
        <v>9.2719134980332463E-3</v>
      </c>
      <c r="R395" s="182">
        <v>0</v>
      </c>
      <c r="S395" s="182">
        <f t="shared" si="67"/>
        <v>112820680.04457654</v>
      </c>
      <c r="T395" s="192">
        <f t="shared" si="63"/>
        <v>4.808057371038732E-3</v>
      </c>
      <c r="W395" s="182">
        <v>5466260.3873963822</v>
      </c>
      <c r="X395" s="183">
        <f t="shared" si="66"/>
        <v>20639.463188528018</v>
      </c>
      <c r="Y395" s="192">
        <f t="shared" si="64"/>
        <v>-8.1841348314668494E-3</v>
      </c>
    </row>
    <row r="396" spans="1:25" ht="14.4">
      <c r="A396" s="187">
        <f t="shared" si="65"/>
        <v>45908</v>
      </c>
      <c r="B396" s="182">
        <v>11485366.819016553</v>
      </c>
      <c r="C396" s="182">
        <v>501163.70672470448</v>
      </c>
      <c r="D396" s="182">
        <v>10984203.112291848</v>
      </c>
      <c r="E396" s="182">
        <v>0</v>
      </c>
      <c r="F396" s="189">
        <f t="shared" si="61"/>
        <v>0</v>
      </c>
      <c r="G396" s="182">
        <v>11485366.819016553</v>
      </c>
      <c r="H396" s="182"/>
      <c r="I396" s="182">
        <v>10984203.112291848</v>
      </c>
      <c r="J396" s="182"/>
      <c r="K396" s="182">
        <v>10421570.255999029</v>
      </c>
      <c r="L396" s="182"/>
      <c r="M396" s="182">
        <v>10421570.255999029</v>
      </c>
      <c r="N396" s="182">
        <v>0</v>
      </c>
      <c r="O396" s="182">
        <v>10922733.962723734</v>
      </c>
      <c r="P396" s="182">
        <v>501163.70672470448</v>
      </c>
      <c r="Q396" s="182">
        <v>9.0757473723712678E-3</v>
      </c>
      <c r="R396" s="182">
        <v>0</v>
      </c>
      <c r="S396" s="182">
        <f t="shared" si="67"/>
        <v>112914412.88783747</v>
      </c>
      <c r="T396" s="192">
        <f t="shared" si="63"/>
        <v>5.1616771296636443E-3</v>
      </c>
      <c r="W396" s="182">
        <v>5472147.5063636675</v>
      </c>
      <c r="X396" s="183">
        <f t="shared" si="66"/>
        <v>20634.38764333876</v>
      </c>
      <c r="Y396" s="192">
        <f t="shared" si="64"/>
        <v>-7.8188713588251968E-3</v>
      </c>
    </row>
    <row r="397" spans="1:25" ht="14.4">
      <c r="A397" s="187">
        <f t="shared" si="65"/>
        <v>45938</v>
      </c>
      <c r="B397" s="182">
        <v>10773915.98127008</v>
      </c>
      <c r="C397" s="182">
        <v>459081.22618679854</v>
      </c>
      <c r="D397" s="182">
        <v>10314834.755083282</v>
      </c>
      <c r="E397" s="182">
        <v>0</v>
      </c>
      <c r="F397" s="189">
        <f t="shared" si="61"/>
        <v>0</v>
      </c>
      <c r="G397" s="182">
        <v>10773915.98127008</v>
      </c>
      <c r="H397" s="182"/>
      <c r="I397" s="182">
        <v>10314834.755083282</v>
      </c>
      <c r="J397" s="182"/>
      <c r="K397" s="182">
        <v>9786746.4177172929</v>
      </c>
      <c r="L397" s="182"/>
      <c r="M397" s="182">
        <v>9786746.4177172929</v>
      </c>
      <c r="N397" s="182">
        <v>0</v>
      </c>
      <c r="O397" s="182">
        <v>10245827.643904092</v>
      </c>
      <c r="P397" s="182">
        <v>459081.22618679854</v>
      </c>
      <c r="Q397" s="182">
        <v>8.8039259959236116E-3</v>
      </c>
      <c r="R397" s="182">
        <v>0</v>
      </c>
      <c r="S397" s="182">
        <f t="shared" si="67"/>
        <v>112999822.73704815</v>
      </c>
      <c r="T397" s="192">
        <f t="shared" si="63"/>
        <v>5.5351771697751406E-3</v>
      </c>
      <c r="W397" s="182">
        <v>5478033.5325776841</v>
      </c>
      <c r="X397" s="183">
        <f t="shared" si="66"/>
        <v>20627.807782672731</v>
      </c>
      <c r="Y397" s="192">
        <f t="shared" si="64"/>
        <v>-7.4341516702436383E-3</v>
      </c>
    </row>
    <row r="398" spans="1:25" ht="14.4">
      <c r="A398" s="187">
        <f t="shared" si="65"/>
        <v>45969</v>
      </c>
      <c r="B398" s="182">
        <v>8993451.7034586482</v>
      </c>
      <c r="C398" s="182">
        <v>411384.26362959412</v>
      </c>
      <c r="D398" s="182">
        <v>8582067.4398290534</v>
      </c>
      <c r="E398" s="182">
        <v>0</v>
      </c>
      <c r="F398" s="189">
        <f t="shared" si="61"/>
        <v>0</v>
      </c>
      <c r="G398" s="182">
        <v>8993451.7034586482</v>
      </c>
      <c r="H398" s="182"/>
      <c r="I398" s="182">
        <v>8582067.4398290534</v>
      </c>
      <c r="J398" s="182"/>
      <c r="K398" s="182">
        <v>8190373.1979709333</v>
      </c>
      <c r="L398" s="182"/>
      <c r="M398" s="182">
        <v>8190373.1979709333</v>
      </c>
      <c r="N398" s="182">
        <v>0</v>
      </c>
      <c r="O398" s="182">
        <v>8601757.4616005272</v>
      </c>
      <c r="P398" s="182">
        <v>411384.26362959412</v>
      </c>
      <c r="Q398" s="182">
        <v>8.2963773795070583E-3</v>
      </c>
      <c r="R398" s="182">
        <v>0</v>
      </c>
      <c r="S398" s="182">
        <f t="shared" si="67"/>
        <v>113067214.06012912</v>
      </c>
      <c r="T398" s="192">
        <f t="shared" si="63"/>
        <v>5.9300449349612983E-3</v>
      </c>
      <c r="W398" s="182">
        <v>5483918.0204521408</v>
      </c>
      <c r="X398" s="183">
        <f t="shared" si="66"/>
        <v>20617.962128253494</v>
      </c>
      <c r="Y398" s="192">
        <f t="shared" si="64"/>
        <v>-7.0285465777060185E-3</v>
      </c>
    </row>
    <row r="399" spans="1:25" ht="14.4">
      <c r="A399" s="187">
        <f t="shared" si="65"/>
        <v>45999</v>
      </c>
      <c r="B399" s="182">
        <v>9268461.8463639636</v>
      </c>
      <c r="C399" s="182">
        <v>391169.3702125845</v>
      </c>
      <c r="D399" s="182">
        <v>8877292.4761513788</v>
      </c>
      <c r="E399" s="182">
        <v>0</v>
      </c>
      <c r="F399" s="189">
        <f t="shared" si="61"/>
        <v>0</v>
      </c>
      <c r="G399" s="182">
        <v>9268461.8463639636</v>
      </c>
      <c r="H399" s="182"/>
      <c r="I399" s="182">
        <v>8877292.4761513788</v>
      </c>
      <c r="J399" s="182"/>
      <c r="K399" s="182">
        <v>8433996.3070672154</v>
      </c>
      <c r="L399" s="182"/>
      <c r="M399" s="182">
        <v>8433996.3070672154</v>
      </c>
      <c r="N399" s="182">
        <v>0</v>
      </c>
      <c r="O399" s="182">
        <v>8825165.6772798002</v>
      </c>
      <c r="P399" s="182">
        <v>391169.3702125845</v>
      </c>
      <c r="Q399" s="182">
        <v>8.2526477660886943E-3</v>
      </c>
      <c r="R399" s="182">
        <v>0</v>
      </c>
      <c r="S399" s="182">
        <f t="shared" si="67"/>
        <v>113136247.15509489</v>
      </c>
      <c r="T399" s="192">
        <f t="shared" si="63"/>
        <v>6.3190673163975308E-3</v>
      </c>
      <c r="W399" s="182">
        <v>5489800.7663489617</v>
      </c>
      <c r="X399" s="183">
        <f t="shared" si="66"/>
        <v>20608.443178592272</v>
      </c>
      <c r="Y399" s="192">
        <f t="shared" si="64"/>
        <v>-6.628937619254871E-3</v>
      </c>
    </row>
    <row r="400" spans="1:25" ht="14.4">
      <c r="A400" s="187">
        <f t="shared" si="65"/>
        <v>46030</v>
      </c>
      <c r="B400" s="182">
        <v>9360668.7822538596</v>
      </c>
      <c r="C400" s="182">
        <v>388209.23690540204</v>
      </c>
      <c r="D400" s="182">
        <v>8972459.545348458</v>
      </c>
      <c r="E400" s="182">
        <v>0</v>
      </c>
      <c r="F400" s="189">
        <f t="shared" ref="F400:F463" si="68">SUM(E389:E399)</f>
        <v>0</v>
      </c>
      <c r="G400" s="182">
        <v>9360668.7822538596</v>
      </c>
      <c r="H400" s="182"/>
      <c r="I400" s="182">
        <v>8972459.545348458</v>
      </c>
      <c r="J400" s="182"/>
      <c r="K400" s="182">
        <v>8499720.1988670304</v>
      </c>
      <c r="L400" s="182"/>
      <c r="M400" s="182">
        <v>8499720.1988670304</v>
      </c>
      <c r="N400" s="182">
        <v>0</v>
      </c>
      <c r="O400" s="182">
        <v>8887929.435772432</v>
      </c>
      <c r="P400" s="182">
        <v>388209.23690540204</v>
      </c>
      <c r="Q400" s="182">
        <v>9.7126861109617657E-3</v>
      </c>
      <c r="R400" s="182">
        <v>0</v>
      </c>
      <c r="S400" s="182">
        <f t="shared" si="67"/>
        <v>113218008.15053266</v>
      </c>
      <c r="T400" s="192">
        <f t="shared" si="63"/>
        <v>6.6793609316260216E-3</v>
      </c>
      <c r="W400" s="182">
        <v>5495682.1270420393</v>
      </c>
      <c r="X400" s="183">
        <f t="shared" si="66"/>
        <v>20601.26578162744</v>
      </c>
      <c r="Y400" s="192">
        <f t="shared" si="64"/>
        <v>-6.2578868505518415E-3</v>
      </c>
    </row>
    <row r="401" spans="1:25" ht="14.4">
      <c r="A401" s="187">
        <f t="shared" si="65"/>
        <v>46061</v>
      </c>
      <c r="B401" s="182">
        <v>8407336.3121867143</v>
      </c>
      <c r="C401" s="182">
        <v>375195.29480792931</v>
      </c>
      <c r="D401" s="182">
        <v>8032141.0173787847</v>
      </c>
      <c r="E401" s="182">
        <v>0</v>
      </c>
      <c r="F401" s="189">
        <f t="shared" si="68"/>
        <v>0</v>
      </c>
      <c r="G401" s="182">
        <v>8407336.3121867143</v>
      </c>
      <c r="H401" s="182"/>
      <c r="I401" s="182">
        <v>8032141.0173787847</v>
      </c>
      <c r="J401" s="182"/>
      <c r="K401" s="182">
        <v>7610094.106332738</v>
      </c>
      <c r="L401" s="182"/>
      <c r="M401" s="182">
        <v>7610094.106332738</v>
      </c>
      <c r="N401" s="182">
        <v>0</v>
      </c>
      <c r="O401" s="182">
        <v>7985289.4011406675</v>
      </c>
      <c r="P401" s="182">
        <v>375195.29480792931</v>
      </c>
      <c r="Q401" s="182">
        <v>9.6052664063026594E-3</v>
      </c>
      <c r="R401" s="182">
        <v>0</v>
      </c>
      <c r="S401" s="182">
        <f t="shared" si="67"/>
        <v>113290409.69567175</v>
      </c>
      <c r="T401" s="192">
        <f t="shared" si="63"/>
        <v>8.9051222721028278E-3</v>
      </c>
      <c r="W401" s="182">
        <v>5501562.0326129859</v>
      </c>
      <c r="X401" s="183">
        <f t="shared" si="66"/>
        <v>20592.407942342892</v>
      </c>
      <c r="Y401" s="192">
        <f t="shared" si="64"/>
        <v>-4.0455218518578029E-3</v>
      </c>
    </row>
    <row r="402" spans="1:25" ht="14.4">
      <c r="A402" s="187">
        <f t="shared" si="65"/>
        <v>46090</v>
      </c>
      <c r="B402" s="182">
        <v>9498385.9701283537</v>
      </c>
      <c r="C402" s="182">
        <v>442631.69420369016</v>
      </c>
      <c r="D402" s="182">
        <v>9055754.275924664</v>
      </c>
      <c r="E402" s="182">
        <v>0</v>
      </c>
      <c r="F402" s="189">
        <f t="shared" si="68"/>
        <v>0</v>
      </c>
      <c r="G402" s="182">
        <v>9498385.9701283537</v>
      </c>
      <c r="H402" s="182"/>
      <c r="I402" s="182">
        <v>9055754.275924664</v>
      </c>
      <c r="J402" s="182"/>
      <c r="K402" s="182">
        <v>8587526.9363186173</v>
      </c>
      <c r="L402" s="182"/>
      <c r="M402" s="182">
        <v>8587526.9363186173</v>
      </c>
      <c r="N402" s="182">
        <v>0</v>
      </c>
      <c r="O402" s="182">
        <v>9030158.630522307</v>
      </c>
      <c r="P402" s="182">
        <v>442631.69420369016</v>
      </c>
      <c r="Q402" s="182">
        <v>1.0282004466045436E-2</v>
      </c>
      <c r="R402" s="182">
        <v>0</v>
      </c>
      <c r="S402" s="182">
        <f t="shared" si="67"/>
        <v>113377808.05565557</v>
      </c>
      <c r="T402" s="192">
        <f t="shared" si="63"/>
        <v>9.124293792517113E-3</v>
      </c>
      <c r="W402" s="182">
        <v>5507440.0925818617</v>
      </c>
      <c r="X402" s="183">
        <f t="shared" si="66"/>
        <v>20586.29892467965</v>
      </c>
      <c r="Y402" s="192">
        <f t="shared" si="64"/>
        <v>-3.8142065314719087E-3</v>
      </c>
    </row>
    <row r="403" spans="1:25" ht="14.4">
      <c r="A403" s="187">
        <f t="shared" si="65"/>
        <v>46121</v>
      </c>
      <c r="B403" s="182">
        <v>9782370.2427731715</v>
      </c>
      <c r="C403" s="182">
        <v>481113.98965737707</v>
      </c>
      <c r="D403" s="182">
        <v>9301256.2531157937</v>
      </c>
      <c r="E403" s="182">
        <v>0</v>
      </c>
      <c r="F403" s="189">
        <f t="shared" si="68"/>
        <v>0</v>
      </c>
      <c r="G403" s="182">
        <v>9782370.2427731715</v>
      </c>
      <c r="H403" s="182"/>
      <c r="I403" s="182">
        <v>9301256.2531157937</v>
      </c>
      <c r="J403" s="182"/>
      <c r="K403" s="182">
        <v>8854617.4250241164</v>
      </c>
      <c r="L403" s="182"/>
      <c r="M403" s="182">
        <v>8854617.4250241164</v>
      </c>
      <c r="N403" s="182">
        <v>0</v>
      </c>
      <c r="O403" s="182">
        <v>9335731.4146814942</v>
      </c>
      <c r="P403" s="182">
        <v>481113.98965737707</v>
      </c>
      <c r="Q403" s="182">
        <v>1.0689410957450685E-2</v>
      </c>
      <c r="R403" s="182">
        <v>0</v>
      </c>
      <c r="S403" s="182">
        <f t="shared" si="67"/>
        <v>113471457.64127597</v>
      </c>
      <c r="T403" s="192">
        <f t="shared" si="63"/>
        <v>9.2809774145845569E-3</v>
      </c>
      <c r="W403" s="182">
        <v>5513318.588712086</v>
      </c>
      <c r="X403" s="183">
        <f t="shared" si="66"/>
        <v>20581.335146058187</v>
      </c>
      <c r="Y403" s="192">
        <f t="shared" si="64"/>
        <v>-3.644637133492834E-3</v>
      </c>
    </row>
    <row r="404" spans="1:25" ht="14.4">
      <c r="A404" s="187">
        <f t="shared" si="65"/>
        <v>46151</v>
      </c>
      <c r="B404" s="182">
        <v>11134338.92436626</v>
      </c>
      <c r="C404" s="182">
        <v>496123.65831863193</v>
      </c>
      <c r="D404" s="182">
        <v>10638215.266047629</v>
      </c>
      <c r="E404" s="182">
        <v>0</v>
      </c>
      <c r="F404" s="189">
        <f t="shared" si="68"/>
        <v>0</v>
      </c>
      <c r="G404" s="182">
        <v>11134338.92436626</v>
      </c>
      <c r="H404" s="182"/>
      <c r="I404" s="182">
        <v>10638215.266047629</v>
      </c>
      <c r="J404" s="182"/>
      <c r="K404" s="182">
        <v>10152927.31573049</v>
      </c>
      <c r="L404" s="182"/>
      <c r="M404" s="182">
        <v>10152927.31573049</v>
      </c>
      <c r="N404" s="182">
        <v>0</v>
      </c>
      <c r="O404" s="182">
        <v>10649050.974049121</v>
      </c>
      <c r="P404" s="182">
        <v>496123.65831863193</v>
      </c>
      <c r="Q404" s="182">
        <v>1.0912507503403113E-2</v>
      </c>
      <c r="R404" s="182">
        <v>0</v>
      </c>
      <c r="S404" s="182">
        <f t="shared" si="67"/>
        <v>113581055.54880214</v>
      </c>
      <c r="T404" s="192">
        <f t="shared" si="63"/>
        <v>9.4503479422667347E-3</v>
      </c>
      <c r="W404" s="182">
        <v>5519198.95555213</v>
      </c>
      <c r="X404" s="183">
        <f t="shared" si="66"/>
        <v>20579.264575078123</v>
      </c>
      <c r="Y404" s="192">
        <f t="shared" si="64"/>
        <v>-3.4624856854628128E-3</v>
      </c>
    </row>
    <row r="405" spans="1:25" ht="14.4">
      <c r="A405" s="187">
        <f t="shared" si="65"/>
        <v>46182</v>
      </c>
      <c r="B405" s="182">
        <v>11645875.535154231</v>
      </c>
      <c r="C405" s="182">
        <v>516900.56638449547</v>
      </c>
      <c r="D405" s="182">
        <v>11128974.968769735</v>
      </c>
      <c r="E405" s="182">
        <v>0</v>
      </c>
      <c r="F405" s="189">
        <f t="shared" si="68"/>
        <v>0</v>
      </c>
      <c r="G405" s="182">
        <v>11645875.535154231</v>
      </c>
      <c r="H405" s="182"/>
      <c r="I405" s="182">
        <v>11128974.968769735</v>
      </c>
      <c r="J405" s="182"/>
      <c r="K405" s="182">
        <v>10614405.140645918</v>
      </c>
      <c r="L405" s="182"/>
      <c r="M405" s="182">
        <v>10614405.140645918</v>
      </c>
      <c r="N405" s="182">
        <v>0</v>
      </c>
      <c r="O405" s="182">
        <v>11131305.707030414</v>
      </c>
      <c r="P405" s="182">
        <v>516900.56638449547</v>
      </c>
      <c r="Q405" s="182">
        <v>1.1129411769837061E-2</v>
      </c>
      <c r="R405" s="182">
        <v>0</v>
      </c>
      <c r="S405" s="182">
        <f t="shared" si="67"/>
        <v>113697887.36491495</v>
      </c>
      <c r="T405" s="192">
        <f t="shared" si="63"/>
        <v>9.6267999420394101E-3</v>
      </c>
      <c r="W405" s="182">
        <v>5525079.7238046965</v>
      </c>
      <c r="X405" s="183">
        <f t="shared" si="66"/>
        <v>20578.506202372042</v>
      </c>
      <c r="Y405" s="192">
        <f t="shared" si="64"/>
        <v>-3.2734109711400894E-3</v>
      </c>
    </row>
    <row r="406" spans="1:25" ht="14.4">
      <c r="A406" s="187">
        <f t="shared" si="65"/>
        <v>46212</v>
      </c>
      <c r="B406" s="182">
        <v>12399834.648407172</v>
      </c>
      <c r="C406" s="182">
        <v>499876.1800032988</v>
      </c>
      <c r="D406" s="182">
        <v>11899958.468403874</v>
      </c>
      <c r="E406" s="182">
        <v>0</v>
      </c>
      <c r="F406" s="189">
        <f t="shared" si="68"/>
        <v>0</v>
      </c>
      <c r="G406" s="182">
        <v>12399834.648407172</v>
      </c>
      <c r="H406" s="182"/>
      <c r="I406" s="182">
        <v>11899958.468403874</v>
      </c>
      <c r="J406" s="182"/>
      <c r="K406" s="182">
        <v>11322908.147304798</v>
      </c>
      <c r="L406" s="182"/>
      <c r="M406" s="182">
        <v>11322908.147304798</v>
      </c>
      <c r="N406" s="182">
        <v>0</v>
      </c>
      <c r="O406" s="182">
        <v>11822784.327308096</v>
      </c>
      <c r="P406" s="182">
        <v>499876.1800032988</v>
      </c>
      <c r="Q406" s="182">
        <v>1.1088717475293608E-2</v>
      </c>
      <c r="R406" s="182">
        <v>0</v>
      </c>
      <c r="S406" s="182">
        <f t="shared" si="67"/>
        <v>113822066.90255007</v>
      </c>
      <c r="T406" s="192">
        <f t="shared" si="63"/>
        <v>9.8089545771897768E-3</v>
      </c>
      <c r="W406" s="182">
        <v>5530961.319214345</v>
      </c>
      <c r="X406" s="183">
        <f t="shared" si="66"/>
        <v>20579.074835894557</v>
      </c>
      <c r="Y406" s="192">
        <f t="shared" si="64"/>
        <v>-3.0787406665412353E-3</v>
      </c>
    </row>
    <row r="407" spans="1:25" ht="14.4">
      <c r="A407" s="187">
        <f t="shared" si="65"/>
        <v>46243</v>
      </c>
      <c r="B407" s="182">
        <v>12621519.314186119</v>
      </c>
      <c r="C407" s="182">
        <v>528358.39337559184</v>
      </c>
      <c r="D407" s="182">
        <v>12093160.920810526</v>
      </c>
      <c r="E407" s="182">
        <v>0</v>
      </c>
      <c r="F407" s="189">
        <f t="shared" si="68"/>
        <v>0</v>
      </c>
      <c r="G407" s="182">
        <v>12621519.314186119</v>
      </c>
      <c r="H407" s="182"/>
      <c r="I407" s="182">
        <v>12093160.920810526</v>
      </c>
      <c r="J407" s="182"/>
      <c r="K407" s="182">
        <v>11473614.738238329</v>
      </c>
      <c r="L407" s="182"/>
      <c r="M407" s="182">
        <v>11473614.738238329</v>
      </c>
      <c r="N407" s="182">
        <v>0</v>
      </c>
      <c r="O407" s="182">
        <v>12001973.131613921</v>
      </c>
      <c r="P407" s="182">
        <v>528358.39337559184</v>
      </c>
      <c r="Q407" s="182">
        <v>1.1142263405565789E-2</v>
      </c>
      <c r="R407" s="182">
        <v>0</v>
      </c>
      <c r="S407" s="182">
        <f t="shared" si="67"/>
        <v>113948500.18721652</v>
      </c>
      <c r="T407" s="192">
        <f t="shared" si="63"/>
        <v>9.9965728108921681E-3</v>
      </c>
      <c r="W407" s="182">
        <v>5536843.1452130331</v>
      </c>
      <c r="X407" s="183">
        <f t="shared" si="66"/>
        <v>20580.048449761944</v>
      </c>
      <c r="Y407" s="192">
        <f t="shared" si="64"/>
        <v>-2.8786959342576024E-3</v>
      </c>
    </row>
    <row r="408" spans="1:25" ht="14.4">
      <c r="A408" s="187">
        <f t="shared" si="65"/>
        <v>46274</v>
      </c>
      <c r="B408" s="182">
        <v>11614718.177718243</v>
      </c>
      <c r="C408" s="182">
        <v>508462.96698054846</v>
      </c>
      <c r="D408" s="182">
        <v>11106255.210737694</v>
      </c>
      <c r="E408" s="182">
        <v>0</v>
      </c>
      <c r="F408" s="189">
        <f t="shared" si="68"/>
        <v>0</v>
      </c>
      <c r="G408" s="182">
        <v>11614718.177718243</v>
      </c>
      <c r="H408" s="182"/>
      <c r="I408" s="182">
        <v>11106255.210737694</v>
      </c>
      <c r="J408" s="182"/>
      <c r="K408" s="182">
        <v>10537285.828536864</v>
      </c>
      <c r="L408" s="182"/>
      <c r="M408" s="182">
        <v>10537285.828536864</v>
      </c>
      <c r="N408" s="182">
        <v>0</v>
      </c>
      <c r="O408" s="182">
        <v>11045748.795517413</v>
      </c>
      <c r="P408" s="182">
        <v>508462.96698054846</v>
      </c>
      <c r="Q408" s="182">
        <v>1.1103468066266275E-2</v>
      </c>
      <c r="R408" s="182">
        <v>0</v>
      </c>
      <c r="S408" s="182">
        <f t="shared" si="67"/>
        <v>114064215.75975436</v>
      </c>
      <c r="T408" s="192">
        <f t="shared" si="63"/>
        <v>1.0182959309712247E-2</v>
      </c>
      <c r="W408" s="182">
        <v>5542724.4123167684</v>
      </c>
      <c r="X408" s="183">
        <f t="shared" si="66"/>
        <v>20579.088418375355</v>
      </c>
      <c r="Y408" s="192">
        <f t="shared" si="64"/>
        <v>-2.6799547395949253E-3</v>
      </c>
    </row>
    <row r="409" spans="1:25" ht="14.4">
      <c r="A409" s="187">
        <f t="shared" si="65"/>
        <v>46304</v>
      </c>
      <c r="B409" s="182">
        <v>10894811.574352786</v>
      </c>
      <c r="C409" s="182">
        <v>465765.69794777746</v>
      </c>
      <c r="D409" s="182">
        <v>10429045.876405008</v>
      </c>
      <c r="E409" s="182">
        <v>0</v>
      </c>
      <c r="F409" s="189">
        <f t="shared" si="68"/>
        <v>0</v>
      </c>
      <c r="G409" s="182">
        <v>10894811.574352786</v>
      </c>
      <c r="H409" s="182"/>
      <c r="I409" s="182">
        <v>10429045.876405008</v>
      </c>
      <c r="J409" s="182"/>
      <c r="K409" s="182">
        <v>9895031.7871715557</v>
      </c>
      <c r="L409" s="182"/>
      <c r="M409" s="182">
        <v>9895031.7871715557</v>
      </c>
      <c r="N409" s="182">
        <v>0</v>
      </c>
      <c r="O409" s="182">
        <v>10360797.485119333</v>
      </c>
      <c r="P409" s="182">
        <v>465765.69794777746</v>
      </c>
      <c r="Q409" s="182">
        <v>1.106449118352848E-2</v>
      </c>
      <c r="R409" s="182">
        <v>0</v>
      </c>
      <c r="S409" s="182">
        <f t="shared" si="67"/>
        <v>114172501.12920862</v>
      </c>
      <c r="T409" s="192">
        <f t="shared" si="63"/>
        <v>1.0377701165862119E-2</v>
      </c>
      <c r="W409" s="182">
        <v>5548604.9885698324</v>
      </c>
      <c r="X409" s="183">
        <f t="shared" si="66"/>
        <v>20576.793872406637</v>
      </c>
      <c r="Y409" s="192">
        <f t="shared" si="64"/>
        <v>-2.4730650393661735E-3</v>
      </c>
    </row>
    <row r="410" spans="1:25" ht="14.4">
      <c r="A410" s="187">
        <f t="shared" si="65"/>
        <v>46335</v>
      </c>
      <c r="B410" s="182">
        <v>9095776.1146377921</v>
      </c>
      <c r="C410" s="182">
        <v>417388.99624929787</v>
      </c>
      <c r="D410" s="182">
        <v>8678387.1183884945</v>
      </c>
      <c r="E410" s="182">
        <v>0</v>
      </c>
      <c r="F410" s="189">
        <f t="shared" si="68"/>
        <v>0</v>
      </c>
      <c r="G410" s="182">
        <v>9095776.1146377921</v>
      </c>
      <c r="H410" s="182"/>
      <c r="I410" s="182">
        <v>8678387.1183884945</v>
      </c>
      <c r="J410" s="182"/>
      <c r="K410" s="182">
        <v>8282236.3136908822</v>
      </c>
      <c r="L410" s="182"/>
      <c r="M410" s="182">
        <v>8282236.3136908822</v>
      </c>
      <c r="N410" s="182">
        <v>0</v>
      </c>
      <c r="O410" s="182">
        <v>8699625.3099401798</v>
      </c>
      <c r="P410" s="182">
        <v>417388.99624929787</v>
      </c>
      <c r="Q410" s="182">
        <v>1.1215986561236013E-2</v>
      </c>
      <c r="R410" s="182">
        <v>0</v>
      </c>
      <c r="S410" s="182">
        <f t="shared" si="67"/>
        <v>114264364.24492857</v>
      </c>
      <c r="T410" s="192">
        <f t="shared" si="63"/>
        <v>1.0587951553867825E-2</v>
      </c>
      <c r="W410" s="182">
        <v>5554484.5741387447</v>
      </c>
      <c r="X410" s="183">
        <f t="shared" si="66"/>
        <v>20571.551278931391</v>
      </c>
      <c r="Y410" s="192">
        <f t="shared" si="64"/>
        <v>-2.2509911034566121E-3</v>
      </c>
    </row>
    <row r="411" spans="1:25" ht="14.4">
      <c r="A411" s="187">
        <f t="shared" si="65"/>
        <v>46365</v>
      </c>
      <c r="B411" s="182">
        <v>9375180.0569366943</v>
      </c>
      <c r="C411" s="182">
        <v>396865.59462921129</v>
      </c>
      <c r="D411" s="182">
        <v>8978314.462307483</v>
      </c>
      <c r="E411" s="182">
        <v>0</v>
      </c>
      <c r="F411" s="189">
        <f t="shared" si="68"/>
        <v>0</v>
      </c>
      <c r="G411" s="182">
        <v>9375180.0569366943</v>
      </c>
      <c r="H411" s="182"/>
      <c r="I411" s="182">
        <v>8978314.462307483</v>
      </c>
      <c r="J411" s="182"/>
      <c r="K411" s="182">
        <v>8529914.1265662629</v>
      </c>
      <c r="L411" s="182"/>
      <c r="M411" s="182">
        <v>8529914.1265662629</v>
      </c>
      <c r="N411" s="182">
        <v>0</v>
      </c>
      <c r="O411" s="182">
        <v>8926779.7211954743</v>
      </c>
      <c r="P411" s="182">
        <v>396865.59462921129</v>
      </c>
      <c r="Q411" s="182">
        <v>1.1372760433707274E-2</v>
      </c>
      <c r="R411" s="182">
        <v>0</v>
      </c>
      <c r="S411" s="182">
        <f t="shared" si="67"/>
        <v>114360282.0644276</v>
      </c>
      <c r="T411" s="192">
        <f t="shared" si="63"/>
        <v>1.0819122430804295E-2</v>
      </c>
      <c r="W411" s="182">
        <v>5560363.0364645999</v>
      </c>
      <c r="X411" s="183">
        <f t="shared" si="66"/>
        <v>20567.053142835859</v>
      </c>
      <c r="Y411" s="192">
        <f t="shared" si="64"/>
        <v>-2.0084018670274428E-3</v>
      </c>
    </row>
    <row r="412" spans="1:25" ht="14.4">
      <c r="A412" s="187">
        <f t="shared" si="65"/>
        <v>46396</v>
      </c>
      <c r="B412" s="182">
        <v>9496057.1962064449</v>
      </c>
      <c r="C412" s="182">
        <v>393860.53811954096</v>
      </c>
      <c r="D412" s="182">
        <v>9102196.6580869034</v>
      </c>
      <c r="E412" s="182">
        <v>0</v>
      </c>
      <c r="F412" s="189">
        <f t="shared" si="68"/>
        <v>0</v>
      </c>
      <c r="G412" s="182">
        <v>9496057.1962064449</v>
      </c>
      <c r="H412" s="182"/>
      <c r="I412" s="182">
        <v>9102196.6580869034</v>
      </c>
      <c r="J412" s="182"/>
      <c r="K412" s="182">
        <v>8622619.8268250674</v>
      </c>
      <c r="L412" s="182"/>
      <c r="M412" s="182">
        <v>8622619.8268250674</v>
      </c>
      <c r="N412" s="182">
        <v>0</v>
      </c>
      <c r="O412" s="182">
        <v>9016480.3649446089</v>
      </c>
      <c r="P412" s="182">
        <v>393860.53811954096</v>
      </c>
      <c r="Q412" s="182">
        <v>1.4459255726372966E-2</v>
      </c>
      <c r="R412" s="182">
        <v>0</v>
      </c>
      <c r="S412" s="182">
        <f t="shared" si="67"/>
        <v>114483181.69238564</v>
      </c>
      <c r="T412" s="192">
        <f t="shared" si="63"/>
        <v>1.1174667020910967E-2</v>
      </c>
      <c r="W412" s="182">
        <v>5566240.6307094442</v>
      </c>
      <c r="X412" s="183">
        <f t="shared" si="66"/>
        <v>20567.415116905253</v>
      </c>
      <c r="Y412" s="192">
        <f t="shared" si="64"/>
        <v>-1.6431351879541145E-3</v>
      </c>
    </row>
    <row r="413" spans="1:25" ht="14.4">
      <c r="A413" s="187">
        <f t="shared" si="65"/>
        <v>46427</v>
      </c>
      <c r="B413" s="182">
        <v>8516244.598528726</v>
      </c>
      <c r="C413" s="182">
        <v>380661.1922276761</v>
      </c>
      <c r="D413" s="182">
        <v>8135583.4063010495</v>
      </c>
      <c r="E413" s="182">
        <v>0</v>
      </c>
      <c r="F413" s="189">
        <f t="shared" si="68"/>
        <v>0</v>
      </c>
      <c r="G413" s="182">
        <v>8516244.598528726</v>
      </c>
      <c r="H413" s="182"/>
      <c r="I413" s="182">
        <v>8135583.4063010495</v>
      </c>
      <c r="J413" s="182"/>
      <c r="K413" s="182">
        <v>7708069.3170512076</v>
      </c>
      <c r="L413" s="182"/>
      <c r="M413" s="182">
        <v>7708069.3170512076</v>
      </c>
      <c r="N413" s="182">
        <v>0</v>
      </c>
      <c r="O413" s="182">
        <v>8088730.5092788842</v>
      </c>
      <c r="P413" s="182">
        <v>380661.1922276761</v>
      </c>
      <c r="Q413" s="182">
        <v>1.2874375710668184E-2</v>
      </c>
      <c r="R413" s="182">
        <v>0</v>
      </c>
      <c r="S413" s="182">
        <f t="shared" si="67"/>
        <v>114581156.90310411</v>
      </c>
      <c r="T413" s="192">
        <f t="shared" si="63"/>
        <v>1.1393261008585398E-2</v>
      </c>
      <c r="W413" s="182">
        <v>5572117.3164843209</v>
      </c>
      <c r="X413" s="183">
        <f t="shared" si="66"/>
        <v>20563.306620291707</v>
      </c>
      <c r="Y413" s="192">
        <f t="shared" si="64"/>
        <v>-1.4132063687095631E-3</v>
      </c>
    </row>
    <row r="414" spans="1:25" ht="14.4">
      <c r="A414" s="187">
        <f t="shared" si="65"/>
        <v>46456</v>
      </c>
      <c r="B414" s="182">
        <v>9608481.4791620933</v>
      </c>
      <c r="C414" s="182">
        <v>449086.00897111138</v>
      </c>
      <c r="D414" s="182">
        <v>9159395.4701909814</v>
      </c>
      <c r="E414" s="182">
        <v>0</v>
      </c>
      <c r="F414" s="189">
        <f t="shared" si="68"/>
        <v>0</v>
      </c>
      <c r="G414" s="182">
        <v>9608481.4791620933</v>
      </c>
      <c r="H414" s="182"/>
      <c r="I414" s="182">
        <v>9159395.4701909814</v>
      </c>
      <c r="J414" s="182"/>
      <c r="K414" s="182">
        <v>8685740.9214296583</v>
      </c>
      <c r="L414" s="182"/>
      <c r="M414" s="182">
        <v>8685740.9214296583</v>
      </c>
      <c r="N414" s="182">
        <v>0</v>
      </c>
      <c r="O414" s="182">
        <v>9134826.9304007702</v>
      </c>
      <c r="P414" s="182">
        <v>449086.00897111138</v>
      </c>
      <c r="Q414" s="182">
        <v>1.1436818287657635E-2</v>
      </c>
      <c r="R414" s="182">
        <v>0</v>
      </c>
      <c r="S414" s="182">
        <f t="shared" si="67"/>
        <v>114679370.88821515</v>
      </c>
      <c r="T414" s="192">
        <f t="shared" si="63"/>
        <v>1.1479872956448922E-2</v>
      </c>
      <c r="W414" s="182">
        <v>5577992.831317842</v>
      </c>
      <c r="X414" s="183">
        <f t="shared" si="66"/>
        <v>20559.253903006775</v>
      </c>
      <c r="Y414" s="192">
        <f t="shared" si="64"/>
        <v>-1.3137388984696408E-3</v>
      </c>
    </row>
    <row r="415" spans="1:25" ht="14.4">
      <c r="A415" s="187">
        <f t="shared" si="65"/>
        <v>46487</v>
      </c>
      <c r="B415" s="182">
        <v>9882383.8582069371</v>
      </c>
      <c r="C415" s="182">
        <v>488136.29057382263</v>
      </c>
      <c r="D415" s="182">
        <v>9394247.5676331148</v>
      </c>
      <c r="E415" s="182">
        <v>0</v>
      </c>
      <c r="F415" s="189">
        <f t="shared" si="68"/>
        <v>0</v>
      </c>
      <c r="G415" s="182">
        <v>9882383.8582069371</v>
      </c>
      <c r="H415" s="182"/>
      <c r="I415" s="182">
        <v>9394247.5676331148</v>
      </c>
      <c r="J415" s="182"/>
      <c r="K415" s="182">
        <v>8943042.3652495258</v>
      </c>
      <c r="L415" s="182"/>
      <c r="M415" s="182">
        <v>8943042.3652495258</v>
      </c>
      <c r="N415" s="182">
        <v>0</v>
      </c>
      <c r="O415" s="182">
        <v>9431178.6558233481</v>
      </c>
      <c r="P415" s="182">
        <v>488136.29057382263</v>
      </c>
      <c r="Q415" s="182">
        <v>9.9863083836362332E-3</v>
      </c>
      <c r="R415" s="182">
        <v>0</v>
      </c>
      <c r="S415" s="182">
        <f t="shared" si="67"/>
        <v>114767795.82844056</v>
      </c>
      <c r="T415" s="192">
        <f t="shared" si="63"/>
        <v>1.1424354759439037E-2</v>
      </c>
      <c r="W415" s="182">
        <v>5583868.7622894701</v>
      </c>
      <c r="X415" s="183">
        <f t="shared" si="66"/>
        <v>20553.455088973838</v>
      </c>
      <c r="Y415" s="192">
        <f t="shared" si="64"/>
        <v>-1.3546282049484715E-3</v>
      </c>
    </row>
    <row r="416" spans="1:25" ht="14.4">
      <c r="A416" s="187">
        <f t="shared" si="65"/>
        <v>46517</v>
      </c>
      <c r="B416" s="182">
        <v>11250090.152011517</v>
      </c>
      <c r="C416" s="182">
        <v>503345.49481536244</v>
      </c>
      <c r="D416" s="182">
        <v>10746744.657196155</v>
      </c>
      <c r="E416" s="182">
        <v>0</v>
      </c>
      <c r="F416" s="189">
        <f t="shared" si="68"/>
        <v>0</v>
      </c>
      <c r="G416" s="182">
        <v>11250090.152011517</v>
      </c>
      <c r="H416" s="182"/>
      <c r="I416" s="182">
        <v>10746744.657196155</v>
      </c>
      <c r="J416" s="182"/>
      <c r="K416" s="182">
        <v>10256411.712614674</v>
      </c>
      <c r="L416" s="182"/>
      <c r="M416" s="182">
        <v>10256411.712614674</v>
      </c>
      <c r="N416" s="182">
        <v>0</v>
      </c>
      <c r="O416" s="182">
        <v>10759757.207430037</v>
      </c>
      <c r="P416" s="182">
        <v>503345.49481536244</v>
      </c>
      <c r="Q416" s="182">
        <v>1.0192567489757387E-2</v>
      </c>
      <c r="R416" s="182">
        <v>0</v>
      </c>
      <c r="S416" s="182">
        <f t="shared" si="67"/>
        <v>114871280.22532475</v>
      </c>
      <c r="T416" s="192">
        <f t="shared" si="63"/>
        <v>1.1359505951837656E-2</v>
      </c>
      <c r="W416" s="182">
        <v>5589746.1098539168</v>
      </c>
      <c r="X416" s="183">
        <f t="shared" si="66"/>
        <v>20550.357380780362</v>
      </c>
      <c r="Y416" s="192">
        <f t="shared" si="64"/>
        <v>-1.404675769257957E-3</v>
      </c>
    </row>
    <row r="417" spans="1:25" ht="14.4">
      <c r="A417" s="187">
        <f t="shared" si="65"/>
        <v>46548</v>
      </c>
      <c r="B417" s="182">
        <v>11768593.901031414</v>
      </c>
      <c r="C417" s="182">
        <v>524414.62646647461</v>
      </c>
      <c r="D417" s="182">
        <v>11244179.274564939</v>
      </c>
      <c r="E417" s="182">
        <v>0</v>
      </c>
      <c r="F417" s="189">
        <f t="shared" si="68"/>
        <v>0</v>
      </c>
      <c r="G417" s="182">
        <v>11768593.901031414</v>
      </c>
      <c r="H417" s="182"/>
      <c r="I417" s="182">
        <v>11244179.274564939</v>
      </c>
      <c r="J417" s="182"/>
      <c r="K417" s="182">
        <v>10724187.168979334</v>
      </c>
      <c r="L417" s="182"/>
      <c r="M417" s="182">
        <v>10724187.168979334</v>
      </c>
      <c r="N417" s="182">
        <v>0</v>
      </c>
      <c r="O417" s="182">
        <v>11248601.795445809</v>
      </c>
      <c r="P417" s="182">
        <v>524414.62646647461</v>
      </c>
      <c r="Q417" s="182">
        <v>1.0342739595742945E-2</v>
      </c>
      <c r="R417" s="182">
        <v>0</v>
      </c>
      <c r="S417" s="182">
        <f t="shared" si="67"/>
        <v>114981062.25365816</v>
      </c>
      <c r="T417" s="192">
        <f t="shared" si="63"/>
        <v>1.12858287737998E-2</v>
      </c>
      <c r="W417" s="182">
        <v>5595623.8642391553</v>
      </c>
      <c r="X417" s="183">
        <f t="shared" si="66"/>
        <v>20548.390142605178</v>
      </c>
      <c r="Y417" s="192">
        <f t="shared" si="64"/>
        <v>-1.4634716179443563E-3</v>
      </c>
    </row>
    <row r="418" spans="1:25" ht="14.4">
      <c r="A418" s="187">
        <f t="shared" si="65"/>
        <v>46578</v>
      </c>
      <c r="B418" s="182">
        <v>12530200.284900384</v>
      </c>
      <c r="C418" s="182">
        <v>507112.47696448537</v>
      </c>
      <c r="D418" s="182">
        <v>12023087.807935899</v>
      </c>
      <c r="E418" s="182">
        <v>0</v>
      </c>
      <c r="F418" s="189">
        <f t="shared" si="68"/>
        <v>0</v>
      </c>
      <c r="G418" s="182">
        <v>12530200.284900384</v>
      </c>
      <c r="H418" s="182"/>
      <c r="I418" s="182">
        <v>12023087.807935899</v>
      </c>
      <c r="J418" s="182"/>
      <c r="K418" s="182">
        <v>11439970.669453224</v>
      </c>
      <c r="L418" s="182"/>
      <c r="M418" s="182">
        <v>11439970.669453224</v>
      </c>
      <c r="N418" s="182">
        <v>0</v>
      </c>
      <c r="O418" s="182">
        <v>11947083.146417709</v>
      </c>
      <c r="P418" s="182">
        <v>507112.47696448537</v>
      </c>
      <c r="Q418" s="182">
        <v>1.0338556192941661E-2</v>
      </c>
      <c r="R418" s="182">
        <v>0</v>
      </c>
      <c r="S418" s="182">
        <f t="shared" si="67"/>
        <v>115098124.77580658</v>
      </c>
      <c r="T418" s="192">
        <f t="shared" si="63"/>
        <v>1.121098841360002E-2</v>
      </c>
      <c r="W418" s="182">
        <v>5601502.3272554455</v>
      </c>
      <c r="X418" s="183">
        <f t="shared" si="66"/>
        <v>20547.724173168543</v>
      </c>
      <c r="Y418" s="192">
        <f t="shared" si="64"/>
        <v>-1.5234243024050409E-3</v>
      </c>
    </row>
    <row r="419" spans="1:25" ht="14.4">
      <c r="A419" s="187">
        <f t="shared" si="65"/>
        <v>46609</v>
      </c>
      <c r="B419" s="182">
        <v>12754241.225206008</v>
      </c>
      <c r="C419" s="182">
        <v>536024.1620903397</v>
      </c>
      <c r="D419" s="182">
        <v>12218217.063115668</v>
      </c>
      <c r="E419" s="182">
        <v>0</v>
      </c>
      <c r="F419" s="189">
        <f t="shared" si="68"/>
        <v>0</v>
      </c>
      <c r="G419" s="182">
        <v>12754241.225206008</v>
      </c>
      <c r="H419" s="182"/>
      <c r="I419" s="182">
        <v>12218217.063115668</v>
      </c>
      <c r="J419" s="182"/>
      <c r="K419" s="182">
        <v>11592156.026723646</v>
      </c>
      <c r="L419" s="182"/>
      <c r="M419" s="182">
        <v>11592156.026723646</v>
      </c>
      <c r="N419" s="182">
        <v>0</v>
      </c>
      <c r="O419" s="182">
        <v>12128180.188813984</v>
      </c>
      <c r="P419" s="182">
        <v>536024.1620903397</v>
      </c>
      <c r="Q419" s="182">
        <v>1.0331642746400638E-2</v>
      </c>
      <c r="R419" s="182">
        <v>0</v>
      </c>
      <c r="S419" s="182">
        <f t="shared" si="67"/>
        <v>115216666.06429189</v>
      </c>
      <c r="T419" s="192">
        <f t="shared" si="63"/>
        <v>1.112928976679628E-2</v>
      </c>
      <c r="W419" s="182">
        <v>5607381.212492465</v>
      </c>
      <c r="X419" s="183">
        <f t="shared" si="66"/>
        <v>20547.321770741248</v>
      </c>
      <c r="Y419" s="192">
        <f t="shared" si="64"/>
        <v>-1.5902138957828438E-3</v>
      </c>
    </row>
    <row r="420" spans="1:25" ht="14.4">
      <c r="A420" s="187">
        <f t="shared" si="65"/>
        <v>46640</v>
      </c>
      <c r="B420" s="182">
        <v>11733395.652776539</v>
      </c>
      <c r="C420" s="182">
        <v>515869.03354581952</v>
      </c>
      <c r="D420" s="182">
        <v>11217526.619230719</v>
      </c>
      <c r="E420" s="182">
        <v>0</v>
      </c>
      <c r="F420" s="189">
        <f t="shared" si="68"/>
        <v>0</v>
      </c>
      <c r="G420" s="182">
        <v>11733395.652776539</v>
      </c>
      <c r="H420" s="182"/>
      <c r="I420" s="182">
        <v>11217526.619230719</v>
      </c>
      <c r="J420" s="182"/>
      <c r="K420" s="182">
        <v>10642743.591908941</v>
      </c>
      <c r="L420" s="182"/>
      <c r="M420" s="182">
        <v>10642743.591908941</v>
      </c>
      <c r="N420" s="182">
        <v>0</v>
      </c>
      <c r="O420" s="182">
        <v>11158612.625454761</v>
      </c>
      <c r="P420" s="182">
        <v>515869.03354581952</v>
      </c>
      <c r="Q420" s="182">
        <v>1.0008057585994212E-2</v>
      </c>
      <c r="R420" s="182">
        <v>0</v>
      </c>
      <c r="S420" s="182">
        <f t="shared" si="67"/>
        <v>115322123.82766397</v>
      </c>
      <c r="T420" s="192">
        <f t="shared" ref="T420:T483" si="69">S420/S408-1</f>
        <v>1.102806922864441E-2</v>
      </c>
      <c r="W420" s="182">
        <v>5613259.9802444205</v>
      </c>
      <c r="X420" s="183">
        <f t="shared" si="66"/>
        <v>20544.589816529831</v>
      </c>
      <c r="Y420" s="192">
        <f t="shared" ref="Y420:Y483" si="70">X420/X408-1</f>
        <v>-1.6763911570892853E-3</v>
      </c>
    </row>
    <row r="421" spans="1:25" ht="14.4">
      <c r="A421" s="187">
        <f t="shared" ref="A421:A484" si="71">+A409+366</f>
        <v>46670</v>
      </c>
      <c r="B421" s="182">
        <v>11002026.707689449</v>
      </c>
      <c r="C421" s="182">
        <v>472547.95641884231</v>
      </c>
      <c r="D421" s="182">
        <v>10529478.751270607</v>
      </c>
      <c r="E421" s="182">
        <v>0</v>
      </c>
      <c r="F421" s="189">
        <f t="shared" si="68"/>
        <v>0</v>
      </c>
      <c r="G421" s="182">
        <v>11002026.707689449</v>
      </c>
      <c r="H421" s="182"/>
      <c r="I421" s="182">
        <v>10529478.751270607</v>
      </c>
      <c r="J421" s="182"/>
      <c r="K421" s="182">
        <v>9990209.464056896</v>
      </c>
      <c r="L421" s="182"/>
      <c r="M421" s="182">
        <v>9990209.464056896</v>
      </c>
      <c r="N421" s="182">
        <v>0</v>
      </c>
      <c r="O421" s="182">
        <v>10462757.420475738</v>
      </c>
      <c r="P421" s="182">
        <v>472547.95641884231</v>
      </c>
      <c r="Q421" s="182">
        <v>9.618733818393066E-3</v>
      </c>
      <c r="R421" s="182">
        <v>0</v>
      </c>
      <c r="S421" s="182">
        <f t="shared" si="67"/>
        <v>115417301.50454932</v>
      </c>
      <c r="T421" s="192">
        <f t="shared" si="69"/>
        <v>1.0902803766486224E-2</v>
      </c>
      <c r="W421" s="182">
        <v>5619138.545788913</v>
      </c>
      <c r="X421" s="183">
        <f t="shared" si="66"/>
        <v>20540.034840579825</v>
      </c>
      <c r="Y421" s="192">
        <f t="shared" si="70"/>
        <v>-1.7864314554905114E-3</v>
      </c>
    </row>
    <row r="422" spans="1:25" ht="14.4">
      <c r="A422" s="187">
        <f t="shared" si="71"/>
        <v>46701</v>
      </c>
      <c r="B422" s="182">
        <v>9179797.8523200806</v>
      </c>
      <c r="C422" s="182">
        <v>423481.75859233743</v>
      </c>
      <c r="D422" s="182">
        <v>8756316.0937277433</v>
      </c>
      <c r="E422" s="182">
        <v>0</v>
      </c>
      <c r="F422" s="189">
        <f t="shared" si="68"/>
        <v>0</v>
      </c>
      <c r="G422" s="182">
        <v>9179797.8523200806</v>
      </c>
      <c r="H422" s="182"/>
      <c r="I422" s="182">
        <v>8756316.0937277433</v>
      </c>
      <c r="J422" s="182"/>
      <c r="K422" s="182">
        <v>8356505.8674947489</v>
      </c>
      <c r="L422" s="182"/>
      <c r="M422" s="182">
        <v>8356505.8674947489</v>
      </c>
      <c r="N422" s="182">
        <v>0</v>
      </c>
      <c r="O422" s="182">
        <v>8779987.6260870863</v>
      </c>
      <c r="P422" s="182">
        <v>423481.75859233743</v>
      </c>
      <c r="Q422" s="182">
        <v>8.9673309225790643E-3</v>
      </c>
      <c r="R422" s="182">
        <v>0</v>
      </c>
      <c r="S422" s="182">
        <f t="shared" si="67"/>
        <v>115491571.05835317</v>
      </c>
      <c r="T422" s="192">
        <f t="shared" si="69"/>
        <v>1.0740065999877757E-2</v>
      </c>
      <c r="W422" s="182">
        <v>5625016.7080420861</v>
      </c>
      <c r="X422" s="183">
        <f t="shared" si="66"/>
        <v>20531.773868908669</v>
      </c>
      <c r="Y422" s="192">
        <f t="shared" si="70"/>
        <v>-1.9336125644282554E-3</v>
      </c>
    </row>
    <row r="423" spans="1:25" ht="14.4">
      <c r="A423" s="187">
        <f t="shared" si="71"/>
        <v>46731</v>
      </c>
      <c r="B423" s="182">
        <v>9461271.4524634778</v>
      </c>
      <c r="C423" s="182">
        <v>402645.1561723309</v>
      </c>
      <c r="D423" s="182">
        <v>9058626.2962911464</v>
      </c>
      <c r="E423" s="182">
        <v>0</v>
      </c>
      <c r="F423" s="189">
        <f t="shared" si="68"/>
        <v>0</v>
      </c>
      <c r="G423" s="182">
        <v>9461271.4524634778</v>
      </c>
      <c r="H423" s="182"/>
      <c r="I423" s="182">
        <v>9058626.2962911464</v>
      </c>
      <c r="J423" s="182"/>
      <c r="K423" s="182">
        <v>8606108.3424962796</v>
      </c>
      <c r="L423" s="182"/>
      <c r="M423" s="182">
        <v>8606108.3424962796</v>
      </c>
      <c r="N423" s="182">
        <v>0</v>
      </c>
      <c r="O423" s="182">
        <v>9008753.498668611</v>
      </c>
      <c r="P423" s="182">
        <v>402645.1561723309</v>
      </c>
      <c r="Q423" s="182">
        <v>8.93258886308268E-3</v>
      </c>
      <c r="R423" s="182">
        <v>0</v>
      </c>
      <c r="S423" s="182">
        <f t="shared" si="67"/>
        <v>115567765.2742832</v>
      </c>
      <c r="T423" s="192">
        <f t="shared" si="69"/>
        <v>1.0558588944152181E-2</v>
      </c>
      <c r="W423" s="182">
        <v>5630894.3815557882</v>
      </c>
      <c r="X423" s="183">
        <f t="shared" si="66"/>
        <v>20523.873730047195</v>
      </c>
      <c r="Y423" s="192">
        <f t="shared" si="70"/>
        <v>-2.099445773236841E-3</v>
      </c>
    </row>
    <row r="424" spans="1:25" ht="14.4">
      <c r="A424" s="187">
        <f t="shared" si="71"/>
        <v>46762</v>
      </c>
      <c r="B424" s="182">
        <v>9595197.964810418</v>
      </c>
      <c r="C424" s="182">
        <v>399594.49620422634</v>
      </c>
      <c r="D424" s="182">
        <v>9195603.4686061908</v>
      </c>
      <c r="E424" s="182">
        <v>0</v>
      </c>
      <c r="F424" s="189">
        <f t="shared" si="68"/>
        <v>0</v>
      </c>
      <c r="G424" s="182">
        <v>9595197.964810418</v>
      </c>
      <c r="H424" s="182"/>
      <c r="I424" s="182">
        <v>9195603.4686061908</v>
      </c>
      <c r="J424" s="182"/>
      <c r="K424" s="182">
        <v>8711019.7576811891</v>
      </c>
      <c r="L424" s="182"/>
      <c r="M424" s="182">
        <v>8711019.7576811891</v>
      </c>
      <c r="N424" s="182">
        <v>0</v>
      </c>
      <c r="O424" s="182">
        <v>9110614.2538854163</v>
      </c>
      <c r="P424" s="182">
        <v>399594.49620422634</v>
      </c>
      <c r="Q424" s="182">
        <v>1.0252096535800836E-2</v>
      </c>
      <c r="R424" s="182">
        <v>0</v>
      </c>
      <c r="S424" s="182">
        <f t="shared" si="67"/>
        <v>115656165.20513932</v>
      </c>
      <c r="T424" s="192">
        <f t="shared" si="69"/>
        <v>1.0245902458454248E-2</v>
      </c>
      <c r="W424" s="182">
        <v>5636771.7491148189</v>
      </c>
      <c r="X424" s="183">
        <f t="shared" si="66"/>
        <v>20518.156553580797</v>
      </c>
      <c r="Y424" s="192">
        <f t="shared" si="70"/>
        <v>-2.3949807520522448E-3</v>
      </c>
    </row>
    <row r="425" spans="1:25" ht="14.4">
      <c r="A425" s="187">
        <f t="shared" si="71"/>
        <v>46793</v>
      </c>
      <c r="B425" s="182">
        <v>8852311.8908808697</v>
      </c>
      <c r="C425" s="182">
        <v>386207.08601239906</v>
      </c>
      <c r="D425" s="182">
        <v>8466104.8048684709</v>
      </c>
      <c r="E425" s="182">
        <v>0</v>
      </c>
      <c r="F425" s="189">
        <f t="shared" si="68"/>
        <v>0</v>
      </c>
      <c r="G425" s="182">
        <v>8852311.8908808697</v>
      </c>
      <c r="H425" s="182"/>
      <c r="I425" s="182">
        <v>8466104.8048684709</v>
      </c>
      <c r="J425" s="182"/>
      <c r="K425" s="182">
        <v>8021720.1923786774</v>
      </c>
      <c r="L425" s="182"/>
      <c r="M425" s="182">
        <v>8021720.1923786774</v>
      </c>
      <c r="N425" s="182">
        <v>0</v>
      </c>
      <c r="O425" s="182">
        <v>8407927.2783910763</v>
      </c>
      <c r="P425" s="182">
        <v>386207.08601239906</v>
      </c>
      <c r="Q425" s="182">
        <v>4.0691236991555746E-2</v>
      </c>
      <c r="R425" s="182">
        <v>0</v>
      </c>
      <c r="S425" s="182">
        <f t="shared" si="67"/>
        <v>115969816.08046681</v>
      </c>
      <c r="T425" s="192">
        <f t="shared" si="69"/>
        <v>1.2119437566309621E-2</v>
      </c>
      <c r="W425" s="182">
        <v>5642648.7887774818</v>
      </c>
      <c r="X425" s="183">
        <f t="shared" si="66"/>
        <v>20552.371841947024</v>
      </c>
      <c r="Y425" s="192">
        <f t="shared" si="70"/>
        <v>-5.3176167367419147E-4</v>
      </c>
    </row>
    <row r="426" spans="1:25" ht="14.4">
      <c r="A426" s="187">
        <f t="shared" si="71"/>
        <v>46822</v>
      </c>
      <c r="B426" s="182">
        <v>9722971.9370835703</v>
      </c>
      <c r="C426" s="182">
        <v>455634.86200949509</v>
      </c>
      <c r="D426" s="182">
        <v>9267337.0750740748</v>
      </c>
      <c r="E426" s="182">
        <v>0</v>
      </c>
      <c r="F426" s="189">
        <f t="shared" si="68"/>
        <v>0</v>
      </c>
      <c r="G426" s="182">
        <v>9722971.9370835703</v>
      </c>
      <c r="H426" s="182"/>
      <c r="I426" s="182">
        <v>9267337.0750740748</v>
      </c>
      <c r="J426" s="182"/>
      <c r="K426" s="182">
        <v>8788038.6661146674</v>
      </c>
      <c r="L426" s="182"/>
      <c r="M426" s="182">
        <v>8788038.6661146674</v>
      </c>
      <c r="N426" s="182">
        <v>0</v>
      </c>
      <c r="O426" s="182">
        <v>9243673.5281241629</v>
      </c>
      <c r="P426" s="182">
        <v>455634.86200949509</v>
      </c>
      <c r="Q426" s="182">
        <v>1.17776647508121E-2</v>
      </c>
      <c r="R426" s="182">
        <v>0</v>
      </c>
      <c r="S426" s="182">
        <f t="shared" si="67"/>
        <v>116072113.82515182</v>
      </c>
      <c r="T426" s="192">
        <f t="shared" si="69"/>
        <v>1.2144668445157825E-2</v>
      </c>
      <c r="W426" s="182">
        <v>5648525.3247341691</v>
      </c>
      <c r="X426" s="183">
        <f t="shared" si="66"/>
        <v>20549.10036729178</v>
      </c>
      <c r="Y426" s="192">
        <f t="shared" si="70"/>
        <v>-4.9386693519604119E-4</v>
      </c>
    </row>
    <row r="427" spans="1:25" ht="14.4">
      <c r="A427" s="187">
        <f t="shared" si="71"/>
        <v>46853</v>
      </c>
      <c r="B427" s="182">
        <v>10007663.10076925</v>
      </c>
      <c r="C427" s="182">
        <v>495261.53585080389</v>
      </c>
      <c r="D427" s="182">
        <v>9512401.5649184454</v>
      </c>
      <c r="E427" s="182">
        <v>0</v>
      </c>
      <c r="F427" s="189">
        <f t="shared" si="68"/>
        <v>0</v>
      </c>
      <c r="G427" s="182">
        <v>10007663.10076925</v>
      </c>
      <c r="H427" s="182"/>
      <c r="I427" s="182">
        <v>9512401.5649184454</v>
      </c>
      <c r="J427" s="182"/>
      <c r="K427" s="182">
        <v>9055476.4222040791</v>
      </c>
      <c r="L427" s="182"/>
      <c r="M427" s="182">
        <v>9055476.4222040791</v>
      </c>
      <c r="N427" s="182">
        <v>0</v>
      </c>
      <c r="O427" s="182">
        <v>9550737.9580548834</v>
      </c>
      <c r="P427" s="182">
        <v>495261.53585080389</v>
      </c>
      <c r="Q427" s="182">
        <v>1.2572237988209167E-2</v>
      </c>
      <c r="R427" s="182">
        <v>0</v>
      </c>
      <c r="S427" s="182">
        <f t="shared" si="67"/>
        <v>116184547.88210635</v>
      </c>
      <c r="T427" s="192">
        <f t="shared" si="69"/>
        <v>1.2344508696355838E-2</v>
      </c>
      <c r="W427" s="182">
        <v>5654402.4613016807</v>
      </c>
      <c r="X427" s="183">
        <f t="shared" si="66"/>
        <v>20547.626150997377</v>
      </c>
      <c r="Y427" s="192">
        <f t="shared" si="70"/>
        <v>-2.8359893512930334E-4</v>
      </c>
    </row>
    <row r="428" spans="1:25" ht="14.4">
      <c r="A428" s="187">
        <f t="shared" si="71"/>
        <v>46883</v>
      </c>
      <c r="B428" s="182">
        <v>11391658.816478666</v>
      </c>
      <c r="C428" s="182">
        <v>510672.95385192265</v>
      </c>
      <c r="D428" s="182">
        <v>10880985.862626743</v>
      </c>
      <c r="E428" s="182">
        <v>0</v>
      </c>
      <c r="F428" s="189">
        <f t="shared" si="68"/>
        <v>0</v>
      </c>
      <c r="G428" s="182">
        <v>11391658.816478666</v>
      </c>
      <c r="H428" s="182"/>
      <c r="I428" s="182">
        <v>10880985.862626743</v>
      </c>
      <c r="J428" s="182"/>
      <c r="K428" s="182">
        <v>10384482.675925359</v>
      </c>
      <c r="L428" s="182"/>
      <c r="M428" s="182">
        <v>10384482.675925359</v>
      </c>
      <c r="N428" s="182">
        <v>0</v>
      </c>
      <c r="O428" s="182">
        <v>10895155.629777282</v>
      </c>
      <c r="P428" s="182">
        <v>510672.95385192265</v>
      </c>
      <c r="Q428" s="182">
        <v>1.2486917149900245E-2</v>
      </c>
      <c r="R428" s="182">
        <v>0</v>
      </c>
      <c r="S428" s="182">
        <f t="shared" si="67"/>
        <v>116312618.84541705</v>
      </c>
      <c r="T428" s="192">
        <f t="shared" si="69"/>
        <v>1.254742366642958E-2</v>
      </c>
      <c r="W428" s="182">
        <v>5660280.8965981863</v>
      </c>
      <c r="X428" s="183">
        <f t="shared" si="66"/>
        <v>20548.91284906384</v>
      </c>
      <c r="Y428" s="192">
        <f t="shared" si="70"/>
        <v>-7.0292291747375835E-5</v>
      </c>
    </row>
    <row r="429" spans="1:25" ht="14.4">
      <c r="A429" s="187">
        <f t="shared" si="71"/>
        <v>46914</v>
      </c>
      <c r="B429" s="182">
        <v>11917915.676110571</v>
      </c>
      <c r="C429" s="182">
        <v>532038.45356022264</v>
      </c>
      <c r="D429" s="182">
        <v>11385877.222550349</v>
      </c>
      <c r="E429" s="182">
        <v>0</v>
      </c>
      <c r="F429" s="189">
        <f t="shared" si="68"/>
        <v>0</v>
      </c>
      <c r="G429" s="182">
        <v>11917915.676110571</v>
      </c>
      <c r="H429" s="182"/>
      <c r="I429" s="182">
        <v>11385877.222550349</v>
      </c>
      <c r="J429" s="182"/>
      <c r="K429" s="182">
        <v>10859287.375137117</v>
      </c>
      <c r="L429" s="182"/>
      <c r="M429" s="182">
        <v>10859287.375137117</v>
      </c>
      <c r="N429" s="182">
        <v>0</v>
      </c>
      <c r="O429" s="182">
        <v>11391325.828697339</v>
      </c>
      <c r="P429" s="182">
        <v>532038.45356022264</v>
      </c>
      <c r="Q429" s="182">
        <v>1.2597710579741905E-2</v>
      </c>
      <c r="R429" s="182">
        <v>0</v>
      </c>
      <c r="S429" s="182">
        <f t="shared" si="67"/>
        <v>116447719.05157483</v>
      </c>
      <c r="T429" s="192">
        <f t="shared" si="69"/>
        <v>1.2755637921322061E-2</v>
      </c>
      <c r="W429" s="182">
        <v>5666159.9371247077</v>
      </c>
      <c r="X429" s="183">
        <f t="shared" si="66"/>
        <v>20551.435247813744</v>
      </c>
      <c r="Y429" s="192">
        <f t="shared" si="70"/>
        <v>1.481919112609198E-4</v>
      </c>
    </row>
    <row r="430" spans="1:25" ht="14.4">
      <c r="A430" s="187">
        <f t="shared" si="71"/>
        <v>46944</v>
      </c>
      <c r="B430" s="182">
        <v>12687874.344625665</v>
      </c>
      <c r="C430" s="182">
        <v>514454.09912756184</v>
      </c>
      <c r="D430" s="182">
        <v>12173420.245498102</v>
      </c>
      <c r="E430" s="182">
        <v>0</v>
      </c>
      <c r="F430" s="189">
        <f t="shared" si="68"/>
        <v>0</v>
      </c>
      <c r="G430" s="182">
        <v>12687874.344625665</v>
      </c>
      <c r="H430" s="182"/>
      <c r="I430" s="182">
        <v>12173420.245498102</v>
      </c>
      <c r="J430" s="182"/>
      <c r="K430" s="182">
        <v>11582965.439266354</v>
      </c>
      <c r="L430" s="182"/>
      <c r="M430" s="182">
        <v>11582965.439266354</v>
      </c>
      <c r="N430" s="182">
        <v>0</v>
      </c>
      <c r="O430" s="182">
        <v>12097419.538393917</v>
      </c>
      <c r="P430" s="182">
        <v>514454.09912756184</v>
      </c>
      <c r="Q430" s="182">
        <v>1.2499574862980367E-2</v>
      </c>
      <c r="R430" s="182">
        <v>0</v>
      </c>
      <c r="S430" s="182">
        <f t="shared" si="67"/>
        <v>116590713.82138795</v>
      </c>
      <c r="T430" s="192">
        <f t="shared" si="69"/>
        <v>1.2967970142769181E-2</v>
      </c>
      <c r="W430" s="182">
        <v>5672039.7971347263</v>
      </c>
      <c r="X430" s="183">
        <f t="shared" si="66"/>
        <v>20555.341286618728</v>
      </c>
      <c r="Y430" s="192">
        <f t="shared" si="70"/>
        <v>3.7070350886514447E-4</v>
      </c>
    </row>
    <row r="431" spans="1:25" ht="14.4">
      <c r="A431" s="187">
        <f t="shared" si="71"/>
        <v>46975</v>
      </c>
      <c r="B431" s="182">
        <v>12915814.522905536</v>
      </c>
      <c r="C431" s="182">
        <v>543801.72560508654</v>
      </c>
      <c r="D431" s="182">
        <v>12372012.797300449</v>
      </c>
      <c r="E431" s="182">
        <v>0</v>
      </c>
      <c r="F431" s="189">
        <f t="shared" si="68"/>
        <v>0</v>
      </c>
      <c r="G431" s="182">
        <v>12915814.522905536</v>
      </c>
      <c r="H431" s="182"/>
      <c r="I431" s="182">
        <v>12372012.797300449</v>
      </c>
      <c r="J431" s="182"/>
      <c r="K431" s="182">
        <v>11738020.693554049</v>
      </c>
      <c r="L431" s="182"/>
      <c r="M431" s="182">
        <v>11738020.693554049</v>
      </c>
      <c r="N431" s="182">
        <v>0</v>
      </c>
      <c r="O431" s="182">
        <v>12281822.419159137</v>
      </c>
      <c r="P431" s="182">
        <v>543801.72560508654</v>
      </c>
      <c r="Q431" s="182">
        <v>1.2583048959498022E-2</v>
      </c>
      <c r="R431" s="182">
        <v>0</v>
      </c>
      <c r="S431" s="182">
        <f t="shared" si="67"/>
        <v>116736578.48821835</v>
      </c>
      <c r="T431" s="192">
        <f t="shared" si="69"/>
        <v>1.3191775772077419E-2</v>
      </c>
      <c r="W431" s="182">
        <v>5677917.8858515583</v>
      </c>
      <c r="X431" s="183">
        <f t="shared" si="66"/>
        <v>20559.751098040146</v>
      </c>
      <c r="Y431" s="192">
        <f t="shared" si="70"/>
        <v>6.0491228188186419E-4</v>
      </c>
    </row>
    <row r="432" spans="1:25" ht="14.4">
      <c r="A432" s="187">
        <f t="shared" si="71"/>
        <v>47006</v>
      </c>
      <c r="B432" s="182">
        <v>11882661.662544617</v>
      </c>
      <c r="C432" s="182">
        <v>523383.47553410369</v>
      </c>
      <c r="D432" s="182">
        <v>11359278.187010514</v>
      </c>
      <c r="E432" s="182">
        <v>0</v>
      </c>
      <c r="F432" s="189">
        <f t="shared" si="68"/>
        <v>0</v>
      </c>
      <c r="G432" s="182">
        <v>11882661.662544617</v>
      </c>
      <c r="H432" s="182"/>
      <c r="I432" s="182">
        <v>11359278.187010514</v>
      </c>
      <c r="J432" s="182"/>
      <c r="K432" s="182">
        <v>10777183.076170063</v>
      </c>
      <c r="L432" s="182"/>
      <c r="M432" s="182">
        <v>10777183.076170063</v>
      </c>
      <c r="N432" s="182">
        <v>0</v>
      </c>
      <c r="O432" s="182">
        <v>11300566.551704166</v>
      </c>
      <c r="P432" s="182">
        <v>523383.47553410369</v>
      </c>
      <c r="Q432" s="182">
        <v>1.2632032623930645E-2</v>
      </c>
      <c r="R432" s="182">
        <v>0</v>
      </c>
      <c r="S432" s="182">
        <f t="shared" si="67"/>
        <v>116871017.97247946</v>
      </c>
      <c r="T432" s="192">
        <f t="shared" si="69"/>
        <v>1.3431023409958609E-2</v>
      </c>
      <c r="W432" s="182">
        <v>5683793.834779975</v>
      </c>
      <c r="X432" s="183">
        <f t="shared" si="66"/>
        <v>20562.149396997553</v>
      </c>
      <c r="Y432" s="192">
        <f t="shared" si="70"/>
        <v>8.5470581912483468E-4</v>
      </c>
    </row>
    <row r="433" spans="1:25" ht="14.4">
      <c r="A433" s="187">
        <f t="shared" si="71"/>
        <v>47036</v>
      </c>
      <c r="B433" s="182">
        <v>11141330.327239174</v>
      </c>
      <c r="C433" s="182">
        <v>479429.43790587445</v>
      </c>
      <c r="D433" s="182">
        <v>10661900.8893333</v>
      </c>
      <c r="E433" s="182">
        <v>0</v>
      </c>
      <c r="F433" s="189">
        <f t="shared" si="68"/>
        <v>0</v>
      </c>
      <c r="G433" s="182">
        <v>11141330.327239174</v>
      </c>
      <c r="H433" s="182"/>
      <c r="I433" s="182">
        <v>10661900.8893333</v>
      </c>
      <c r="J433" s="182"/>
      <c r="K433" s="182">
        <v>10115803.572555875</v>
      </c>
      <c r="L433" s="182"/>
      <c r="M433" s="182">
        <v>10115803.572555875</v>
      </c>
      <c r="N433" s="182">
        <v>0</v>
      </c>
      <c r="O433" s="182">
        <v>10595233.01046175</v>
      </c>
      <c r="P433" s="182">
        <v>479429.43790587445</v>
      </c>
      <c r="Q433" s="182">
        <v>1.2571719236803336E-2</v>
      </c>
      <c r="R433" s="182">
        <v>0</v>
      </c>
      <c r="S433" s="182">
        <f t="shared" si="67"/>
        <v>116996612.08097844</v>
      </c>
      <c r="T433" s="192">
        <f t="shared" si="69"/>
        <v>1.3683482076271458E-2</v>
      </c>
      <c r="W433" s="182">
        <v>5689667.5902456986</v>
      </c>
      <c r="X433" s="183">
        <f t="shared" si="66"/>
        <v>20562.996031887011</v>
      </c>
      <c r="Y433" s="192">
        <f t="shared" si="70"/>
        <v>1.1178749931730625E-3</v>
      </c>
    </row>
    <row r="434" spans="1:25" ht="14.4">
      <c r="A434" s="187">
        <f t="shared" si="71"/>
        <v>47067</v>
      </c>
      <c r="B434" s="182">
        <v>9297495.2846155725</v>
      </c>
      <c r="C434" s="182">
        <v>429663.84600829578</v>
      </c>
      <c r="D434" s="182">
        <v>8867831.4386072773</v>
      </c>
      <c r="E434" s="182">
        <v>0</v>
      </c>
      <c r="F434" s="189">
        <f t="shared" si="68"/>
        <v>0</v>
      </c>
      <c r="G434" s="182">
        <v>9297495.2846155725</v>
      </c>
      <c r="H434" s="182"/>
      <c r="I434" s="182">
        <v>8867831.4386072773</v>
      </c>
      <c r="J434" s="182"/>
      <c r="K434" s="182">
        <v>8462895.1041755918</v>
      </c>
      <c r="L434" s="182"/>
      <c r="M434" s="182">
        <v>8462895.1041755918</v>
      </c>
      <c r="N434" s="182">
        <v>0</v>
      </c>
      <c r="O434" s="182">
        <v>8892558.950183887</v>
      </c>
      <c r="P434" s="182">
        <v>429663.84600829578</v>
      </c>
      <c r="Q434" s="182">
        <v>1.2731306405788345E-2</v>
      </c>
      <c r="R434" s="182">
        <v>0</v>
      </c>
      <c r="S434" s="182">
        <f t="shared" si="67"/>
        <v>117103001.31765929</v>
      </c>
      <c r="T434" s="192">
        <f t="shared" si="69"/>
        <v>1.3952795381854566E-2</v>
      </c>
      <c r="W434" s="182">
        <v>5695539.0179115431</v>
      </c>
      <c r="X434" s="183">
        <f t="shared" si="66"/>
        <v>20560.477410371415</v>
      </c>
      <c r="Y434" s="192">
        <f t="shared" si="70"/>
        <v>1.3980059222360453E-3</v>
      </c>
    </row>
    <row r="435" spans="1:25" ht="14.4">
      <c r="A435" s="187">
        <f t="shared" si="71"/>
        <v>47097</v>
      </c>
      <c r="B435" s="182">
        <v>9581938.1756341867</v>
      </c>
      <c r="C435" s="182">
        <v>408509.27900375583</v>
      </c>
      <c r="D435" s="182">
        <v>9173428.8966304306</v>
      </c>
      <c r="E435" s="182">
        <v>0</v>
      </c>
      <c r="F435" s="189">
        <f t="shared" si="68"/>
        <v>0</v>
      </c>
      <c r="G435" s="182">
        <v>9581938.1756341867</v>
      </c>
      <c r="H435" s="182"/>
      <c r="I435" s="182">
        <v>9173428.8966304306</v>
      </c>
      <c r="J435" s="182"/>
      <c r="K435" s="182">
        <v>8715139.6404334828</v>
      </c>
      <c r="L435" s="182"/>
      <c r="M435" s="182">
        <v>8715139.6404334828</v>
      </c>
      <c r="N435" s="182">
        <v>0</v>
      </c>
      <c r="O435" s="182">
        <v>9123648.9194372389</v>
      </c>
      <c r="P435" s="182">
        <v>408509.27900375583</v>
      </c>
      <c r="Q435" s="182">
        <v>1.2669059416648976E-2</v>
      </c>
      <c r="R435" s="182">
        <v>0</v>
      </c>
      <c r="S435" s="182">
        <f t="shared" si="67"/>
        <v>117212032.6155965</v>
      </c>
      <c r="T435" s="192">
        <f t="shared" si="69"/>
        <v>1.4227733290601119E-2</v>
      </c>
      <c r="W435" s="182">
        <v>5701408.063369344</v>
      </c>
      <c r="X435" s="183">
        <f t="shared" si="66"/>
        <v>20558.435971048188</v>
      </c>
      <c r="Y435" s="192">
        <f t="shared" si="70"/>
        <v>1.6840018339419061E-3</v>
      </c>
    </row>
    <row r="436" spans="1:25" ht="14.4">
      <c r="A436" s="187">
        <f t="shared" si="71"/>
        <v>47128</v>
      </c>
      <c r="B436" s="182">
        <v>9734173.6932600234</v>
      </c>
      <c r="C436" s="182">
        <v>405412.32503864949</v>
      </c>
      <c r="D436" s="182">
        <v>9328761.3682213742</v>
      </c>
      <c r="E436" s="182">
        <v>0</v>
      </c>
      <c r="F436" s="189">
        <f t="shared" si="68"/>
        <v>0</v>
      </c>
      <c r="G436" s="182">
        <v>9734173.6932600234</v>
      </c>
      <c r="H436" s="182"/>
      <c r="I436" s="182">
        <v>9328761.3682213742</v>
      </c>
      <c r="J436" s="182"/>
      <c r="K436" s="182">
        <v>8837159.0033334624</v>
      </c>
      <c r="L436" s="182"/>
      <c r="M436" s="182">
        <v>8837159.0033334624</v>
      </c>
      <c r="N436" s="182">
        <v>0</v>
      </c>
      <c r="O436" s="182">
        <v>9242571.3283721115</v>
      </c>
      <c r="P436" s="182">
        <v>405412.32503864949</v>
      </c>
      <c r="Q436" s="182">
        <v>1.4480422403019722E-2</v>
      </c>
      <c r="R436" s="182">
        <v>0</v>
      </c>
      <c r="S436" s="182">
        <f t="shared" si="67"/>
        <v>117338171.86124878</v>
      </c>
      <c r="T436" s="192">
        <f t="shared" si="69"/>
        <v>1.4543164673721298E-2</v>
      </c>
      <c r="W436" s="182">
        <v>5707274.8577709282</v>
      </c>
      <c r="X436" s="183">
        <f t="shared" si="66"/>
        <v>20559.404406725414</v>
      </c>
      <c r="Y436" s="192">
        <f t="shared" si="70"/>
        <v>2.0103098948924814E-3</v>
      </c>
    </row>
    <row r="437" spans="1:25" ht="14.4">
      <c r="A437" s="187">
        <f t="shared" si="71"/>
        <v>47159</v>
      </c>
      <c r="B437" s="182">
        <v>8745898.5366203003</v>
      </c>
      <c r="C437" s="182">
        <v>391834.15161582007</v>
      </c>
      <c r="D437" s="182">
        <v>8354064.3850044804</v>
      </c>
      <c r="E437" s="182">
        <v>0</v>
      </c>
      <c r="F437" s="189">
        <f t="shared" si="68"/>
        <v>0</v>
      </c>
      <c r="G437" s="182">
        <v>8745898.5366203003</v>
      </c>
      <c r="H437" s="182"/>
      <c r="I437" s="182">
        <v>8354064.3850044804</v>
      </c>
      <c r="J437" s="182"/>
      <c r="K437" s="182">
        <v>7915021.7055350924</v>
      </c>
      <c r="L437" s="182"/>
      <c r="M437" s="182">
        <v>7915021.7055350924</v>
      </c>
      <c r="N437" s="182">
        <v>0</v>
      </c>
      <c r="O437" s="182">
        <v>8306855.8571509123</v>
      </c>
      <c r="P437" s="182">
        <v>391834.15161582007</v>
      </c>
      <c r="Q437" s="182">
        <v>-1.3301197783607277E-2</v>
      </c>
      <c r="R437" s="182">
        <v>0</v>
      </c>
      <c r="S437" s="182">
        <f t="shared" si="67"/>
        <v>117231473.37440521</v>
      </c>
      <c r="T437" s="192">
        <f t="shared" si="69"/>
        <v>1.0879186814118702E-2</v>
      </c>
      <c r="W437" s="182">
        <v>5713139.3904467588</v>
      </c>
      <c r="X437" s="183">
        <f t="shared" si="66"/>
        <v>20519.624214041429</v>
      </c>
      <c r="Y437" s="192">
        <f t="shared" si="70"/>
        <v>-1.5933746312801755E-3</v>
      </c>
    </row>
    <row r="438" spans="1:25" ht="14.4">
      <c r="A438" s="187">
        <f t="shared" si="71"/>
        <v>47188</v>
      </c>
      <c r="B438" s="182">
        <v>9887714.6253204346</v>
      </c>
      <c r="C438" s="182">
        <v>462279.64340517065</v>
      </c>
      <c r="D438" s="182">
        <v>9425434.9819152635</v>
      </c>
      <c r="E438" s="182">
        <v>0</v>
      </c>
      <c r="F438" s="189">
        <f t="shared" si="68"/>
        <v>0</v>
      </c>
      <c r="G438" s="182">
        <v>9887714.6253204346</v>
      </c>
      <c r="H438" s="182"/>
      <c r="I438" s="182">
        <v>9425434.9819152635</v>
      </c>
      <c r="J438" s="182"/>
      <c r="K438" s="182">
        <v>8938015.5057687256</v>
      </c>
      <c r="L438" s="182"/>
      <c r="M438" s="182">
        <v>8938015.5057687256</v>
      </c>
      <c r="N438" s="182">
        <v>0</v>
      </c>
      <c r="O438" s="182">
        <v>9400295.1491738968</v>
      </c>
      <c r="P438" s="182">
        <v>462279.64340517065</v>
      </c>
      <c r="Q438" s="182">
        <v>1.7066019546812639E-2</v>
      </c>
      <c r="R438" s="182">
        <v>0</v>
      </c>
      <c r="S438" s="182">
        <f t="shared" si="67"/>
        <v>117381450.21405928</v>
      </c>
      <c r="T438" s="192">
        <f t="shared" si="69"/>
        <v>1.1280369985161354E-2</v>
      </c>
      <c r="W438" s="182">
        <v>5719001.5441129683</v>
      </c>
      <c r="X438" s="183">
        <f t="shared" si="66"/>
        <v>20524.815268652888</v>
      </c>
      <c r="Y438" s="192">
        <f t="shared" si="70"/>
        <v>-1.181808361671477E-3</v>
      </c>
    </row>
    <row r="439" spans="1:25" ht="14.4">
      <c r="A439" s="187">
        <f t="shared" si="71"/>
        <v>47219</v>
      </c>
      <c r="B439" s="182">
        <v>10187937.941909106</v>
      </c>
      <c r="C439" s="182">
        <v>502491.24026808079</v>
      </c>
      <c r="D439" s="182">
        <v>9685446.701641025</v>
      </c>
      <c r="E439" s="182">
        <v>0</v>
      </c>
      <c r="F439" s="189">
        <f t="shared" si="68"/>
        <v>0</v>
      </c>
      <c r="G439" s="182">
        <v>10187937.941909106</v>
      </c>
      <c r="H439" s="182"/>
      <c r="I439" s="182">
        <v>9685446.701641025</v>
      </c>
      <c r="J439" s="182"/>
      <c r="K439" s="182">
        <v>9220290.655599257</v>
      </c>
      <c r="L439" s="182"/>
      <c r="M439" s="182">
        <v>9220290.655599257</v>
      </c>
      <c r="N439" s="182">
        <v>0</v>
      </c>
      <c r="O439" s="182">
        <v>9722781.8958673384</v>
      </c>
      <c r="P439" s="182">
        <v>502491.24026808079</v>
      </c>
      <c r="Q439" s="182">
        <v>1.8200503839980398E-2</v>
      </c>
      <c r="R439" s="182">
        <v>0</v>
      </c>
      <c r="S439" s="182">
        <f t="shared" si="67"/>
        <v>117546264.44745445</v>
      </c>
      <c r="T439" s="192">
        <f t="shared" si="69"/>
        <v>1.1720289747392698E-2</v>
      </c>
      <c r="W439" s="182">
        <v>5724862.0874891812</v>
      </c>
      <c r="X439" s="183">
        <f t="shared" si="66"/>
        <v>20532.593213788332</v>
      </c>
      <c r="Y439" s="192">
        <f t="shared" si="70"/>
        <v>-7.3161430418156037E-4</v>
      </c>
    </row>
    <row r="440" spans="1:25" ht="14.4">
      <c r="A440" s="187">
        <f t="shared" si="71"/>
        <v>47249</v>
      </c>
      <c r="B440" s="182">
        <v>11587937.461639294</v>
      </c>
      <c r="C440" s="182">
        <v>518107.58650979615</v>
      </c>
      <c r="D440" s="182">
        <v>11069829.875129499</v>
      </c>
      <c r="E440" s="182">
        <v>0</v>
      </c>
      <c r="F440" s="189">
        <f t="shared" si="68"/>
        <v>0</v>
      </c>
      <c r="G440" s="182">
        <v>11587937.461639294</v>
      </c>
      <c r="H440" s="182"/>
      <c r="I440" s="182">
        <v>11069829.875129499</v>
      </c>
      <c r="J440" s="182"/>
      <c r="K440" s="182">
        <v>10564771.922667161</v>
      </c>
      <c r="L440" s="182"/>
      <c r="M440" s="182">
        <v>10564771.922667161</v>
      </c>
      <c r="N440" s="182">
        <v>0</v>
      </c>
      <c r="O440" s="182">
        <v>11082879.509176956</v>
      </c>
      <c r="P440" s="182">
        <v>518107.58650979615</v>
      </c>
      <c r="Q440" s="182">
        <v>1.736140859089419E-2</v>
      </c>
      <c r="R440" s="182">
        <v>0</v>
      </c>
      <c r="S440" s="182">
        <f t="shared" si="67"/>
        <v>117726553.69419624</v>
      </c>
      <c r="T440" s="192">
        <f t="shared" si="69"/>
        <v>1.2156332329326558E-2</v>
      </c>
      <c r="W440" s="182">
        <v>5730721.5080215558</v>
      </c>
      <c r="X440" s="183">
        <f t="shared" ref="X440:X461" si="72">S440/W440*1000</f>
        <v>20543.059635581478</v>
      </c>
      <c r="Y440" s="192">
        <f t="shared" si="70"/>
        <v>-2.848429756530102E-4</v>
      </c>
    </row>
    <row r="441" spans="1:25" ht="14.4">
      <c r="A441" s="187">
        <f t="shared" si="71"/>
        <v>47280</v>
      </c>
      <c r="B441" s="182">
        <v>12121989.160961656</v>
      </c>
      <c r="C441" s="182">
        <v>539773.65797737858</v>
      </c>
      <c r="D441" s="182">
        <v>11582215.502984278</v>
      </c>
      <c r="E441" s="182">
        <v>0</v>
      </c>
      <c r="F441" s="189">
        <f t="shared" si="68"/>
        <v>0</v>
      </c>
      <c r="G441" s="182">
        <v>12121989.160961656</v>
      </c>
      <c r="H441" s="182"/>
      <c r="I441" s="182">
        <v>11582215.502984278</v>
      </c>
      <c r="J441" s="182"/>
      <c r="K441" s="182">
        <v>11046608.724408809</v>
      </c>
      <c r="L441" s="182"/>
      <c r="M441" s="182">
        <v>11046608.724408809</v>
      </c>
      <c r="N441" s="182">
        <v>0</v>
      </c>
      <c r="O441" s="182">
        <v>11586382.382386187</v>
      </c>
      <c r="P441" s="182">
        <v>539773.65797737858</v>
      </c>
      <c r="Q441" s="182">
        <v>1.7249874950411082E-2</v>
      </c>
      <c r="R441" s="182">
        <v>0</v>
      </c>
      <c r="S441" s="182">
        <f t="shared" si="67"/>
        <v>117913875.04346792</v>
      </c>
      <c r="T441" s="192">
        <f t="shared" si="69"/>
        <v>1.2590680211123306E-2</v>
      </c>
      <c r="W441" s="182">
        <v>5736579.3297754126</v>
      </c>
      <c r="X441" s="183">
        <f t="shared" si="72"/>
        <v>20554.736240017141</v>
      </c>
      <c r="Y441" s="192">
        <f t="shared" si="70"/>
        <v>1.6062100595859441E-4</v>
      </c>
    </row>
    <row r="442" spans="1:25" ht="14.4">
      <c r="A442" s="187">
        <f t="shared" si="71"/>
        <v>47310</v>
      </c>
      <c r="B442" s="182">
        <v>12899941.989513617</v>
      </c>
      <c r="C442" s="182">
        <v>521902.58679157821</v>
      </c>
      <c r="D442" s="182">
        <v>12378039.402722038</v>
      </c>
      <c r="E442" s="182">
        <v>0</v>
      </c>
      <c r="F442" s="189">
        <f t="shared" si="68"/>
        <v>0</v>
      </c>
      <c r="G442" s="182">
        <v>12899941.989513617</v>
      </c>
      <c r="H442" s="182"/>
      <c r="I442" s="182">
        <v>12378039.402722038</v>
      </c>
      <c r="J442" s="182"/>
      <c r="K442" s="182">
        <v>11777715.617907334</v>
      </c>
      <c r="L442" s="182"/>
      <c r="M442" s="182">
        <v>11777715.617907334</v>
      </c>
      <c r="N442" s="182">
        <v>0</v>
      </c>
      <c r="O442" s="182">
        <v>12299618.204698913</v>
      </c>
      <c r="P442" s="182">
        <v>521902.58679157821</v>
      </c>
      <c r="Q442" s="182">
        <v>1.6813499070002846E-2</v>
      </c>
      <c r="R442" s="182">
        <v>0</v>
      </c>
      <c r="S442" s="182">
        <f t="shared" si="67"/>
        <v>118108625.22210889</v>
      </c>
      <c r="T442" s="192">
        <f t="shared" si="69"/>
        <v>1.3019144929898196E-2</v>
      </c>
      <c r="W442" s="182">
        <v>5742435.7050683433</v>
      </c>
      <c r="X442" s="183">
        <f t="shared" si="72"/>
        <v>20567.687874653046</v>
      </c>
      <c r="Y442" s="192">
        <f t="shared" si="70"/>
        <v>6.0065108441453852E-4</v>
      </c>
    </row>
    <row r="443" spans="1:25" ht="14.4">
      <c r="A443" s="187">
        <f t="shared" si="71"/>
        <v>47341</v>
      </c>
      <c r="B443" s="182">
        <v>13131911.740638509</v>
      </c>
      <c r="C443" s="182">
        <v>551692.72160121985</v>
      </c>
      <c r="D443" s="182">
        <v>12580219.01903729</v>
      </c>
      <c r="E443" s="182">
        <v>0</v>
      </c>
      <c r="F443" s="189">
        <f t="shared" si="68"/>
        <v>0</v>
      </c>
      <c r="G443" s="182">
        <v>13131911.740638509</v>
      </c>
      <c r="H443" s="182"/>
      <c r="I443" s="182">
        <v>12580219.01903729</v>
      </c>
      <c r="J443" s="182"/>
      <c r="K443" s="182">
        <v>11935619.459644845</v>
      </c>
      <c r="L443" s="182"/>
      <c r="M443" s="182">
        <v>11935619.459644845</v>
      </c>
      <c r="N443" s="182">
        <v>0</v>
      </c>
      <c r="O443" s="182">
        <v>12487312.181246065</v>
      </c>
      <c r="P443" s="182">
        <v>551692.72160121985</v>
      </c>
      <c r="Q443" s="182">
        <v>1.6834078866406088E-2</v>
      </c>
      <c r="R443" s="182">
        <v>0</v>
      </c>
      <c r="S443" s="182">
        <f t="shared" si="67"/>
        <v>118306223.98819968</v>
      </c>
      <c r="T443" s="192">
        <f t="shared" si="69"/>
        <v>1.3446046820189572E-2</v>
      </c>
      <c r="W443" s="182">
        <v>5748289.8783626379</v>
      </c>
      <c r="X443" s="183">
        <f t="shared" si="72"/>
        <v>20581.116556685975</v>
      </c>
      <c r="Y443" s="192">
        <f t="shared" si="70"/>
        <v>1.0391885847229609E-3</v>
      </c>
    </row>
    <row r="444" spans="1:25" ht="14.4">
      <c r="A444" s="187">
        <f t="shared" si="71"/>
        <v>47372</v>
      </c>
      <c r="B444" s="182">
        <v>12086313.498255422</v>
      </c>
      <c r="C444" s="182">
        <v>531007.88519020646</v>
      </c>
      <c r="D444" s="182">
        <v>11555305.613065217</v>
      </c>
      <c r="E444" s="182">
        <v>0</v>
      </c>
      <c r="F444" s="189">
        <f t="shared" si="68"/>
        <v>0</v>
      </c>
      <c r="G444" s="182">
        <v>12086313.498255422</v>
      </c>
      <c r="H444" s="182"/>
      <c r="I444" s="182">
        <v>11555305.613065217</v>
      </c>
      <c r="J444" s="182"/>
      <c r="K444" s="182">
        <v>10963234.224077033</v>
      </c>
      <c r="L444" s="182"/>
      <c r="M444" s="182">
        <v>10963234.224077033</v>
      </c>
      <c r="N444" s="182">
        <v>0</v>
      </c>
      <c r="O444" s="182">
        <v>11494242.109267239</v>
      </c>
      <c r="P444" s="182">
        <v>531007.88519020646</v>
      </c>
      <c r="Q444" s="182">
        <v>1.7263430211031272E-2</v>
      </c>
      <c r="R444" s="182">
        <v>0</v>
      </c>
      <c r="S444" s="182">
        <f t="shared" si="67"/>
        <v>118492275.13610666</v>
      </c>
      <c r="T444" s="192">
        <f t="shared" si="69"/>
        <v>1.3872191684074942E-2</v>
      </c>
      <c r="W444" s="182">
        <v>5754141.5984086273</v>
      </c>
      <c r="X444" s="183">
        <f t="shared" si="72"/>
        <v>20592.519858892076</v>
      </c>
      <c r="Y444" s="192">
        <f t="shared" si="70"/>
        <v>1.477008133155433E-3</v>
      </c>
    </row>
    <row r="445" spans="1:25" ht="14.4">
      <c r="A445" s="187">
        <f t="shared" si="71"/>
        <v>47402</v>
      </c>
      <c r="B445" s="182">
        <v>11334288.406108258</v>
      </c>
      <c r="C445" s="182">
        <v>486411.5998844268</v>
      </c>
      <c r="D445" s="182">
        <v>10847876.806223832</v>
      </c>
      <c r="E445" s="182">
        <v>0</v>
      </c>
      <c r="F445" s="189">
        <f t="shared" si="68"/>
        <v>0</v>
      </c>
      <c r="G445" s="182">
        <v>11334288.406108258</v>
      </c>
      <c r="H445" s="182"/>
      <c r="I445" s="182">
        <v>10847876.806223832</v>
      </c>
      <c r="J445" s="182"/>
      <c r="K445" s="182">
        <v>10292321.562428186</v>
      </c>
      <c r="L445" s="182"/>
      <c r="M445" s="182">
        <v>10292321.562428186</v>
      </c>
      <c r="N445" s="182">
        <v>0</v>
      </c>
      <c r="O445" s="182">
        <v>10778733.162312612</v>
      </c>
      <c r="P445" s="182">
        <v>486411.5998844268</v>
      </c>
      <c r="Q445" s="182">
        <v>1.7449724938432221E-2</v>
      </c>
      <c r="R445" s="182">
        <v>0</v>
      </c>
      <c r="S445" s="182">
        <f t="shared" si="67"/>
        <v>118668793.12597898</v>
      </c>
      <c r="T445" s="192">
        <f t="shared" si="69"/>
        <v>1.4292559547306904E-2</v>
      </c>
      <c r="W445" s="182">
        <v>5759990.8317865683</v>
      </c>
      <c r="X445" s="183">
        <f t="shared" si="72"/>
        <v>20602.253821499857</v>
      </c>
      <c r="Y445" s="192">
        <f t="shared" si="70"/>
        <v>1.9091473612098397E-3</v>
      </c>
    </row>
    <row r="446" spans="1:25" ht="14.4">
      <c r="A446" s="187">
        <f t="shared" si="71"/>
        <v>47433</v>
      </c>
      <c r="B446" s="182">
        <v>9468005.8443810586</v>
      </c>
      <c r="C446" s="182">
        <v>435936.57296845457</v>
      </c>
      <c r="D446" s="182">
        <v>9032069.2714126036</v>
      </c>
      <c r="E446" s="182">
        <v>0</v>
      </c>
      <c r="F446" s="189">
        <f t="shared" si="68"/>
        <v>0</v>
      </c>
      <c r="G446" s="182">
        <v>9468005.8443810586</v>
      </c>
      <c r="H446" s="182"/>
      <c r="I446" s="182">
        <v>9032069.2714126036</v>
      </c>
      <c r="J446" s="182"/>
      <c r="K446" s="182">
        <v>8619706.6443139482</v>
      </c>
      <c r="L446" s="182"/>
      <c r="M446" s="182">
        <v>8619706.6443139482</v>
      </c>
      <c r="N446" s="182">
        <v>0</v>
      </c>
      <c r="O446" s="182">
        <v>9055643.2172824033</v>
      </c>
      <c r="P446" s="182">
        <v>435936.57296845457</v>
      </c>
      <c r="Q446" s="182">
        <v>1.8529302113290402E-2</v>
      </c>
      <c r="R446" s="182">
        <v>0</v>
      </c>
      <c r="S446" s="182">
        <f t="shared" si="67"/>
        <v>118825604.66611733</v>
      </c>
      <c r="T446" s="192">
        <f t="shared" si="69"/>
        <v>1.4710155410835535E-2</v>
      </c>
      <c r="W446" s="182">
        <v>5765837.4891536171</v>
      </c>
      <c r="X446" s="183">
        <f t="shared" si="72"/>
        <v>20608.559448587592</v>
      </c>
      <c r="Y446" s="192">
        <f t="shared" si="70"/>
        <v>2.3385662334824975E-3</v>
      </c>
    </row>
    <row r="447" spans="1:25" ht="14.4">
      <c r="A447" s="187">
        <f t="shared" si="71"/>
        <v>47463</v>
      </c>
      <c r="B447" s="182">
        <v>9754031.4347781185</v>
      </c>
      <c r="C447" s="182">
        <v>414459.20532935963</v>
      </c>
      <c r="D447" s="182">
        <v>9339572.2294487581</v>
      </c>
      <c r="E447" s="182">
        <v>0</v>
      </c>
      <c r="F447" s="189">
        <f t="shared" si="68"/>
        <v>0</v>
      </c>
      <c r="G447" s="182">
        <v>9754031.4347781185</v>
      </c>
      <c r="H447" s="182"/>
      <c r="I447" s="182">
        <v>9339572.2294487581</v>
      </c>
      <c r="J447" s="182"/>
      <c r="K447" s="182">
        <v>8873052.0193170272</v>
      </c>
      <c r="L447" s="182"/>
      <c r="M447" s="182">
        <v>8873052.0193170272</v>
      </c>
      <c r="N447" s="182">
        <v>0</v>
      </c>
      <c r="O447" s="182">
        <v>9287511.2246463876</v>
      </c>
      <c r="P447" s="182">
        <v>414459.20532935963</v>
      </c>
      <c r="Q447" s="182">
        <v>1.8119317119248191E-2</v>
      </c>
      <c r="R447" s="182">
        <v>0</v>
      </c>
      <c r="S447" s="182">
        <f t="shared" si="67"/>
        <v>118983517.04500088</v>
      </c>
      <c r="T447" s="192">
        <f t="shared" si="69"/>
        <v>1.5113503194796207E-2</v>
      </c>
      <c r="W447" s="182">
        <v>5771681.5364081329</v>
      </c>
      <c r="X447" s="183">
        <f t="shared" si="72"/>
        <v>20615.052354230793</v>
      </c>
      <c r="Y447" s="192">
        <f t="shared" si="70"/>
        <v>2.7539246303724951E-3</v>
      </c>
    </row>
    <row r="448" spans="1:25" ht="14.4">
      <c r="A448" s="187">
        <f t="shared" si="71"/>
        <v>47494</v>
      </c>
      <c r="B448" s="182">
        <v>9914344.1047134623</v>
      </c>
      <c r="C448" s="182">
        <v>411315.25639085507</v>
      </c>
      <c r="D448" s="182">
        <v>9503028.8483226076</v>
      </c>
      <c r="E448" s="182">
        <v>0</v>
      </c>
      <c r="F448" s="189">
        <f t="shared" si="68"/>
        <v>0</v>
      </c>
      <c r="G448" s="182">
        <v>9914344.1047134623</v>
      </c>
      <c r="H448" s="182"/>
      <c r="I448" s="182">
        <v>9503028.8483226076</v>
      </c>
      <c r="J448" s="182"/>
      <c r="K448" s="182">
        <v>9002327.3854378462</v>
      </c>
      <c r="L448" s="182"/>
      <c r="M448" s="182">
        <v>9002327.3854378462</v>
      </c>
      <c r="N448" s="182">
        <v>0</v>
      </c>
      <c r="O448" s="182">
        <v>9413642.6418287009</v>
      </c>
      <c r="P448" s="182">
        <v>411315.25639085507</v>
      </c>
      <c r="Q448" s="182">
        <v>1.8690212775630766E-2</v>
      </c>
      <c r="R448" s="182">
        <v>0</v>
      </c>
      <c r="S448" s="182">
        <f t="shared" si="67"/>
        <v>119148685.42710526</v>
      </c>
      <c r="T448" s="192">
        <f t="shared" si="69"/>
        <v>1.5429877056525099E-2</v>
      </c>
      <c r="W448" s="182">
        <v>5777523.0678097829</v>
      </c>
      <c r="X448" s="183">
        <f t="shared" si="72"/>
        <v>20622.797006377623</v>
      </c>
      <c r="Y448" s="192">
        <f t="shared" si="70"/>
        <v>3.0833869696862415E-3</v>
      </c>
    </row>
    <row r="449" spans="1:25" ht="14.4">
      <c r="A449" s="187">
        <f t="shared" si="71"/>
        <v>47525</v>
      </c>
      <c r="B449" s="182">
        <v>8910463.4603925422</v>
      </c>
      <c r="C449" s="182">
        <v>397543.58182235388</v>
      </c>
      <c r="D449" s="182">
        <v>8512919.8785701878</v>
      </c>
      <c r="E449" s="182">
        <v>0</v>
      </c>
      <c r="F449" s="189">
        <f t="shared" si="68"/>
        <v>0</v>
      </c>
      <c r="G449" s="182">
        <v>8910463.4603925422</v>
      </c>
      <c r="H449" s="182"/>
      <c r="I449" s="182">
        <v>8512919.8785701878</v>
      </c>
      <c r="J449" s="182"/>
      <c r="K449" s="182">
        <v>8065616.0667795055</v>
      </c>
      <c r="L449" s="182"/>
      <c r="M449" s="182">
        <v>8065616.0667795055</v>
      </c>
      <c r="N449" s="182">
        <v>0</v>
      </c>
      <c r="O449" s="182">
        <v>8463159.6486018598</v>
      </c>
      <c r="P449" s="182">
        <v>397543.58182235388</v>
      </c>
      <c r="Q449" s="182">
        <v>1.9026399022898488E-2</v>
      </c>
      <c r="R449" s="182">
        <v>0</v>
      </c>
      <c r="S449" s="182">
        <f t="shared" si="67"/>
        <v>119299279.78834969</v>
      </c>
      <c r="T449" s="192">
        <f t="shared" si="69"/>
        <v>1.7638662676706884E-2</v>
      </c>
      <c r="W449" s="182">
        <v>5783362.0793671347</v>
      </c>
      <c r="X449" s="183">
        <f t="shared" si="72"/>
        <v>20628.015011193009</v>
      </c>
      <c r="Y449" s="192">
        <f t="shared" si="70"/>
        <v>5.2822993258039297E-3</v>
      </c>
    </row>
    <row r="450" spans="1:25" ht="14.4">
      <c r="A450" s="187">
        <f t="shared" si="71"/>
        <v>47554</v>
      </c>
      <c r="B450" s="182">
        <v>10067627.228567068</v>
      </c>
      <c r="C450" s="182">
        <v>469021.76375166827</v>
      </c>
      <c r="D450" s="182">
        <v>9598605.4648153987</v>
      </c>
      <c r="E450" s="182">
        <v>0</v>
      </c>
      <c r="F450" s="189">
        <f t="shared" si="68"/>
        <v>0</v>
      </c>
      <c r="G450" s="182">
        <v>10067627.228567068</v>
      </c>
      <c r="H450" s="182"/>
      <c r="I450" s="182">
        <v>9598605.4648153987</v>
      </c>
      <c r="J450" s="182"/>
      <c r="K450" s="182">
        <v>9102317.1134889424</v>
      </c>
      <c r="L450" s="182"/>
      <c r="M450" s="182">
        <v>9102317.1134889424</v>
      </c>
      <c r="N450" s="182">
        <v>0</v>
      </c>
      <c r="O450" s="182">
        <v>9571338.8772406112</v>
      </c>
      <c r="P450" s="182">
        <v>469021.76375166827</v>
      </c>
      <c r="Q450" s="182">
        <v>1.8382336393819587E-2</v>
      </c>
      <c r="R450" s="182">
        <v>0</v>
      </c>
      <c r="S450" s="182">
        <f t="shared" si="67"/>
        <v>119463581.3960699</v>
      </c>
      <c r="T450" s="192">
        <f t="shared" si="69"/>
        <v>1.7738162019753645E-2</v>
      </c>
      <c r="W450" s="182">
        <v>5789198.4932100065</v>
      </c>
      <c r="X450" s="183">
        <f t="shared" si="72"/>
        <v>20635.599476539883</v>
      </c>
      <c r="Y450" s="192">
        <f t="shared" si="70"/>
        <v>5.3975739336467043E-3</v>
      </c>
    </row>
    <row r="451" spans="1:25" ht="14.4">
      <c r="A451" s="187">
        <f t="shared" si="71"/>
        <v>47585</v>
      </c>
      <c r="B451" s="182">
        <v>10371367.412415015</v>
      </c>
      <c r="C451" s="182">
        <v>509826.94096582878</v>
      </c>
      <c r="D451" s="182">
        <v>9861540.4714491852</v>
      </c>
      <c r="E451" s="182">
        <v>0</v>
      </c>
      <c r="F451" s="189">
        <f t="shared" si="68"/>
        <v>0</v>
      </c>
      <c r="G451" s="182">
        <v>10371367.412415015</v>
      </c>
      <c r="H451" s="182"/>
      <c r="I451" s="182">
        <v>9861540.4714491852</v>
      </c>
      <c r="J451" s="182"/>
      <c r="K451" s="182">
        <v>9388009.4895062987</v>
      </c>
      <c r="L451" s="182"/>
      <c r="M451" s="182">
        <v>9388009.4895062987</v>
      </c>
      <c r="N451" s="182">
        <v>0</v>
      </c>
      <c r="O451" s="182">
        <v>9897836.4304721281</v>
      </c>
      <c r="P451" s="182">
        <v>509826.94096582878</v>
      </c>
      <c r="Q451" s="182">
        <v>1.8190189460588257E-2</v>
      </c>
      <c r="R451" s="182">
        <v>0</v>
      </c>
      <c r="S451" s="182">
        <f t="shared" si="67"/>
        <v>119631300.22997695</v>
      </c>
      <c r="T451" s="192">
        <f t="shared" si="69"/>
        <v>1.7738001222952882E-2</v>
      </c>
      <c r="W451" s="182">
        <v>5795032.8446844807</v>
      </c>
      <c r="X451" s="183">
        <f t="shared" si="72"/>
        <v>20643.765693184861</v>
      </c>
      <c r="Y451" s="192">
        <f t="shared" si="70"/>
        <v>5.4144392887438553E-3</v>
      </c>
    </row>
    <row r="452" spans="1:25" ht="14.4">
      <c r="A452" s="187">
        <f t="shared" si="71"/>
        <v>47615</v>
      </c>
      <c r="B452" s="182">
        <v>11787780.346966311</v>
      </c>
      <c r="C452" s="182">
        <v>525650.96672781685</v>
      </c>
      <c r="D452" s="182">
        <v>11262129.380238494</v>
      </c>
      <c r="E452" s="182">
        <v>0</v>
      </c>
      <c r="F452" s="189">
        <f t="shared" si="68"/>
        <v>0</v>
      </c>
      <c r="G452" s="182">
        <v>11787780.346966311</v>
      </c>
      <c r="H452" s="182"/>
      <c r="I452" s="182">
        <v>11262129.380238494</v>
      </c>
      <c r="J452" s="182"/>
      <c r="K452" s="182">
        <v>10748361.315315545</v>
      </c>
      <c r="L452" s="182"/>
      <c r="M452" s="182">
        <v>10748361.315315545</v>
      </c>
      <c r="N452" s="182">
        <v>0</v>
      </c>
      <c r="O452" s="182">
        <v>11274012.282043362</v>
      </c>
      <c r="P452" s="182">
        <v>525650.96672781685</v>
      </c>
      <c r="Q452" s="182">
        <v>1.7377506489703265E-2</v>
      </c>
      <c r="R452" s="182">
        <v>0</v>
      </c>
      <c r="S452" s="182">
        <f t="shared" ref="S452:S515" si="73">SUM(M441:M452)</f>
        <v>119814889.62262532</v>
      </c>
      <c r="T452" s="192">
        <f t="shared" si="69"/>
        <v>1.7738869124239276E-2</v>
      </c>
      <c r="W452" s="182">
        <v>5800865.474362012</v>
      </c>
      <c r="X452" s="183">
        <f t="shared" si="72"/>
        <v>20654.657507947599</v>
      </c>
      <c r="Y452" s="192">
        <f t="shared" si="70"/>
        <v>5.4323880836537608E-3</v>
      </c>
    </row>
    <row r="453" spans="1:25" ht="14.4">
      <c r="A453" s="187">
        <f t="shared" si="71"/>
        <v>47646</v>
      </c>
      <c r="B453" s="182">
        <v>12330231.706208993</v>
      </c>
      <c r="C453" s="182">
        <v>547621.87373927585</v>
      </c>
      <c r="D453" s="182">
        <v>11782609.832469717</v>
      </c>
      <c r="E453" s="182">
        <v>0</v>
      </c>
      <c r="F453" s="189">
        <f t="shared" si="68"/>
        <v>0</v>
      </c>
      <c r="G453" s="182">
        <v>12330231.706208993</v>
      </c>
      <c r="H453" s="182"/>
      <c r="I453" s="182">
        <v>11782609.832469717</v>
      </c>
      <c r="J453" s="182"/>
      <c r="K453" s="182">
        <v>11237801.913937658</v>
      </c>
      <c r="L453" s="182"/>
      <c r="M453" s="182">
        <v>11237801.913937658</v>
      </c>
      <c r="N453" s="182">
        <v>0</v>
      </c>
      <c r="O453" s="182">
        <v>11785423.787676934</v>
      </c>
      <c r="P453" s="182">
        <v>547621.87373927585</v>
      </c>
      <c r="Q453" s="182">
        <v>1.7307862919629269E-2</v>
      </c>
      <c r="R453" s="182">
        <v>0</v>
      </c>
      <c r="S453" s="182">
        <f t="shared" si="73"/>
        <v>120006082.81215417</v>
      </c>
      <c r="T453" s="192">
        <f t="shared" si="69"/>
        <v>1.7743524821951517E-2</v>
      </c>
      <c r="W453" s="182">
        <v>5806696.0558844013</v>
      </c>
      <c r="X453" s="183">
        <f t="shared" si="72"/>
        <v>20666.844218674436</v>
      </c>
      <c r="Y453" s="192">
        <f t="shared" si="70"/>
        <v>5.4541190579249221E-3</v>
      </c>
    </row>
    <row r="454" spans="1:25" ht="14.4">
      <c r="A454" s="187">
        <f t="shared" si="71"/>
        <v>47676</v>
      </c>
      <c r="B454" s="182">
        <v>13115662.680188108</v>
      </c>
      <c r="C454" s="182">
        <v>529459.5028734681</v>
      </c>
      <c r="D454" s="182">
        <v>12586203.177314641</v>
      </c>
      <c r="E454" s="182">
        <v>0</v>
      </c>
      <c r="F454" s="189">
        <f t="shared" si="68"/>
        <v>0</v>
      </c>
      <c r="G454" s="182">
        <v>13115662.680188108</v>
      </c>
      <c r="H454" s="182"/>
      <c r="I454" s="182">
        <v>12586203.177314641</v>
      </c>
      <c r="J454" s="182"/>
      <c r="K454" s="182">
        <v>11975840.412356164</v>
      </c>
      <c r="L454" s="182"/>
      <c r="M454" s="182">
        <v>11975840.412356164</v>
      </c>
      <c r="N454" s="182">
        <v>0</v>
      </c>
      <c r="O454" s="182">
        <v>12505299.915229632</v>
      </c>
      <c r="P454" s="182">
        <v>529459.5028734681</v>
      </c>
      <c r="Q454" s="182">
        <v>1.682200529172162E-2</v>
      </c>
      <c r="R454" s="182">
        <v>0</v>
      </c>
      <c r="S454" s="182">
        <f t="shared" si="73"/>
        <v>120204207.60660301</v>
      </c>
      <c r="T454" s="192">
        <f t="shared" si="69"/>
        <v>1.7742839530586973E-2</v>
      </c>
      <c r="W454" s="182">
        <v>5812524.697698907</v>
      </c>
      <c r="X454" s="183">
        <f t="shared" si="72"/>
        <v>20680.205910211458</v>
      </c>
      <c r="Y454" s="192">
        <f t="shared" si="70"/>
        <v>5.4706215032112038E-3</v>
      </c>
    </row>
    <row r="455" spans="1:25" ht="14.4">
      <c r="A455" s="187">
        <f t="shared" si="71"/>
        <v>47707</v>
      </c>
      <c r="B455" s="182">
        <v>13351024.455738042</v>
      </c>
      <c r="C455" s="182">
        <v>559698.81184290571</v>
      </c>
      <c r="D455" s="182">
        <v>12791325.643895136</v>
      </c>
      <c r="E455" s="182">
        <v>0</v>
      </c>
      <c r="F455" s="189">
        <f t="shared" si="68"/>
        <v>0</v>
      </c>
      <c r="G455" s="182">
        <v>13351024.455738042</v>
      </c>
      <c r="H455" s="182"/>
      <c r="I455" s="182">
        <v>12791325.643895136</v>
      </c>
      <c r="J455" s="182"/>
      <c r="K455" s="182">
        <v>12135970.608651195</v>
      </c>
      <c r="L455" s="182"/>
      <c r="M455" s="182">
        <v>12135970.608651195</v>
      </c>
      <c r="N455" s="182">
        <v>0</v>
      </c>
      <c r="O455" s="182">
        <v>12695669.4204941</v>
      </c>
      <c r="P455" s="182">
        <v>559698.81184290571</v>
      </c>
      <c r="Q455" s="182">
        <v>1.6785986658149676E-2</v>
      </c>
      <c r="R455" s="182">
        <v>0</v>
      </c>
      <c r="S455" s="182">
        <f t="shared" si="73"/>
        <v>120404558.75560936</v>
      </c>
      <c r="T455" s="192">
        <f t="shared" si="69"/>
        <v>1.7736469787244413E-2</v>
      </c>
      <c r="W455" s="182">
        <v>5818352.5253295721</v>
      </c>
      <c r="X455" s="183">
        <f t="shared" si="72"/>
        <v>20693.926370298304</v>
      </c>
      <c r="Y455" s="192">
        <f t="shared" si="70"/>
        <v>5.4812290334989022E-3</v>
      </c>
    </row>
    <row r="456" spans="1:25" ht="14.4">
      <c r="A456" s="187">
        <f t="shared" si="71"/>
        <v>47738</v>
      </c>
      <c r="B456" s="182">
        <v>12292319.659816468</v>
      </c>
      <c r="C456" s="182">
        <v>538743.8782321359</v>
      </c>
      <c r="D456" s="182">
        <v>11753575.781584332</v>
      </c>
      <c r="E456" s="182">
        <v>0</v>
      </c>
      <c r="F456" s="189">
        <f t="shared" si="68"/>
        <v>0</v>
      </c>
      <c r="G456" s="182">
        <v>12292319.659816468</v>
      </c>
      <c r="H456" s="182"/>
      <c r="I456" s="182">
        <v>11753575.781584332</v>
      </c>
      <c r="J456" s="182"/>
      <c r="K456" s="182">
        <v>11151412.783253632</v>
      </c>
      <c r="L456" s="182"/>
      <c r="M456" s="182">
        <v>11151412.783253632</v>
      </c>
      <c r="N456" s="182">
        <v>0</v>
      </c>
      <c r="O456" s="182">
        <v>11690156.661485769</v>
      </c>
      <c r="P456" s="182">
        <v>538743.8782321359</v>
      </c>
      <c r="Q456" s="182">
        <v>1.7164511432523177E-2</v>
      </c>
      <c r="R456" s="182">
        <v>0</v>
      </c>
      <c r="S456" s="182">
        <f t="shared" si="73"/>
        <v>120592737.31478596</v>
      </c>
      <c r="T456" s="192">
        <f t="shared" si="69"/>
        <v>1.7726574802168216E-2</v>
      </c>
      <c r="W456" s="182">
        <v>5824179.3677328341</v>
      </c>
      <c r="X456" s="183">
        <f t="shared" si="72"/>
        <v>20705.532865779311</v>
      </c>
      <c r="Y456" s="192">
        <f t="shared" si="70"/>
        <v>5.4880610853671463E-3</v>
      </c>
    </row>
    <row r="457" spans="1:25" ht="14.4">
      <c r="A457" s="187">
        <f t="shared" si="71"/>
        <v>47768</v>
      </c>
      <c r="B457" s="182">
        <v>11529740.375996277</v>
      </c>
      <c r="C457" s="182">
        <v>493495.92131265905</v>
      </c>
      <c r="D457" s="182">
        <v>11036244.454683617</v>
      </c>
      <c r="E457" s="182">
        <v>0</v>
      </c>
      <c r="F457" s="189">
        <f t="shared" si="68"/>
        <v>0</v>
      </c>
      <c r="G457" s="182">
        <v>11529740.375996277</v>
      </c>
      <c r="H457" s="182"/>
      <c r="I457" s="182">
        <v>11036244.454683617</v>
      </c>
      <c r="J457" s="182"/>
      <c r="K457" s="182">
        <v>10471109.044679835</v>
      </c>
      <c r="L457" s="182"/>
      <c r="M457" s="182">
        <v>10471109.044679835</v>
      </c>
      <c r="N457" s="182">
        <v>0</v>
      </c>
      <c r="O457" s="182">
        <v>10964604.965992494</v>
      </c>
      <c r="P457" s="182">
        <v>493495.92131265905</v>
      </c>
      <c r="Q457" s="182">
        <v>1.7370957676284382E-2</v>
      </c>
      <c r="R457" s="182">
        <v>0</v>
      </c>
      <c r="S457" s="182">
        <f t="shared" si="73"/>
        <v>120771524.79703762</v>
      </c>
      <c r="T457" s="192">
        <f t="shared" si="69"/>
        <v>1.7719331390067872E-2</v>
      </c>
      <c r="W457" s="182">
        <v>5830005.2045800015</v>
      </c>
      <c r="X457" s="183">
        <f t="shared" si="72"/>
        <v>20715.508916211696</v>
      </c>
      <c r="Y457" s="192">
        <f t="shared" si="70"/>
        <v>5.4972186874842066E-3</v>
      </c>
    </row>
    <row r="458" spans="1:25" ht="14.4">
      <c r="A458" s="187">
        <f t="shared" si="71"/>
        <v>47799</v>
      </c>
      <c r="B458" s="182">
        <v>9643322.9914471731</v>
      </c>
      <c r="C458" s="182">
        <v>442301.2733488261</v>
      </c>
      <c r="D458" s="182">
        <v>9201021.7180983461</v>
      </c>
      <c r="E458" s="182">
        <v>0</v>
      </c>
      <c r="F458" s="189">
        <f t="shared" si="68"/>
        <v>0</v>
      </c>
      <c r="G458" s="182">
        <v>9643322.9914471731</v>
      </c>
      <c r="H458" s="182"/>
      <c r="I458" s="182">
        <v>9201021.7180983461</v>
      </c>
      <c r="J458" s="182"/>
      <c r="K458" s="182">
        <v>8781023.4557320457</v>
      </c>
      <c r="L458" s="182"/>
      <c r="M458" s="182">
        <v>8781023.4557320457</v>
      </c>
      <c r="N458" s="182">
        <v>0</v>
      </c>
      <c r="O458" s="182">
        <v>9223324.7290808726</v>
      </c>
      <c r="P458" s="182">
        <v>442301.2733488261</v>
      </c>
      <c r="Q458" s="182">
        <v>1.8714884168884227E-2</v>
      </c>
      <c r="R458" s="182">
        <v>0</v>
      </c>
      <c r="S458" s="182">
        <f t="shared" si="73"/>
        <v>120932841.6084557</v>
      </c>
      <c r="T458" s="192">
        <f t="shared" si="69"/>
        <v>1.7733862564885738E-2</v>
      </c>
      <c r="W458" s="182">
        <v>5835829.9767661477</v>
      </c>
      <c r="X458" s="183">
        <f t="shared" si="72"/>
        <v>20722.475138912312</v>
      </c>
      <c r="Y458" s="192">
        <f t="shared" si="70"/>
        <v>5.527591125857434E-3</v>
      </c>
    </row>
    <row r="459" spans="1:25" ht="14.4">
      <c r="A459" s="187">
        <f t="shared" si="71"/>
        <v>47829</v>
      </c>
      <c r="B459" s="182">
        <v>9933319.0467022844</v>
      </c>
      <c r="C459" s="182">
        <v>420496.19566582353</v>
      </c>
      <c r="D459" s="182">
        <v>9512822.8510364611</v>
      </c>
      <c r="E459" s="182">
        <v>0</v>
      </c>
      <c r="F459" s="189">
        <f t="shared" si="68"/>
        <v>0</v>
      </c>
      <c r="G459" s="182">
        <v>9933319.0467022844</v>
      </c>
      <c r="H459" s="182"/>
      <c r="I459" s="182">
        <v>9512822.8510364611</v>
      </c>
      <c r="J459" s="182"/>
      <c r="K459" s="182">
        <v>9037727.5922237653</v>
      </c>
      <c r="L459" s="182"/>
      <c r="M459" s="182">
        <v>9037727.5922237653</v>
      </c>
      <c r="N459" s="182">
        <v>0</v>
      </c>
      <c r="O459" s="182">
        <v>9458223.7878895886</v>
      </c>
      <c r="P459" s="182">
        <v>420496.19566582353</v>
      </c>
      <c r="Q459" s="182">
        <v>1.8559067674598584E-2</v>
      </c>
      <c r="R459" s="182">
        <v>0</v>
      </c>
      <c r="S459" s="182">
        <f t="shared" si="73"/>
        <v>121097517.18136244</v>
      </c>
      <c r="T459" s="192">
        <f t="shared" si="69"/>
        <v>1.7767167998253175E-2</v>
      </c>
      <c r="W459" s="182">
        <v>5841653.6633599391</v>
      </c>
      <c r="X459" s="183">
        <f t="shared" si="72"/>
        <v>20730.006289299745</v>
      </c>
      <c r="Y459" s="192">
        <f t="shared" si="70"/>
        <v>5.5762135886772146E-3</v>
      </c>
    </row>
    <row r="460" spans="1:25" ht="14.4">
      <c r="A460" s="187">
        <f t="shared" si="71"/>
        <v>47860</v>
      </c>
      <c r="B460" s="182">
        <v>10063156.258832721</v>
      </c>
      <c r="C460" s="182">
        <v>417304.54018214764</v>
      </c>
      <c r="D460" s="182">
        <v>9645851.7186505739</v>
      </c>
      <c r="E460" s="182">
        <v>0</v>
      </c>
      <c r="F460" s="189">
        <f t="shared" si="68"/>
        <v>0</v>
      </c>
      <c r="G460" s="182">
        <v>10063156.258832721</v>
      </c>
      <c r="H460" s="182"/>
      <c r="I460" s="182">
        <v>9645851.7186505739</v>
      </c>
      <c r="J460" s="182"/>
      <c r="K460" s="182">
        <v>9137634.8354338575</v>
      </c>
      <c r="L460" s="182"/>
      <c r="M460" s="182">
        <v>9137634.8354338575</v>
      </c>
      <c r="N460" s="182">
        <v>0</v>
      </c>
      <c r="O460" s="182">
        <v>9554939.3756160047</v>
      </c>
      <c r="P460" s="182">
        <v>417304.54018214764</v>
      </c>
      <c r="Q460" s="182">
        <v>1.5030274306051528E-2</v>
      </c>
      <c r="R460" s="182">
        <v>0</v>
      </c>
      <c r="S460" s="182">
        <f t="shared" si="73"/>
        <v>121232824.63135844</v>
      </c>
      <c r="T460" s="192">
        <f t="shared" si="69"/>
        <v>1.7491919418013646E-2</v>
      </c>
      <c r="W460" s="182">
        <v>5847619.1783231413</v>
      </c>
      <c r="X460" s="183">
        <f t="shared" si="72"/>
        <v>20731.997234150102</v>
      </c>
      <c r="Y460" s="192">
        <f t="shared" si="70"/>
        <v>5.295122079643555E-3</v>
      </c>
    </row>
    <row r="461" spans="1:25" ht="14.4">
      <c r="A461" s="187">
        <f t="shared" si="71"/>
        <v>47891</v>
      </c>
      <c r="B461" s="182">
        <v>9043454.9030622467</v>
      </c>
      <c r="C461" s="182">
        <v>403336.58700336656</v>
      </c>
      <c r="D461" s="182">
        <v>8640118.3160588797</v>
      </c>
      <c r="E461" s="182">
        <v>0</v>
      </c>
      <c r="F461" s="189">
        <f t="shared" si="68"/>
        <v>0</v>
      </c>
      <c r="G461" s="182">
        <v>9043454.9030622467</v>
      </c>
      <c r="H461" s="182"/>
      <c r="I461" s="182">
        <v>8640118.3160588797</v>
      </c>
      <c r="J461" s="182"/>
      <c r="K461" s="182">
        <v>8186138.3555464018</v>
      </c>
      <c r="L461" s="182"/>
      <c r="M461" s="182">
        <v>8186138.3555464018</v>
      </c>
      <c r="N461" s="182">
        <v>0</v>
      </c>
      <c r="O461" s="182">
        <v>8589474.9425497688</v>
      </c>
      <c r="P461" s="182">
        <v>403336.58700336656</v>
      </c>
      <c r="Q461" s="182">
        <v>1.4942725734653051E-2</v>
      </c>
      <c r="R461" s="182">
        <v>0</v>
      </c>
      <c r="S461" s="182">
        <f t="shared" si="73"/>
        <v>121353346.92012532</v>
      </c>
      <c r="T461" s="192">
        <f t="shared" si="69"/>
        <v>1.7217766405797086E-2</v>
      </c>
      <c r="W461" s="182">
        <v>5853579.148379541</v>
      </c>
      <c r="X461" s="183">
        <f t="shared" si="72"/>
        <v>20731.477928972708</v>
      </c>
      <c r="Y461" s="192">
        <f t="shared" si="70"/>
        <v>5.0156506926894995E-3</v>
      </c>
    </row>
    <row r="462" spans="1:25" ht="14.4">
      <c r="A462" s="187">
        <f t="shared" si="71"/>
        <v>47920</v>
      </c>
      <c r="B462" s="182">
        <v>10211042.399532037</v>
      </c>
      <c r="C462" s="182">
        <v>475862.65445309639</v>
      </c>
      <c r="D462" s="182">
        <v>9735179.7450789399</v>
      </c>
      <c r="E462" s="182">
        <v>0</v>
      </c>
      <c r="F462" s="189">
        <f t="shared" si="68"/>
        <v>0</v>
      </c>
      <c r="G462" s="182">
        <v>10211042.399532037</v>
      </c>
      <c r="H462" s="182"/>
      <c r="I462" s="182">
        <v>9735179.7450789399</v>
      </c>
      <c r="J462" s="182"/>
      <c r="K462" s="182">
        <v>9231821.6764161624</v>
      </c>
      <c r="L462" s="182"/>
      <c r="M462" s="182">
        <v>9231821.6764161624</v>
      </c>
      <c r="N462" s="182">
        <v>0</v>
      </c>
      <c r="O462" s="182">
        <v>9707684.3308692593</v>
      </c>
      <c r="P462" s="182">
        <v>475862.65445309639</v>
      </c>
      <c r="Q462" s="182">
        <v>1.4227647895864282E-2</v>
      </c>
      <c r="R462" s="182">
        <v>0</v>
      </c>
      <c r="S462" s="182">
        <f t="shared" si="73"/>
        <v>121482851.48305255</v>
      </c>
      <c r="T462" s="192">
        <f t="shared" si="69"/>
        <v>1.6902808901132493E-2</v>
      </c>
      <c r="Y462" s="192">
        <f t="shared" si="70"/>
        <v>-1</v>
      </c>
    </row>
    <row r="463" spans="1:25" ht="14.4">
      <c r="A463" s="187">
        <f t="shared" si="71"/>
        <v>47951</v>
      </c>
      <c r="B463" s="182">
        <v>10514520.191509983</v>
      </c>
      <c r="C463" s="182">
        <v>517270.19777560374</v>
      </c>
      <c r="D463" s="182">
        <v>9997249.9937343784</v>
      </c>
      <c r="E463" s="182">
        <v>0</v>
      </c>
      <c r="F463" s="189">
        <f t="shared" si="68"/>
        <v>0</v>
      </c>
      <c r="G463" s="182">
        <v>10514520.191509983</v>
      </c>
      <c r="H463" s="182"/>
      <c r="I463" s="182">
        <v>9997249.9937343784</v>
      </c>
      <c r="J463" s="182"/>
      <c r="K463" s="182">
        <v>9517183.0099937394</v>
      </c>
      <c r="L463" s="182"/>
      <c r="M463" s="182">
        <v>9517183.0099937394</v>
      </c>
      <c r="N463" s="182">
        <v>0</v>
      </c>
      <c r="O463" s="182">
        <v>10034453.207769344</v>
      </c>
      <c r="P463" s="182">
        <v>517270.19777560374</v>
      </c>
      <c r="Q463" s="182">
        <v>1.3759415202107217E-2</v>
      </c>
      <c r="R463" s="182">
        <v>0</v>
      </c>
      <c r="S463" s="182">
        <f t="shared" si="73"/>
        <v>121612025.00353998</v>
      </c>
      <c r="T463" s="192">
        <f t="shared" si="69"/>
        <v>1.6556910856567741E-2</v>
      </c>
      <c r="Y463" s="192">
        <f t="shared" si="70"/>
        <v>-1</v>
      </c>
    </row>
    <row r="464" spans="1:25" ht="14.4">
      <c r="A464" s="187">
        <f t="shared" si="71"/>
        <v>47981</v>
      </c>
      <c r="B464" s="182">
        <v>11948370.668879731</v>
      </c>
      <c r="C464" s="182">
        <v>533304.69164000184</v>
      </c>
      <c r="D464" s="182">
        <v>11415065.977239728</v>
      </c>
      <c r="E464" s="182">
        <v>0</v>
      </c>
      <c r="F464" s="189">
        <f t="shared" ref="F464:F527" si="74">SUM(E453:E463)</f>
        <v>0</v>
      </c>
      <c r="G464" s="182">
        <v>11948370.668879731</v>
      </c>
      <c r="H464" s="182"/>
      <c r="I464" s="182">
        <v>11415065.977239728</v>
      </c>
      <c r="J464" s="182"/>
      <c r="K464" s="182">
        <v>10894298.6150355</v>
      </c>
      <c r="L464" s="182"/>
      <c r="M464" s="182">
        <v>10894298.6150355</v>
      </c>
      <c r="N464" s="182">
        <v>0</v>
      </c>
      <c r="O464" s="182">
        <v>11427603.306675503</v>
      </c>
      <c r="P464" s="182">
        <v>533304.69164000184</v>
      </c>
      <c r="Q464" s="182">
        <v>1.3577632481707402E-2</v>
      </c>
      <c r="R464" s="182">
        <v>0</v>
      </c>
      <c r="S464" s="182">
        <f t="shared" si="73"/>
        <v>121757962.30325997</v>
      </c>
      <c r="T464" s="192">
        <f t="shared" si="69"/>
        <v>1.6217288909205152E-2</v>
      </c>
      <c r="Y464" s="192">
        <f t="shared" si="70"/>
        <v>-1</v>
      </c>
    </row>
    <row r="465" spans="1:25" ht="14.4">
      <c r="A465" s="187">
        <f t="shared" si="71"/>
        <v>48012</v>
      </c>
      <c r="B465" s="182">
        <v>12497728.429814776</v>
      </c>
      <c r="C465" s="182">
        <v>555584.75892711733</v>
      </c>
      <c r="D465" s="182">
        <v>11942143.670887658</v>
      </c>
      <c r="E465" s="182">
        <v>0</v>
      </c>
      <c r="F465" s="189">
        <f t="shared" si="74"/>
        <v>0</v>
      </c>
      <c r="G465" s="182">
        <v>12497728.429814776</v>
      </c>
      <c r="H465" s="182"/>
      <c r="I465" s="182">
        <v>11942143.670887658</v>
      </c>
      <c r="J465" s="182"/>
      <c r="K465" s="182">
        <v>11389934.955393881</v>
      </c>
      <c r="L465" s="182"/>
      <c r="M465" s="182">
        <v>11389934.955393881</v>
      </c>
      <c r="N465" s="182">
        <v>0</v>
      </c>
      <c r="O465" s="182">
        <v>11945519.714320999</v>
      </c>
      <c r="P465" s="182">
        <v>555584.75892711733</v>
      </c>
      <c r="Q465" s="182">
        <v>1.353761550713406E-2</v>
      </c>
      <c r="R465" s="182">
        <v>0</v>
      </c>
      <c r="S465" s="182">
        <f t="shared" si="73"/>
        <v>121910095.34471619</v>
      </c>
      <c r="T465" s="192">
        <f t="shared" si="69"/>
        <v>1.5865966857216529E-2</v>
      </c>
      <c r="Y465" s="192">
        <f t="shared" si="70"/>
        <v>-1</v>
      </c>
    </row>
    <row r="466" spans="1:25" ht="14.4">
      <c r="A466" s="187">
        <f t="shared" si="71"/>
        <v>48042</v>
      </c>
      <c r="B466" s="182">
        <v>13293149.168209549</v>
      </c>
      <c r="C466" s="182">
        <v>537126.43324133405</v>
      </c>
      <c r="D466" s="182">
        <v>12756022.734968215</v>
      </c>
      <c r="E466" s="182">
        <v>0</v>
      </c>
      <c r="F466" s="189">
        <f t="shared" si="74"/>
        <v>0</v>
      </c>
      <c r="G466" s="182">
        <v>13293149.168209549</v>
      </c>
      <c r="H466" s="182"/>
      <c r="I466" s="182">
        <v>12756022.734968215</v>
      </c>
      <c r="J466" s="182"/>
      <c r="K466" s="182">
        <v>12137400.292537615</v>
      </c>
      <c r="L466" s="182"/>
      <c r="M466" s="182">
        <v>12137400.292537615</v>
      </c>
      <c r="N466" s="182">
        <v>0</v>
      </c>
      <c r="O466" s="182">
        <v>12674526.725778949</v>
      </c>
      <c r="P466" s="182">
        <v>537126.43324133405</v>
      </c>
      <c r="Q466" s="182">
        <v>1.3490483725447699E-2</v>
      </c>
      <c r="R466" s="182">
        <v>0</v>
      </c>
      <c r="S466" s="182">
        <f t="shared" si="73"/>
        <v>122071655.22489764</v>
      </c>
      <c r="T466" s="192">
        <f t="shared" si="69"/>
        <v>1.5535626044025808E-2</v>
      </c>
      <c r="Y466" s="192">
        <f t="shared" si="70"/>
        <v>-1</v>
      </c>
    </row>
    <row r="467" spans="1:25" ht="14.4">
      <c r="A467" s="187">
        <f t="shared" si="71"/>
        <v>48073</v>
      </c>
      <c r="B467" s="182">
        <v>13532110.94929059</v>
      </c>
      <c r="C467" s="182">
        <v>567821.68253239896</v>
      </c>
      <c r="D467" s="182">
        <v>12964289.266758192</v>
      </c>
      <c r="E467" s="182">
        <v>0</v>
      </c>
      <c r="F467" s="189">
        <f t="shared" si="74"/>
        <v>0</v>
      </c>
      <c r="G467" s="182">
        <v>13532110.94929059</v>
      </c>
      <c r="H467" s="182"/>
      <c r="I467" s="182">
        <v>12964289.266758192</v>
      </c>
      <c r="J467" s="182"/>
      <c r="K467" s="182">
        <v>12300045.329710662</v>
      </c>
      <c r="L467" s="182"/>
      <c r="M467" s="182">
        <v>12300045.329710662</v>
      </c>
      <c r="N467" s="182">
        <v>0</v>
      </c>
      <c r="O467" s="182">
        <v>12867867.012243062</v>
      </c>
      <c r="P467" s="182">
        <v>567821.68253239896</v>
      </c>
      <c r="Q467" s="182">
        <v>1.3519703231854141E-2</v>
      </c>
      <c r="R467" s="182">
        <v>0</v>
      </c>
      <c r="S467" s="182">
        <f t="shared" si="73"/>
        <v>122235729.94595711</v>
      </c>
      <c r="T467" s="192">
        <f t="shared" si="69"/>
        <v>1.520848719743717E-2</v>
      </c>
      <c r="Y467" s="192">
        <f t="shared" si="70"/>
        <v>-1</v>
      </c>
    </row>
    <row r="468" spans="1:25" ht="14.4">
      <c r="A468" s="187">
        <f t="shared" si="71"/>
        <v>48104</v>
      </c>
      <c r="B468" s="182">
        <v>12461149.122680912</v>
      </c>
      <c r="C468" s="182">
        <v>546593.09419815382</v>
      </c>
      <c r="D468" s="182">
        <v>11914556.028482758</v>
      </c>
      <c r="E468" s="182">
        <v>0</v>
      </c>
      <c r="F468" s="189">
        <f t="shared" si="74"/>
        <v>0</v>
      </c>
      <c r="G468" s="182">
        <v>12461149.122680912</v>
      </c>
      <c r="H468" s="182"/>
      <c r="I468" s="182">
        <v>11914556.028482758</v>
      </c>
      <c r="J468" s="182"/>
      <c r="K468" s="182">
        <v>11304122.593132971</v>
      </c>
      <c r="L468" s="182"/>
      <c r="M468" s="182">
        <v>11304122.593132971</v>
      </c>
      <c r="N468" s="182">
        <v>0</v>
      </c>
      <c r="O468" s="182">
        <v>11850715.687331125</v>
      </c>
      <c r="P468" s="182">
        <v>546593.09419815382</v>
      </c>
      <c r="Q468" s="182">
        <v>1.3694211921620125E-2</v>
      </c>
      <c r="R468" s="182">
        <v>0</v>
      </c>
      <c r="S468" s="182">
        <f t="shared" si="73"/>
        <v>122388439.75583643</v>
      </c>
      <c r="T468" s="192">
        <f t="shared" si="69"/>
        <v>1.4890635050128331E-2</v>
      </c>
      <c r="Y468" s="192">
        <f t="shared" si="70"/>
        <v>-1</v>
      </c>
    </row>
    <row r="469" spans="1:25" ht="14.4">
      <c r="A469" s="187">
        <f t="shared" si="71"/>
        <v>48134</v>
      </c>
      <c r="B469" s="182">
        <v>11689918.980592478</v>
      </c>
      <c r="C469" s="182">
        <v>500683.9029489113</v>
      </c>
      <c r="D469" s="182">
        <v>11189235.077643566</v>
      </c>
      <c r="E469" s="182">
        <v>0</v>
      </c>
      <c r="F469" s="189">
        <f t="shared" si="74"/>
        <v>0</v>
      </c>
      <c r="G469" s="182">
        <v>11689918.980592478</v>
      </c>
      <c r="H469" s="182"/>
      <c r="I469" s="182">
        <v>11189235.077643566</v>
      </c>
      <c r="J469" s="182"/>
      <c r="K469" s="182">
        <v>10616248.441295542</v>
      </c>
      <c r="L469" s="182"/>
      <c r="M469" s="182">
        <v>10616248.441295542</v>
      </c>
      <c r="N469" s="182">
        <v>0</v>
      </c>
      <c r="O469" s="182">
        <v>11116932.344244452</v>
      </c>
      <c r="P469" s="182">
        <v>500683.9029489113</v>
      </c>
      <c r="Q469" s="182">
        <v>1.3860938320516158E-2</v>
      </c>
      <c r="R469" s="182">
        <v>0</v>
      </c>
      <c r="S469" s="182">
        <f t="shared" si="73"/>
        <v>122533579.15245214</v>
      </c>
      <c r="T469" s="192">
        <f t="shared" si="69"/>
        <v>1.4589981855207546E-2</v>
      </c>
      <c r="Y469" s="192">
        <f t="shared" si="70"/>
        <v>-1</v>
      </c>
    </row>
    <row r="470" spans="1:25" ht="14.4">
      <c r="A470" s="187">
        <f t="shared" si="71"/>
        <v>48165</v>
      </c>
      <c r="B470" s="182">
        <v>9781246.8886487577</v>
      </c>
      <c r="C470" s="182">
        <v>448759.30071738438</v>
      </c>
      <c r="D470" s="182">
        <v>9332487.5879313741</v>
      </c>
      <c r="E470" s="182">
        <v>0</v>
      </c>
      <c r="F470" s="189">
        <f t="shared" si="74"/>
        <v>0</v>
      </c>
      <c r="G470" s="182">
        <v>9781246.8886487577</v>
      </c>
      <c r="H470" s="182"/>
      <c r="I470" s="182">
        <v>9332487.5879313741</v>
      </c>
      <c r="J470" s="182"/>
      <c r="K470" s="182">
        <v>8906482.288653126</v>
      </c>
      <c r="L470" s="182"/>
      <c r="M470" s="182">
        <v>8906482.288653126</v>
      </c>
      <c r="N470" s="182">
        <v>0</v>
      </c>
      <c r="O470" s="182">
        <v>9355241.5893705096</v>
      </c>
      <c r="P470" s="182">
        <v>448759.30071738438</v>
      </c>
      <c r="Q470" s="182">
        <v>1.4287495478580325E-2</v>
      </c>
      <c r="R470" s="182">
        <v>0</v>
      </c>
      <c r="S470" s="182">
        <f t="shared" si="73"/>
        <v>122659037.98537321</v>
      </c>
      <c r="T470" s="192">
        <f t="shared" si="69"/>
        <v>1.4274008234309132E-2</v>
      </c>
      <c r="Y470" s="192">
        <f t="shared" si="70"/>
        <v>-1</v>
      </c>
    </row>
    <row r="471" spans="1:25" ht="14.4">
      <c r="A471" s="187">
        <f t="shared" si="71"/>
        <v>48195</v>
      </c>
      <c r="B471" s="182">
        <v>10075498.904301764</v>
      </c>
      <c r="C471" s="182">
        <v>426621.52911133657</v>
      </c>
      <c r="D471" s="182">
        <v>9648877.3751904275</v>
      </c>
      <c r="E471" s="182">
        <v>0</v>
      </c>
      <c r="F471" s="189">
        <f t="shared" si="74"/>
        <v>0</v>
      </c>
      <c r="G471" s="182">
        <v>10075498.904301764</v>
      </c>
      <c r="H471" s="182"/>
      <c r="I471" s="182">
        <v>9648877.3751904275</v>
      </c>
      <c r="J471" s="182"/>
      <c r="K471" s="182">
        <v>9166981.874089472</v>
      </c>
      <c r="L471" s="182"/>
      <c r="M471" s="182">
        <v>9166981.874089472</v>
      </c>
      <c r="N471" s="182">
        <v>0</v>
      </c>
      <c r="O471" s="182">
        <v>9593603.4032008089</v>
      </c>
      <c r="P471" s="182">
        <v>426621.52911133657</v>
      </c>
      <c r="Q471" s="182">
        <v>1.4301635067748508E-2</v>
      </c>
      <c r="R471" s="182">
        <v>0</v>
      </c>
      <c r="S471" s="182">
        <f t="shared" si="73"/>
        <v>122788292.26723891</v>
      </c>
      <c r="T471" s="192">
        <f t="shared" si="69"/>
        <v>1.3962095385855688E-2</v>
      </c>
      <c r="Y471" s="192">
        <f t="shared" si="70"/>
        <v>-1</v>
      </c>
    </row>
    <row r="472" spans="1:25" ht="14.4">
      <c r="A472" s="187">
        <f t="shared" si="71"/>
        <v>48226</v>
      </c>
      <c r="B472" s="182">
        <v>10200780.732587934</v>
      </c>
      <c r="C472" s="182">
        <v>423381.44475541601</v>
      </c>
      <c r="D472" s="182">
        <v>9777399.2878325172</v>
      </c>
      <c r="E472" s="182">
        <v>0</v>
      </c>
      <c r="F472" s="189">
        <f t="shared" si="74"/>
        <v>0</v>
      </c>
      <c r="G472" s="182">
        <v>10200780.732587934</v>
      </c>
      <c r="H472" s="182"/>
      <c r="I472" s="182">
        <v>9777399.2878325172</v>
      </c>
      <c r="J472" s="182"/>
      <c r="K472" s="182">
        <v>9262231.9927065335</v>
      </c>
      <c r="L472" s="182"/>
      <c r="M472" s="182">
        <v>9262231.9927065335</v>
      </c>
      <c r="N472" s="182">
        <v>0</v>
      </c>
      <c r="O472" s="182">
        <v>9685613.4374619499</v>
      </c>
      <c r="P472" s="182">
        <v>423381.44475541601</v>
      </c>
      <c r="Q472" s="182">
        <v>1.3635602594832763E-2</v>
      </c>
      <c r="R472" s="182">
        <v>0</v>
      </c>
      <c r="S472" s="182">
        <f t="shared" si="73"/>
        <v>122912889.42451161</v>
      </c>
      <c r="T472" s="192">
        <f t="shared" si="69"/>
        <v>1.3858167524033682E-2</v>
      </c>
      <c r="Y472" s="192">
        <f t="shared" si="70"/>
        <v>-1</v>
      </c>
    </row>
    <row r="473" spans="1:25" ht="14.4">
      <c r="A473" s="187">
        <f t="shared" si="71"/>
        <v>48257</v>
      </c>
      <c r="B473" s="182">
        <v>9421107.6011080183</v>
      </c>
      <c r="C473" s="182">
        <v>409214.39537723211</v>
      </c>
      <c r="D473" s="182">
        <v>9011893.2057307865</v>
      </c>
      <c r="E473" s="182">
        <v>0</v>
      </c>
      <c r="F473" s="189">
        <f t="shared" si="74"/>
        <v>0</v>
      </c>
      <c r="G473" s="182">
        <v>9421107.6011080183</v>
      </c>
      <c r="H473" s="182"/>
      <c r="I473" s="182">
        <v>9011893.2057307865</v>
      </c>
      <c r="J473" s="182"/>
      <c r="K473" s="182">
        <v>8538955.1413980313</v>
      </c>
      <c r="L473" s="182"/>
      <c r="M473" s="182">
        <v>8538955.1413980313</v>
      </c>
      <c r="N473" s="182">
        <v>0</v>
      </c>
      <c r="O473" s="182">
        <v>8948169.536775263</v>
      </c>
      <c r="P473" s="182">
        <v>409214.39537723211</v>
      </c>
      <c r="Q473" s="182">
        <v>4.309929426157133E-2</v>
      </c>
      <c r="R473" s="182">
        <v>0</v>
      </c>
      <c r="S473" s="182">
        <f t="shared" si="73"/>
        <v>123265706.21036322</v>
      </c>
      <c r="T473" s="192">
        <f t="shared" si="69"/>
        <v>1.5758603604864918E-2</v>
      </c>
      <c r="Y473" s="192">
        <f t="shared" si="70"/>
        <v>-1</v>
      </c>
    </row>
    <row r="474" spans="1:25" ht="14.4">
      <c r="A474" s="187">
        <f t="shared" si="71"/>
        <v>48286</v>
      </c>
      <c r="B474" s="182">
        <v>10342988.926890014</v>
      </c>
      <c r="C474" s="182">
        <v>482803.7680320181</v>
      </c>
      <c r="D474" s="182">
        <v>9860185.1588579956</v>
      </c>
      <c r="E474" s="182">
        <v>0</v>
      </c>
      <c r="F474" s="189">
        <f t="shared" si="74"/>
        <v>0</v>
      </c>
      <c r="G474" s="182">
        <v>10342988.926890014</v>
      </c>
      <c r="H474" s="182"/>
      <c r="I474" s="182">
        <v>9860185.1588579956</v>
      </c>
      <c r="J474" s="182"/>
      <c r="K474" s="182">
        <v>9350322.7249620762</v>
      </c>
      <c r="L474" s="182"/>
      <c r="M474" s="182">
        <v>9350322.7249620762</v>
      </c>
      <c r="N474" s="182">
        <v>0</v>
      </c>
      <c r="O474" s="182">
        <v>9833126.4929940943</v>
      </c>
      <c r="P474" s="182">
        <v>482803.7680320181</v>
      </c>
      <c r="Q474" s="182">
        <v>1.2836150079527542E-2</v>
      </c>
      <c r="R474" s="182">
        <v>0</v>
      </c>
      <c r="S474" s="182">
        <f t="shared" si="73"/>
        <v>123384207.25890914</v>
      </c>
      <c r="T474" s="192">
        <f t="shared" si="69"/>
        <v>1.5651227746509067E-2</v>
      </c>
      <c r="Y474" s="192" t="e">
        <f t="shared" si="70"/>
        <v>#DIV/0!</v>
      </c>
    </row>
    <row r="475" spans="1:25" ht="14.4">
      <c r="A475" s="187">
        <f t="shared" si="71"/>
        <v>48317</v>
      </c>
      <c r="B475" s="182">
        <v>10646141.597526142</v>
      </c>
      <c r="C475" s="182">
        <v>524822.59355621564</v>
      </c>
      <c r="D475" s="182">
        <v>10121319.003969926</v>
      </c>
      <c r="E475" s="182">
        <v>0</v>
      </c>
      <c r="F475" s="189">
        <f t="shared" si="74"/>
        <v>0</v>
      </c>
      <c r="G475" s="182">
        <v>10646141.597526142</v>
      </c>
      <c r="H475" s="182"/>
      <c r="I475" s="182">
        <v>10121319.003969926</v>
      </c>
      <c r="J475" s="182"/>
      <c r="K475" s="182">
        <v>9635242.5124028716</v>
      </c>
      <c r="L475" s="182"/>
      <c r="M475" s="182">
        <v>9635242.5124028716</v>
      </c>
      <c r="N475" s="182">
        <v>0</v>
      </c>
      <c r="O475" s="182">
        <v>10160065.105959088</v>
      </c>
      <c r="P475" s="182">
        <v>524822.59355621564</v>
      </c>
      <c r="Q475" s="182">
        <v>1.2404878868585545E-2</v>
      </c>
      <c r="R475" s="182">
        <v>0</v>
      </c>
      <c r="S475" s="182">
        <f t="shared" si="73"/>
        <v>123502266.76131828</v>
      </c>
      <c r="T475" s="192">
        <f t="shared" si="69"/>
        <v>1.5543214231678704E-2</v>
      </c>
      <c r="Y475" s="192" t="e">
        <f t="shared" si="70"/>
        <v>#DIV/0!</v>
      </c>
    </row>
    <row r="476" spans="1:25" ht="14.4">
      <c r="A476" s="187">
        <f t="shared" si="71"/>
        <v>48347</v>
      </c>
      <c r="B476" s="182">
        <v>12097000.890530132</v>
      </c>
      <c r="C476" s="182">
        <v>541070.38191839086</v>
      </c>
      <c r="D476" s="182">
        <v>11555930.508611741</v>
      </c>
      <c r="E476" s="182">
        <v>0</v>
      </c>
      <c r="F476" s="189">
        <f t="shared" si="74"/>
        <v>0</v>
      </c>
      <c r="G476" s="182">
        <v>12097000.890530132</v>
      </c>
      <c r="H476" s="182"/>
      <c r="I476" s="182">
        <v>11555930.508611741</v>
      </c>
      <c r="J476" s="182"/>
      <c r="K476" s="182">
        <v>11028685.127720471</v>
      </c>
      <c r="L476" s="182"/>
      <c r="M476" s="182">
        <v>11028685.127720471</v>
      </c>
      <c r="N476" s="182">
        <v>0</v>
      </c>
      <c r="O476" s="182">
        <v>11569755.509638863</v>
      </c>
      <c r="P476" s="182">
        <v>541070.38191839086</v>
      </c>
      <c r="Q476" s="182">
        <v>1.2335490097499235E-2</v>
      </c>
      <c r="R476" s="182">
        <v>0</v>
      </c>
      <c r="S476" s="182">
        <f t="shared" si="73"/>
        <v>123636653.27400325</v>
      </c>
      <c r="T476" s="192">
        <f t="shared" si="69"/>
        <v>1.5429717574149793E-2</v>
      </c>
      <c r="Y476" s="192" t="e">
        <f t="shared" si="70"/>
        <v>#DIV/0!</v>
      </c>
    </row>
    <row r="477" spans="1:25" ht="14.4">
      <c r="A477" s="187">
        <f t="shared" si="71"/>
        <v>48378</v>
      </c>
      <c r="B477" s="182">
        <v>12652927.136063052</v>
      </c>
      <c r="C477" s="182">
        <v>563663.99603733455</v>
      </c>
      <c r="D477" s="182">
        <v>12089263.140025718</v>
      </c>
      <c r="E477" s="182">
        <v>0</v>
      </c>
      <c r="F477" s="189">
        <f t="shared" si="74"/>
        <v>0</v>
      </c>
      <c r="G477" s="182">
        <v>12652927.136063052</v>
      </c>
      <c r="H477" s="182"/>
      <c r="I477" s="182">
        <v>12089263.140025718</v>
      </c>
      <c r="J477" s="182"/>
      <c r="K477" s="182">
        <v>11530197.012106558</v>
      </c>
      <c r="L477" s="182"/>
      <c r="M477" s="182">
        <v>11530197.012106558</v>
      </c>
      <c r="N477" s="182">
        <v>0</v>
      </c>
      <c r="O477" s="182">
        <v>12093861.008143893</v>
      </c>
      <c r="P477" s="182">
        <v>563663.99603733455</v>
      </c>
      <c r="Q477" s="182">
        <v>1.2314561695214499E-2</v>
      </c>
      <c r="R477" s="182">
        <v>0</v>
      </c>
      <c r="S477" s="182">
        <f t="shared" si="73"/>
        <v>123776915.33071592</v>
      </c>
      <c r="T477" s="192">
        <f t="shared" si="69"/>
        <v>1.5313087736672282E-2</v>
      </c>
      <c r="Y477" s="192" t="e">
        <f t="shared" si="70"/>
        <v>#DIV/0!</v>
      </c>
    </row>
    <row r="478" spans="1:25" ht="14.4">
      <c r="A478" s="187">
        <f t="shared" si="71"/>
        <v>48408</v>
      </c>
      <c r="B478" s="182">
        <v>13457773.277393976</v>
      </c>
      <c r="C478" s="182">
        <v>544904.98705265962</v>
      </c>
      <c r="D478" s="182">
        <v>12912868.290341316</v>
      </c>
      <c r="E478" s="182">
        <v>0</v>
      </c>
      <c r="F478" s="189">
        <f t="shared" si="74"/>
        <v>0</v>
      </c>
      <c r="G478" s="182">
        <v>13457773.277393976</v>
      </c>
      <c r="H478" s="182"/>
      <c r="I478" s="182">
        <v>12912868.290341316</v>
      </c>
      <c r="J478" s="182"/>
      <c r="K478" s="182">
        <v>12286584.746149352</v>
      </c>
      <c r="L478" s="182"/>
      <c r="M478" s="182">
        <v>12286584.746149352</v>
      </c>
      <c r="N478" s="182">
        <v>0</v>
      </c>
      <c r="O478" s="182">
        <v>12831489.733202012</v>
      </c>
      <c r="P478" s="182">
        <v>544904.98705265962</v>
      </c>
      <c r="Q478" s="182">
        <v>1.2291302092381384E-2</v>
      </c>
      <c r="R478" s="182">
        <v>0</v>
      </c>
      <c r="S478" s="182">
        <f t="shared" si="73"/>
        <v>123926099.78432766</v>
      </c>
      <c r="T478" s="192">
        <f t="shared" si="69"/>
        <v>1.5191442731021354E-2</v>
      </c>
      <c r="Y478" s="192" t="e">
        <f t="shared" si="70"/>
        <v>#DIV/0!</v>
      </c>
    </row>
    <row r="479" spans="1:25" ht="14.4">
      <c r="A479" s="187">
        <f t="shared" si="71"/>
        <v>48439</v>
      </c>
      <c r="B479" s="182">
        <v>13699898.46278083</v>
      </c>
      <c r="C479" s="182">
        <v>576063.04467061046</v>
      </c>
      <c r="D479" s="182">
        <v>13123835.41811022</v>
      </c>
      <c r="E479" s="182">
        <v>0</v>
      </c>
      <c r="F479" s="189">
        <f t="shared" si="74"/>
        <v>0</v>
      </c>
      <c r="G479" s="182">
        <v>13699898.46278083</v>
      </c>
      <c r="H479" s="182"/>
      <c r="I479" s="182">
        <v>13123835.41811022</v>
      </c>
      <c r="J479" s="182"/>
      <c r="K479" s="182">
        <v>12451355.379617335</v>
      </c>
      <c r="L479" s="182"/>
      <c r="M479" s="182">
        <v>12451355.379617335</v>
      </c>
      <c r="N479" s="182">
        <v>0</v>
      </c>
      <c r="O479" s="182">
        <v>13027418.424287945</v>
      </c>
      <c r="P479" s="182">
        <v>576063.04467061046</v>
      </c>
      <c r="Q479" s="182">
        <v>1.230158473816223E-2</v>
      </c>
      <c r="R479" s="182">
        <v>0</v>
      </c>
      <c r="S479" s="182">
        <f t="shared" si="73"/>
        <v>124077409.83423433</v>
      </c>
      <c r="T479" s="192">
        <f t="shared" si="69"/>
        <v>1.506662486567123E-2</v>
      </c>
      <c r="Y479" s="192" t="e">
        <f t="shared" si="70"/>
        <v>#DIV/0!</v>
      </c>
    </row>
    <row r="480" spans="1:25" ht="14.4">
      <c r="A480" s="187">
        <f t="shared" si="71"/>
        <v>48470</v>
      </c>
      <c r="B480" s="182">
        <v>12616442.224695887</v>
      </c>
      <c r="C480" s="182">
        <v>554557.19679897185</v>
      </c>
      <c r="D480" s="182">
        <v>12061885.027896915</v>
      </c>
      <c r="E480" s="182">
        <v>0</v>
      </c>
      <c r="F480" s="189">
        <f t="shared" si="74"/>
        <v>0</v>
      </c>
      <c r="G480" s="182">
        <v>12616442.224695887</v>
      </c>
      <c r="H480" s="182"/>
      <c r="I480" s="182">
        <v>12061885.027896915</v>
      </c>
      <c r="J480" s="182"/>
      <c r="K480" s="182">
        <v>11443844.260284603</v>
      </c>
      <c r="L480" s="182"/>
      <c r="M480" s="182">
        <v>11443844.260284603</v>
      </c>
      <c r="N480" s="182">
        <v>0</v>
      </c>
      <c r="O480" s="182">
        <v>11998401.457083574</v>
      </c>
      <c r="P480" s="182">
        <v>554557.19679897185</v>
      </c>
      <c r="Q480" s="182">
        <v>1.2360239903671077E-2</v>
      </c>
      <c r="R480" s="182">
        <v>0</v>
      </c>
      <c r="S480" s="182">
        <f t="shared" si="73"/>
        <v>124217131.50138596</v>
      </c>
      <c r="T480" s="192">
        <f t="shared" si="69"/>
        <v>1.4941703229469638E-2</v>
      </c>
      <c r="Y480" s="192" t="e">
        <f t="shared" si="70"/>
        <v>#DIV/0!</v>
      </c>
    </row>
    <row r="481" spans="1:25" ht="14.4">
      <c r="A481" s="187">
        <f t="shared" si="71"/>
        <v>48500</v>
      </c>
      <c r="B481" s="182">
        <v>11835895.504098203</v>
      </c>
      <c r="C481" s="182">
        <v>507977.06767398311</v>
      </c>
      <c r="D481" s="182">
        <v>11327918.43642422</v>
      </c>
      <c r="E481" s="182">
        <v>0</v>
      </c>
      <c r="F481" s="189">
        <f t="shared" si="74"/>
        <v>0</v>
      </c>
      <c r="G481" s="182">
        <v>11835895.504098203</v>
      </c>
      <c r="H481" s="182"/>
      <c r="I481" s="182">
        <v>11327918.43642422</v>
      </c>
      <c r="J481" s="182"/>
      <c r="K481" s="182">
        <v>10747776.695123954</v>
      </c>
      <c r="L481" s="182"/>
      <c r="M481" s="182">
        <v>10747776.695123954</v>
      </c>
      <c r="N481" s="182">
        <v>0</v>
      </c>
      <c r="O481" s="182">
        <v>11255753.762797937</v>
      </c>
      <c r="P481" s="182">
        <v>507977.06767398311</v>
      </c>
      <c r="Q481" s="182">
        <v>1.2389334571032418E-2</v>
      </c>
      <c r="R481" s="182">
        <v>0</v>
      </c>
      <c r="S481" s="182">
        <f t="shared" si="73"/>
        <v>124348659.75521438</v>
      </c>
      <c r="T481" s="192">
        <f t="shared" si="69"/>
        <v>1.4812924059812049E-2</v>
      </c>
      <c r="Y481" s="192" t="e">
        <f t="shared" si="70"/>
        <v>#DIV/0!</v>
      </c>
    </row>
    <row r="482" spans="1:25" ht="14.4">
      <c r="A482" s="187">
        <f t="shared" si="71"/>
        <v>48531</v>
      </c>
      <c r="B482" s="182">
        <v>9904165.5631541777</v>
      </c>
      <c r="C482" s="182">
        <v>455312.02862555732</v>
      </c>
      <c r="D482" s="182">
        <v>9448853.5345286205</v>
      </c>
      <c r="E482" s="182">
        <v>0</v>
      </c>
      <c r="F482" s="189">
        <f t="shared" si="74"/>
        <v>0</v>
      </c>
      <c r="G482" s="182">
        <v>9904165.5631541777</v>
      </c>
      <c r="H482" s="182"/>
      <c r="I482" s="182">
        <v>9448853.5345286205</v>
      </c>
      <c r="J482" s="182"/>
      <c r="K482" s="182">
        <v>9017494.7248732504</v>
      </c>
      <c r="L482" s="182"/>
      <c r="M482" s="182">
        <v>9017494.7248732504</v>
      </c>
      <c r="N482" s="182">
        <v>0</v>
      </c>
      <c r="O482" s="182">
        <v>9472806.7534988075</v>
      </c>
      <c r="P482" s="182">
        <v>455312.02862555732</v>
      </c>
      <c r="Q482" s="182">
        <v>1.2464229156055717E-2</v>
      </c>
      <c r="R482" s="182">
        <v>0</v>
      </c>
      <c r="S482" s="182">
        <f t="shared" si="73"/>
        <v>124459672.19143449</v>
      </c>
      <c r="T482" s="192">
        <f t="shared" si="69"/>
        <v>1.4679996155489095E-2</v>
      </c>
      <c r="Y482" s="192" t="e">
        <f t="shared" si="70"/>
        <v>#DIV/0!</v>
      </c>
    </row>
    <row r="483" spans="1:25" ht="14.4">
      <c r="A483" s="187">
        <f t="shared" si="71"/>
        <v>48561</v>
      </c>
      <c r="B483" s="182">
        <v>10201029.129469741</v>
      </c>
      <c r="C483" s="182">
        <v>432836.50362030696</v>
      </c>
      <c r="D483" s="182">
        <v>9768192.6258494332</v>
      </c>
      <c r="E483" s="182">
        <v>0</v>
      </c>
      <c r="F483" s="189">
        <f t="shared" si="74"/>
        <v>0</v>
      </c>
      <c r="G483" s="182">
        <v>10201029.129469741</v>
      </c>
      <c r="H483" s="182"/>
      <c r="I483" s="182">
        <v>9768192.6258494332</v>
      </c>
      <c r="J483" s="182"/>
      <c r="K483" s="182">
        <v>9280293.2085816264</v>
      </c>
      <c r="L483" s="182"/>
      <c r="M483" s="182">
        <v>9280293.2085816264</v>
      </c>
      <c r="N483" s="182">
        <v>0</v>
      </c>
      <c r="O483" s="182">
        <v>9713129.7122019324</v>
      </c>
      <c r="P483" s="182">
        <v>432836.50362030696</v>
      </c>
      <c r="Q483" s="182">
        <v>1.236081144792367E-2</v>
      </c>
      <c r="R483" s="182">
        <v>0</v>
      </c>
      <c r="S483" s="182">
        <f t="shared" si="73"/>
        <v>124572983.52592666</v>
      </c>
      <c r="T483" s="192">
        <f t="shared" si="69"/>
        <v>1.4534702175053482E-2</v>
      </c>
      <c r="Y483" s="192" t="e">
        <f t="shared" si="70"/>
        <v>#DIV/0!</v>
      </c>
    </row>
    <row r="484" spans="1:25" ht="14.4">
      <c r="A484" s="187">
        <f t="shared" si="71"/>
        <v>48592</v>
      </c>
      <c r="B484" s="182">
        <v>10319233.558334686</v>
      </c>
      <c r="C484" s="182">
        <v>429547.25714743446</v>
      </c>
      <c r="D484" s="182">
        <v>9889686.3011872508</v>
      </c>
      <c r="E484" s="182">
        <v>0</v>
      </c>
      <c r="F484" s="189">
        <f t="shared" si="74"/>
        <v>0</v>
      </c>
      <c r="G484" s="182">
        <v>10319233.558334686</v>
      </c>
      <c r="H484" s="182"/>
      <c r="I484" s="182">
        <v>9889686.3011872508</v>
      </c>
      <c r="J484" s="182"/>
      <c r="K484" s="182">
        <v>9368536.8147526123</v>
      </c>
      <c r="L484" s="182"/>
      <c r="M484" s="182">
        <v>9368536.8147526123</v>
      </c>
      <c r="N484" s="182">
        <v>0</v>
      </c>
      <c r="O484" s="182">
        <v>9798084.0719000474</v>
      </c>
      <c r="P484" s="182">
        <v>429547.25714743446</v>
      </c>
      <c r="Q484" s="182">
        <v>1.1477235954550524E-2</v>
      </c>
      <c r="R484" s="182">
        <v>0</v>
      </c>
      <c r="S484" s="182">
        <f t="shared" si="73"/>
        <v>124679288.34797274</v>
      </c>
      <c r="T484" s="192">
        <f t="shared" ref="T484:T547" si="75">S484/S472-1</f>
        <v>1.4371144732920671E-2</v>
      </c>
      <c r="Y484" s="192" t="e">
        <f t="shared" ref="Y484:Y547" si="76">X484/X472-1</f>
        <v>#DIV/0!</v>
      </c>
    </row>
    <row r="485" spans="1:25" ht="14.4">
      <c r="A485" s="187">
        <f t="shared" ref="A485:A548" si="77">+A473+366</f>
        <v>48623</v>
      </c>
      <c r="B485" s="182">
        <v>9262689.444621183</v>
      </c>
      <c r="C485" s="182">
        <v>415178.25327324407</v>
      </c>
      <c r="D485" s="182">
        <v>8847511.191347938</v>
      </c>
      <c r="E485" s="182">
        <v>0</v>
      </c>
      <c r="F485" s="189">
        <f t="shared" si="74"/>
        <v>0</v>
      </c>
      <c r="G485" s="182">
        <v>9262689.444621183</v>
      </c>
      <c r="H485" s="182"/>
      <c r="I485" s="182">
        <v>8847511.191347938</v>
      </c>
      <c r="J485" s="182"/>
      <c r="K485" s="182">
        <v>8382525.69262172</v>
      </c>
      <c r="L485" s="182"/>
      <c r="M485" s="182">
        <v>8382525.69262172</v>
      </c>
      <c r="N485" s="182">
        <v>0</v>
      </c>
      <c r="O485" s="182">
        <v>8797703.945894964</v>
      </c>
      <c r="P485" s="182">
        <v>415178.25327324407</v>
      </c>
      <c r="Q485" s="182">
        <v>-1.8319507034053828E-2</v>
      </c>
      <c r="R485" s="182">
        <v>0</v>
      </c>
      <c r="S485" s="182">
        <f t="shared" si="73"/>
        <v>124522858.89919642</v>
      </c>
      <c r="T485" s="192">
        <f t="shared" si="75"/>
        <v>1.0198722154625584E-2</v>
      </c>
      <c r="Y485" s="192" t="e">
        <f t="shared" si="76"/>
        <v>#DIV/0!</v>
      </c>
    </row>
    <row r="486" spans="1:25" ht="14.4">
      <c r="A486" s="187">
        <f t="shared" si="77"/>
        <v>48652</v>
      </c>
      <c r="B486" s="182">
        <v>10445619.479380993</v>
      </c>
      <c r="C486" s="182">
        <v>489846.57844189275</v>
      </c>
      <c r="D486" s="182">
        <v>9955772.9009390995</v>
      </c>
      <c r="E486" s="182">
        <v>0</v>
      </c>
      <c r="F486" s="189">
        <f t="shared" si="74"/>
        <v>0</v>
      </c>
      <c r="G486" s="182">
        <v>10445619.479380993</v>
      </c>
      <c r="H486" s="182"/>
      <c r="I486" s="182">
        <v>9955772.9009390995</v>
      </c>
      <c r="J486" s="182"/>
      <c r="K486" s="182">
        <v>9440851.2463812418</v>
      </c>
      <c r="L486" s="182"/>
      <c r="M486" s="182">
        <v>9440851.2463812418</v>
      </c>
      <c r="N486" s="182">
        <v>0</v>
      </c>
      <c r="O486" s="182">
        <v>9930697.8248231336</v>
      </c>
      <c r="P486" s="182">
        <v>489846.57844189275</v>
      </c>
      <c r="Q486" s="182">
        <v>9.6818606247126571E-3</v>
      </c>
      <c r="R486" s="182">
        <v>0</v>
      </c>
      <c r="S486" s="182">
        <f t="shared" si="73"/>
        <v>124613387.4206156</v>
      </c>
      <c r="T486" s="192">
        <f t="shared" si="75"/>
        <v>9.96221630801708E-3</v>
      </c>
      <c r="Y486" s="192" t="e">
        <f t="shared" si="76"/>
        <v>#DIV/0!</v>
      </c>
    </row>
    <row r="487" spans="1:25" ht="14.4">
      <c r="A487" s="187">
        <f t="shared" si="77"/>
        <v>48683</v>
      </c>
      <c r="B487" s="182">
        <v>10743861.625435837</v>
      </c>
      <c r="C487" s="182">
        <v>532485.73453458643</v>
      </c>
      <c r="D487" s="182">
        <v>10211375.890901251</v>
      </c>
      <c r="E487" s="182">
        <v>0</v>
      </c>
      <c r="F487" s="189">
        <f t="shared" si="74"/>
        <v>0</v>
      </c>
      <c r="G487" s="182">
        <v>10743861.625435837</v>
      </c>
      <c r="H487" s="182"/>
      <c r="I487" s="182">
        <v>10211375.890901251</v>
      </c>
      <c r="J487" s="182"/>
      <c r="K487" s="182">
        <v>9720837.7445753291</v>
      </c>
      <c r="L487" s="182"/>
      <c r="M487" s="182">
        <v>9720837.7445753291</v>
      </c>
      <c r="N487" s="182">
        <v>0</v>
      </c>
      <c r="O487" s="182">
        <v>10253323.479109915</v>
      </c>
      <c r="P487" s="182">
        <v>532485.73453458643</v>
      </c>
      <c r="Q487" s="182">
        <v>8.8835576335806188E-3</v>
      </c>
      <c r="R487" s="182">
        <v>0</v>
      </c>
      <c r="S487" s="182">
        <f t="shared" si="73"/>
        <v>124698982.65278804</v>
      </c>
      <c r="T487" s="192">
        <f t="shared" si="75"/>
        <v>9.6898293679301695E-3</v>
      </c>
      <c r="Y487" s="192" t="e">
        <f t="shared" si="76"/>
        <v>#DIV/0!</v>
      </c>
    </row>
    <row r="488" spans="1:25" ht="14.4">
      <c r="A488" s="187">
        <f t="shared" si="77"/>
        <v>48713</v>
      </c>
      <c r="B488" s="182">
        <v>12210983.670229344</v>
      </c>
      <c r="C488" s="182">
        <v>548949.68212096533</v>
      </c>
      <c r="D488" s="182">
        <v>11662033.988108378</v>
      </c>
      <c r="E488" s="182">
        <v>0</v>
      </c>
      <c r="F488" s="189">
        <f t="shared" si="74"/>
        <v>0</v>
      </c>
      <c r="G488" s="182">
        <v>12210983.670229344</v>
      </c>
      <c r="H488" s="182"/>
      <c r="I488" s="182">
        <v>11662033.988108378</v>
      </c>
      <c r="J488" s="182"/>
      <c r="K488" s="182">
        <v>11129820.690405214</v>
      </c>
      <c r="L488" s="182"/>
      <c r="M488" s="182">
        <v>11129820.690405214</v>
      </c>
      <c r="N488" s="182">
        <v>0</v>
      </c>
      <c r="O488" s="182">
        <v>11678770.37252618</v>
      </c>
      <c r="P488" s="182">
        <v>548949.68212096533</v>
      </c>
      <c r="Q488" s="182">
        <v>9.1702285008155027E-3</v>
      </c>
      <c r="R488" s="182">
        <v>0</v>
      </c>
      <c r="S488" s="182">
        <f t="shared" si="73"/>
        <v>124800118.21547279</v>
      </c>
      <c r="T488" s="192">
        <f t="shared" si="75"/>
        <v>9.4103561578220418E-3</v>
      </c>
      <c r="Y488" s="192" t="e">
        <f t="shared" si="76"/>
        <v>#DIV/0!</v>
      </c>
    </row>
    <row r="489" spans="1:25" ht="14.4">
      <c r="A489" s="187">
        <f t="shared" si="77"/>
        <v>48744</v>
      </c>
      <c r="B489" s="182">
        <v>12772726.5184118</v>
      </c>
      <c r="C489" s="182">
        <v>571861.29234221077</v>
      </c>
      <c r="D489" s="182">
        <v>12200865.22606959</v>
      </c>
      <c r="E489" s="182">
        <v>0</v>
      </c>
      <c r="F489" s="189">
        <f t="shared" si="74"/>
        <v>0</v>
      </c>
      <c r="G489" s="182">
        <v>12772726.5184118</v>
      </c>
      <c r="H489" s="182"/>
      <c r="I489" s="182">
        <v>12200865.22606959</v>
      </c>
      <c r="J489" s="182"/>
      <c r="K489" s="182">
        <v>11636505.795178194</v>
      </c>
      <c r="L489" s="182"/>
      <c r="M489" s="182">
        <v>11636505.795178194</v>
      </c>
      <c r="N489" s="182">
        <v>0</v>
      </c>
      <c r="O489" s="182">
        <v>12208367.087520404</v>
      </c>
      <c r="P489" s="182">
        <v>571861.29234221077</v>
      </c>
      <c r="Q489" s="182">
        <v>9.2200317965089873E-3</v>
      </c>
      <c r="R489" s="182">
        <v>0</v>
      </c>
      <c r="S489" s="182">
        <f t="shared" si="73"/>
        <v>124906426.99854444</v>
      </c>
      <c r="T489" s="192">
        <f t="shared" si="75"/>
        <v>9.1253822638139859E-3</v>
      </c>
      <c r="Y489" s="192" t="e">
        <f t="shared" si="76"/>
        <v>#DIV/0!</v>
      </c>
    </row>
    <row r="490" spans="1:25" ht="14.4">
      <c r="A490" s="187">
        <f t="shared" si="77"/>
        <v>48774</v>
      </c>
      <c r="B490" s="182">
        <v>13586034.921397921</v>
      </c>
      <c r="C490" s="182">
        <v>552796.79709751904</v>
      </c>
      <c r="D490" s="182">
        <v>13033238.124300402</v>
      </c>
      <c r="E490" s="182">
        <v>0</v>
      </c>
      <c r="F490" s="189">
        <f t="shared" si="74"/>
        <v>0</v>
      </c>
      <c r="G490" s="182">
        <v>13586034.921397921</v>
      </c>
      <c r="H490" s="182"/>
      <c r="I490" s="182">
        <v>13033238.124300402</v>
      </c>
      <c r="J490" s="182"/>
      <c r="K490" s="182">
        <v>12400985.676090296</v>
      </c>
      <c r="L490" s="182"/>
      <c r="M490" s="182">
        <v>12400985.676090296</v>
      </c>
      <c r="N490" s="182">
        <v>0</v>
      </c>
      <c r="O490" s="182">
        <v>12953782.473187815</v>
      </c>
      <c r="P490" s="182">
        <v>552796.79709751904</v>
      </c>
      <c r="Q490" s="182">
        <v>9.3110438990622324E-3</v>
      </c>
      <c r="R490" s="182">
        <v>0</v>
      </c>
      <c r="S490" s="182">
        <f t="shared" si="73"/>
        <v>125020827.92848538</v>
      </c>
      <c r="T490" s="192">
        <f t="shared" si="75"/>
        <v>8.8337174014425646E-3</v>
      </c>
      <c r="Y490" s="192" t="e">
        <f t="shared" si="76"/>
        <v>#DIV/0!</v>
      </c>
    </row>
    <row r="491" spans="1:25" ht="14.4">
      <c r="A491" s="187">
        <f t="shared" si="77"/>
        <v>48805</v>
      </c>
      <c r="B491" s="182">
        <v>13829982.865320496</v>
      </c>
      <c r="C491" s="182">
        <v>584424.63442300889</v>
      </c>
      <c r="D491" s="182">
        <v>13245558.230897488</v>
      </c>
      <c r="E491" s="182">
        <v>0</v>
      </c>
      <c r="F491" s="189">
        <f t="shared" si="74"/>
        <v>0</v>
      </c>
      <c r="G491" s="182">
        <v>13829982.865320496</v>
      </c>
      <c r="H491" s="182"/>
      <c r="I491" s="182">
        <v>13245558.230897488</v>
      </c>
      <c r="J491" s="182"/>
      <c r="K491" s="182">
        <v>12566692.804639515</v>
      </c>
      <c r="L491" s="182"/>
      <c r="M491" s="182">
        <v>12566692.804639515</v>
      </c>
      <c r="N491" s="182">
        <v>0</v>
      </c>
      <c r="O491" s="182">
        <v>13151117.439062523</v>
      </c>
      <c r="P491" s="182">
        <v>584424.63442300889</v>
      </c>
      <c r="Q491" s="182">
        <v>9.2630417738284176E-3</v>
      </c>
      <c r="R491" s="182">
        <v>0</v>
      </c>
      <c r="S491" s="182">
        <f t="shared" si="73"/>
        <v>125136165.35350756</v>
      </c>
      <c r="T491" s="192">
        <f t="shared" si="75"/>
        <v>8.5330240265952817E-3</v>
      </c>
      <c r="Y491" s="192" t="e">
        <f t="shared" si="76"/>
        <v>#DIV/0!</v>
      </c>
    </row>
    <row r="492" spans="1:25" ht="14.4">
      <c r="A492" s="187">
        <f t="shared" si="77"/>
        <v>48836</v>
      </c>
      <c r="B492" s="182">
        <v>12732685.128811803</v>
      </c>
      <c r="C492" s="182">
        <v>562637.87427516584</v>
      </c>
      <c r="D492" s="182">
        <v>12170047.254536636</v>
      </c>
      <c r="E492" s="182">
        <v>0</v>
      </c>
      <c r="F492" s="189">
        <f t="shared" si="74"/>
        <v>0</v>
      </c>
      <c r="G492" s="182">
        <v>12732685.128811803</v>
      </c>
      <c r="H492" s="182"/>
      <c r="I492" s="182">
        <v>12170047.254536636</v>
      </c>
      <c r="J492" s="182"/>
      <c r="K492" s="182">
        <v>11546312.103958841</v>
      </c>
      <c r="L492" s="182"/>
      <c r="M492" s="182">
        <v>11546312.103958841</v>
      </c>
      <c r="N492" s="182">
        <v>0</v>
      </c>
      <c r="O492" s="182">
        <v>12108949.978234008</v>
      </c>
      <c r="P492" s="182">
        <v>562637.87427516584</v>
      </c>
      <c r="Q492" s="182">
        <v>8.9539704791203878E-3</v>
      </c>
      <c r="R492" s="182">
        <v>0</v>
      </c>
      <c r="S492" s="182">
        <f t="shared" si="73"/>
        <v>125238633.19718181</v>
      </c>
      <c r="T492" s="192">
        <f t="shared" si="75"/>
        <v>8.2235170257851653E-3</v>
      </c>
      <c r="Y492" s="192" t="e">
        <f t="shared" si="76"/>
        <v>#DIV/0!</v>
      </c>
    </row>
    <row r="493" spans="1:25" ht="14.4">
      <c r="A493" s="187">
        <f t="shared" si="77"/>
        <v>48866</v>
      </c>
      <c r="B493" s="182">
        <v>11941977.580360917</v>
      </c>
      <c r="C493" s="182">
        <v>515376.9608181885</v>
      </c>
      <c r="D493" s="182">
        <v>11426600.619542729</v>
      </c>
      <c r="E493" s="182">
        <v>0</v>
      </c>
      <c r="F493" s="189">
        <f t="shared" si="74"/>
        <v>0</v>
      </c>
      <c r="G493" s="182">
        <v>11941977.580360917</v>
      </c>
      <c r="H493" s="182"/>
      <c r="I493" s="182">
        <v>11426600.619542729</v>
      </c>
      <c r="J493" s="182"/>
      <c r="K493" s="182">
        <v>10841259.217564275</v>
      </c>
      <c r="L493" s="182"/>
      <c r="M493" s="182">
        <v>10841259.217564275</v>
      </c>
      <c r="N493" s="182">
        <v>0</v>
      </c>
      <c r="O493" s="182">
        <v>11356636.178382464</v>
      </c>
      <c r="P493" s="182">
        <v>515376.9608181885</v>
      </c>
      <c r="Q493" s="182">
        <v>8.6978474797241301E-3</v>
      </c>
      <c r="R493" s="182">
        <v>0</v>
      </c>
      <c r="S493" s="182">
        <f t="shared" si="73"/>
        <v>125332115.71962212</v>
      </c>
      <c r="T493" s="192">
        <f t="shared" si="75"/>
        <v>7.9088585783209098E-3</v>
      </c>
      <c r="Y493" s="192" t="e">
        <f t="shared" si="76"/>
        <v>#DIV/0!</v>
      </c>
    </row>
    <row r="494" spans="1:25" ht="14.4">
      <c r="A494" s="187">
        <f t="shared" si="77"/>
        <v>48897</v>
      </c>
      <c r="B494" s="182">
        <v>9987107.7072104551</v>
      </c>
      <c r="C494" s="182">
        <v>461960.8509040433</v>
      </c>
      <c r="D494" s="182">
        <v>9525146.8563064113</v>
      </c>
      <c r="E494" s="182">
        <v>0</v>
      </c>
      <c r="F494" s="189">
        <f t="shared" si="74"/>
        <v>0</v>
      </c>
      <c r="G494" s="182">
        <v>9987107.7072104551</v>
      </c>
      <c r="H494" s="182"/>
      <c r="I494" s="182">
        <v>9525146.8563064113</v>
      </c>
      <c r="J494" s="182"/>
      <c r="K494" s="182">
        <v>9090175.6449497342</v>
      </c>
      <c r="L494" s="182"/>
      <c r="M494" s="182">
        <v>9090175.6449497342</v>
      </c>
      <c r="N494" s="182">
        <v>0</v>
      </c>
      <c r="O494" s="182">
        <v>9552136.495853778</v>
      </c>
      <c r="P494" s="182">
        <v>461960.8509040433</v>
      </c>
      <c r="Q494" s="182">
        <v>8.0599903070646128E-3</v>
      </c>
      <c r="R494" s="182">
        <v>0</v>
      </c>
      <c r="S494" s="182">
        <f t="shared" si="73"/>
        <v>125404796.63969859</v>
      </c>
      <c r="T494" s="192">
        <f t="shared" si="75"/>
        <v>7.593820806553131E-3</v>
      </c>
      <c r="Y494" s="192" t="e">
        <f t="shared" si="76"/>
        <v>#DIV/0!</v>
      </c>
    </row>
    <row r="495" spans="1:25" ht="14.4">
      <c r="A495" s="187">
        <f t="shared" si="77"/>
        <v>48927</v>
      </c>
      <c r="B495" s="182">
        <v>10286905.038739327</v>
      </c>
      <c r="C495" s="182">
        <v>439142.43628214544</v>
      </c>
      <c r="D495" s="182">
        <v>9847762.6024571825</v>
      </c>
      <c r="E495" s="182">
        <v>0</v>
      </c>
      <c r="F495" s="189">
        <f t="shared" si="74"/>
        <v>0</v>
      </c>
      <c r="G495" s="182">
        <v>10286905.038739327</v>
      </c>
      <c r="H495" s="182"/>
      <c r="I495" s="182">
        <v>9847762.6024571825</v>
      </c>
      <c r="J495" s="182"/>
      <c r="K495" s="182">
        <v>9355755.8735095225</v>
      </c>
      <c r="L495" s="182"/>
      <c r="M495" s="182">
        <v>9355755.8735095225</v>
      </c>
      <c r="N495" s="182">
        <v>0</v>
      </c>
      <c r="O495" s="182">
        <v>9794898.3097916674</v>
      </c>
      <c r="P495" s="182">
        <v>439142.43628214544</v>
      </c>
      <c r="Q495" s="182">
        <v>8.1314957654694542E-3</v>
      </c>
      <c r="R495" s="182">
        <v>0</v>
      </c>
      <c r="S495" s="182">
        <f t="shared" si="73"/>
        <v>125480259.30462651</v>
      </c>
      <c r="T495" s="192">
        <f t="shared" si="75"/>
        <v>7.2830862119555029E-3</v>
      </c>
      <c r="Y495" s="192" t="e">
        <f t="shared" si="76"/>
        <v>#DIV/0!</v>
      </c>
    </row>
    <row r="496" spans="1:25" ht="14.4">
      <c r="A496" s="187">
        <f t="shared" si="77"/>
        <v>48958</v>
      </c>
      <c r="B496" s="182">
        <v>10415611.637042563</v>
      </c>
      <c r="C496" s="182">
        <v>435803.2833651976</v>
      </c>
      <c r="D496" s="182">
        <v>9979808.3536773659</v>
      </c>
      <c r="E496" s="182">
        <v>0</v>
      </c>
      <c r="F496" s="189">
        <f t="shared" si="74"/>
        <v>0</v>
      </c>
      <c r="G496" s="182">
        <v>10415611.637042563</v>
      </c>
      <c r="H496" s="182"/>
      <c r="I496" s="182">
        <v>9979808.3536773659</v>
      </c>
      <c r="J496" s="182"/>
      <c r="K496" s="182">
        <v>9453791.5109668728</v>
      </c>
      <c r="L496" s="182"/>
      <c r="M496" s="182">
        <v>9453791.5109668728</v>
      </c>
      <c r="N496" s="182">
        <v>0</v>
      </c>
      <c r="O496" s="182">
        <v>9889594.7943320703</v>
      </c>
      <c r="P496" s="182">
        <v>435803.2833651976</v>
      </c>
      <c r="Q496" s="182">
        <v>9.1001079357462267E-3</v>
      </c>
      <c r="R496" s="182">
        <v>0</v>
      </c>
      <c r="S496" s="182">
        <f t="shared" si="73"/>
        <v>125565514.00084075</v>
      </c>
      <c r="T496" s="192">
        <f t="shared" si="75"/>
        <v>7.1080422787994646E-3</v>
      </c>
      <c r="Y496" s="192" t="e">
        <f t="shared" si="76"/>
        <v>#DIV/0!</v>
      </c>
    </row>
    <row r="497" spans="1:25" ht="14.4">
      <c r="A497" s="187">
        <f t="shared" si="77"/>
        <v>48989</v>
      </c>
      <c r="B497" s="182">
        <v>9355236.1147638634</v>
      </c>
      <c r="C497" s="182">
        <v>421229.42539943918</v>
      </c>
      <c r="D497" s="182">
        <v>8934006.689364424</v>
      </c>
      <c r="E497" s="182">
        <v>0</v>
      </c>
      <c r="F497" s="189">
        <f t="shared" si="74"/>
        <v>0</v>
      </c>
      <c r="G497" s="182">
        <v>9355236.1147638634</v>
      </c>
      <c r="H497" s="182"/>
      <c r="I497" s="182">
        <v>8934006.689364424</v>
      </c>
      <c r="J497" s="182"/>
      <c r="K497" s="182">
        <v>8464375.3628978897</v>
      </c>
      <c r="L497" s="182"/>
      <c r="M497" s="182">
        <v>8464375.3628978897</v>
      </c>
      <c r="N497" s="182">
        <v>0</v>
      </c>
      <c r="O497" s="182">
        <v>8885604.7882973291</v>
      </c>
      <c r="P497" s="182">
        <v>421229.42539943918</v>
      </c>
      <c r="Q497" s="182">
        <v>9.7643208356896771E-3</v>
      </c>
      <c r="R497" s="182">
        <v>0</v>
      </c>
      <c r="S497" s="182">
        <f t="shared" si="73"/>
        <v>125647363.67111693</v>
      </c>
      <c r="T497" s="192">
        <f t="shared" si="75"/>
        <v>9.0305087906055181E-3</v>
      </c>
      <c r="Y497" s="192" t="e">
        <f t="shared" si="76"/>
        <v>#DIV/0!</v>
      </c>
    </row>
    <row r="498" spans="1:25" ht="14.4">
      <c r="A498" s="187">
        <f t="shared" si="77"/>
        <v>49018</v>
      </c>
      <c r="B498" s="182">
        <v>10560416.312234258</v>
      </c>
      <c r="C498" s="182">
        <v>496992.58138415101</v>
      </c>
      <c r="D498" s="182">
        <v>10063423.730850108</v>
      </c>
      <c r="E498" s="182">
        <v>0</v>
      </c>
      <c r="F498" s="189">
        <f t="shared" si="74"/>
        <v>0</v>
      </c>
      <c r="G498" s="182">
        <v>10560416.312234258</v>
      </c>
      <c r="H498" s="182"/>
      <c r="I498" s="182">
        <v>10063423.730850108</v>
      </c>
      <c r="J498" s="182"/>
      <c r="K498" s="182">
        <v>9542843.1131998729</v>
      </c>
      <c r="L498" s="182"/>
      <c r="M498" s="182">
        <v>9542843.1131998729</v>
      </c>
      <c r="N498" s="182">
        <v>0</v>
      </c>
      <c r="O498" s="182">
        <v>10039835.694584023</v>
      </c>
      <c r="P498" s="182">
        <v>496992.58138415101</v>
      </c>
      <c r="Q498" s="182">
        <v>1.0803249003391135E-2</v>
      </c>
      <c r="R498" s="182">
        <v>0</v>
      </c>
      <c r="S498" s="182">
        <f t="shared" si="73"/>
        <v>125749355.53793555</v>
      </c>
      <c r="T498" s="192">
        <f t="shared" si="75"/>
        <v>9.1159396340430021E-3</v>
      </c>
      <c r="Y498" s="192" t="e">
        <f t="shared" si="76"/>
        <v>#DIV/0!</v>
      </c>
    </row>
    <row r="499" spans="1:25" ht="14.4">
      <c r="A499" s="187">
        <f t="shared" si="77"/>
        <v>49049</v>
      </c>
      <c r="B499" s="182">
        <v>10870661.04940578</v>
      </c>
      <c r="C499" s="182">
        <v>540261.25065166375</v>
      </c>
      <c r="D499" s="182">
        <v>10330399.798754117</v>
      </c>
      <c r="E499" s="182">
        <v>0</v>
      </c>
      <c r="F499" s="189">
        <f t="shared" si="74"/>
        <v>0</v>
      </c>
      <c r="G499" s="182">
        <v>10870661.04940578</v>
      </c>
      <c r="H499" s="182"/>
      <c r="I499" s="182">
        <v>10330399.798754117</v>
      </c>
      <c r="J499" s="182"/>
      <c r="K499" s="182">
        <v>9834072.3043745905</v>
      </c>
      <c r="L499" s="182"/>
      <c r="M499" s="182">
        <v>9834072.3043745905</v>
      </c>
      <c r="N499" s="182">
        <v>0</v>
      </c>
      <c r="O499" s="182">
        <v>10374333.555026254</v>
      </c>
      <c r="P499" s="182">
        <v>540261.25065166375</v>
      </c>
      <c r="Q499" s="182">
        <v>1.1648642100054785E-2</v>
      </c>
      <c r="R499" s="182">
        <v>0</v>
      </c>
      <c r="S499" s="182">
        <f t="shared" si="73"/>
        <v>125862590.09773482</v>
      </c>
      <c r="T499" s="192">
        <f t="shared" si="75"/>
        <v>9.3313306988778155E-3</v>
      </c>
      <c r="Y499" s="192" t="e">
        <f t="shared" si="76"/>
        <v>#DIV/0!</v>
      </c>
    </row>
    <row r="500" spans="1:25" ht="14.4">
      <c r="A500" s="187">
        <f t="shared" si="77"/>
        <v>49079</v>
      </c>
      <c r="B500" s="182">
        <v>12353937.506953048</v>
      </c>
      <c r="C500" s="182">
        <v>556944.26104472298</v>
      </c>
      <c r="D500" s="182">
        <v>11796993.245908324</v>
      </c>
      <c r="E500" s="182">
        <v>0</v>
      </c>
      <c r="F500" s="189">
        <f t="shared" si="74"/>
        <v>0</v>
      </c>
      <c r="G500" s="182">
        <v>12353937.506953048</v>
      </c>
      <c r="H500" s="182"/>
      <c r="I500" s="182">
        <v>11796993.245908324</v>
      </c>
      <c r="J500" s="182"/>
      <c r="K500" s="182">
        <v>11258549.333627604</v>
      </c>
      <c r="L500" s="182"/>
      <c r="M500" s="182">
        <v>11258549.333627604</v>
      </c>
      <c r="N500" s="182">
        <v>0</v>
      </c>
      <c r="O500" s="182">
        <v>11815493.594672328</v>
      </c>
      <c r="P500" s="182">
        <v>556944.26104472298</v>
      </c>
      <c r="Q500" s="182">
        <v>1.1566102168506953E-2</v>
      </c>
      <c r="R500" s="182">
        <v>0</v>
      </c>
      <c r="S500" s="182">
        <f t="shared" si="73"/>
        <v>125991318.7409572</v>
      </c>
      <c r="T500" s="192">
        <f t="shared" si="75"/>
        <v>9.5448669642104189E-3</v>
      </c>
      <c r="Y500" s="192" t="e">
        <f t="shared" si="76"/>
        <v>#DIV/0!</v>
      </c>
    </row>
    <row r="501" spans="1:25" ht="14.4">
      <c r="A501" s="187">
        <f t="shared" si="77"/>
        <v>49110</v>
      </c>
      <c r="B501" s="182">
        <v>12921851.154048031</v>
      </c>
      <c r="C501" s="182">
        <v>580178.3802558434</v>
      </c>
      <c r="D501" s="182">
        <v>12341672.773792189</v>
      </c>
      <c r="E501" s="182">
        <v>0</v>
      </c>
      <c r="F501" s="189">
        <f t="shared" si="74"/>
        <v>0</v>
      </c>
      <c r="G501" s="182">
        <v>12921851.154048031</v>
      </c>
      <c r="H501" s="182"/>
      <c r="I501" s="182">
        <v>12341672.773792189</v>
      </c>
      <c r="J501" s="182"/>
      <c r="K501" s="182">
        <v>11770724.311625579</v>
      </c>
      <c r="L501" s="182"/>
      <c r="M501" s="182">
        <v>11770724.311625579</v>
      </c>
      <c r="N501" s="182">
        <v>0</v>
      </c>
      <c r="O501" s="182">
        <v>12350902.691881422</v>
      </c>
      <c r="P501" s="182">
        <v>580178.3802558434</v>
      </c>
      <c r="Q501" s="182">
        <v>1.1534262845724896E-2</v>
      </c>
      <c r="R501" s="182">
        <v>0</v>
      </c>
      <c r="S501" s="182">
        <f t="shared" si="73"/>
        <v>126125537.25740458</v>
      </c>
      <c r="T501" s="192">
        <f t="shared" si="75"/>
        <v>9.7601883918618793E-3</v>
      </c>
      <c r="Y501" s="192" t="e">
        <f t="shared" si="76"/>
        <v>#DIV/0!</v>
      </c>
    </row>
    <row r="502" spans="1:25" ht="14.4">
      <c r="A502" s="187">
        <f t="shared" si="77"/>
        <v>49140</v>
      </c>
      <c r="B502" s="182">
        <v>13744401.858106278</v>
      </c>
      <c r="C502" s="182">
        <v>560803.52014686074</v>
      </c>
      <c r="D502" s="182">
        <v>13183598.337959416</v>
      </c>
      <c r="E502" s="182">
        <v>0</v>
      </c>
      <c r="F502" s="189">
        <f t="shared" si="74"/>
        <v>0</v>
      </c>
      <c r="G502" s="182">
        <v>13744401.858106278</v>
      </c>
      <c r="H502" s="182"/>
      <c r="I502" s="182">
        <v>13183598.337959416</v>
      </c>
      <c r="J502" s="182"/>
      <c r="K502" s="182">
        <v>12543975.977627881</v>
      </c>
      <c r="L502" s="182"/>
      <c r="M502" s="182">
        <v>12543975.977627881</v>
      </c>
      <c r="N502" s="182">
        <v>0</v>
      </c>
      <c r="O502" s="182">
        <v>13104779.497774741</v>
      </c>
      <c r="P502" s="182">
        <v>560803.52014686074</v>
      </c>
      <c r="Q502" s="182">
        <v>1.1530559366202286E-2</v>
      </c>
      <c r="R502" s="182">
        <v>0</v>
      </c>
      <c r="S502" s="182">
        <f t="shared" si="73"/>
        <v>126268527.5589422</v>
      </c>
      <c r="T502" s="192">
        <f t="shared" si="75"/>
        <v>9.9799341528159502E-3</v>
      </c>
      <c r="Y502" s="192" t="e">
        <f t="shared" si="76"/>
        <v>#DIV/0!</v>
      </c>
    </row>
    <row r="503" spans="1:25" ht="14.4">
      <c r="A503" s="187">
        <f t="shared" si="77"/>
        <v>49171</v>
      </c>
      <c r="B503" s="182">
        <v>13991385.046037873</v>
      </c>
      <c r="C503" s="182">
        <v>592908.21349093574</v>
      </c>
      <c r="D503" s="182">
        <v>13398476.832546938</v>
      </c>
      <c r="E503" s="182">
        <v>0</v>
      </c>
      <c r="F503" s="189">
        <f t="shared" si="74"/>
        <v>0</v>
      </c>
      <c r="G503" s="182">
        <v>13991385.046037873</v>
      </c>
      <c r="H503" s="182"/>
      <c r="I503" s="182">
        <v>13398476.832546938</v>
      </c>
      <c r="J503" s="182"/>
      <c r="K503" s="182">
        <v>12711688.738467993</v>
      </c>
      <c r="L503" s="182"/>
      <c r="M503" s="182">
        <v>12711688.738467993</v>
      </c>
      <c r="N503" s="182">
        <v>0</v>
      </c>
      <c r="O503" s="182">
        <v>13304596.951958928</v>
      </c>
      <c r="P503" s="182">
        <v>592908.21349093574</v>
      </c>
      <c r="Q503" s="182">
        <v>1.1538113971796049E-2</v>
      </c>
      <c r="R503" s="182">
        <v>0</v>
      </c>
      <c r="S503" s="182">
        <f t="shared" si="73"/>
        <v>126413523.49277067</v>
      </c>
      <c r="T503" s="192">
        <f t="shared" si="75"/>
        <v>1.0207745583817429E-2</v>
      </c>
      <c r="Y503" s="192" t="e">
        <f t="shared" si="76"/>
        <v>#DIV/0!</v>
      </c>
    </row>
    <row r="504" spans="1:25" ht="14.4">
      <c r="A504" s="187">
        <f t="shared" si="77"/>
        <v>49202</v>
      </c>
      <c r="B504" s="182">
        <v>12881536.479396066</v>
      </c>
      <c r="C504" s="182">
        <v>570836.83975988987</v>
      </c>
      <c r="D504" s="182">
        <v>12310699.639636176</v>
      </c>
      <c r="E504" s="182">
        <v>0</v>
      </c>
      <c r="F504" s="189">
        <f t="shared" si="74"/>
        <v>0</v>
      </c>
      <c r="G504" s="182">
        <v>12881536.479396066</v>
      </c>
      <c r="H504" s="182"/>
      <c r="I504" s="182">
        <v>12310699.639636176</v>
      </c>
      <c r="J504" s="182"/>
      <c r="K504" s="182">
        <v>11679672.718419971</v>
      </c>
      <c r="L504" s="182"/>
      <c r="M504" s="182">
        <v>11679672.718419971</v>
      </c>
      <c r="N504" s="182">
        <v>0</v>
      </c>
      <c r="O504" s="182">
        <v>12250509.558179861</v>
      </c>
      <c r="P504" s="182">
        <v>570836.83975988987</v>
      </c>
      <c r="Q504" s="182">
        <v>1.1550061462084038E-2</v>
      </c>
      <c r="R504" s="182">
        <v>0</v>
      </c>
      <c r="S504" s="182">
        <f t="shared" si="73"/>
        <v>126546884.1072318</v>
      </c>
      <c r="T504" s="192">
        <f t="shared" si="75"/>
        <v>1.0446065057179377E-2</v>
      </c>
      <c r="Y504" s="192" t="e">
        <f t="shared" si="76"/>
        <v>#DIV/0!</v>
      </c>
    </row>
    <row r="505" spans="1:25" ht="14.4">
      <c r="A505" s="187">
        <f t="shared" si="77"/>
        <v>49232</v>
      </c>
      <c r="B505" s="182">
        <v>12081639.796781752</v>
      </c>
      <c r="C505" s="182">
        <v>522885.15049325902</v>
      </c>
      <c r="D505" s="182">
        <v>11558754.646288494</v>
      </c>
      <c r="E505" s="182">
        <v>0</v>
      </c>
      <c r="F505" s="189">
        <f t="shared" si="74"/>
        <v>0</v>
      </c>
      <c r="G505" s="182">
        <v>12081639.796781752</v>
      </c>
      <c r="H505" s="182"/>
      <c r="I505" s="182">
        <v>11558754.646288494</v>
      </c>
      <c r="J505" s="182"/>
      <c r="K505" s="182">
        <v>10966567.63795941</v>
      </c>
      <c r="L505" s="182"/>
      <c r="M505" s="182">
        <v>10966567.63795941</v>
      </c>
      <c r="N505" s="182">
        <v>0</v>
      </c>
      <c r="O505" s="182">
        <v>11489452.788452668</v>
      </c>
      <c r="P505" s="182">
        <v>522885.15049325902</v>
      </c>
      <c r="Q505" s="182">
        <v>1.1558474701178323E-2</v>
      </c>
      <c r="R505" s="182">
        <v>0</v>
      </c>
      <c r="S505" s="182">
        <f t="shared" si="73"/>
        <v>126672192.52762692</v>
      </c>
      <c r="T505" s="192">
        <f t="shared" si="75"/>
        <v>1.0692206066341914E-2</v>
      </c>
      <c r="Y505" s="192" t="e">
        <f t="shared" si="76"/>
        <v>#DIV/0!</v>
      </c>
    </row>
    <row r="506" spans="1:25" ht="14.4">
      <c r="A506" s="187">
        <f t="shared" si="77"/>
        <v>49263</v>
      </c>
      <c r="B506" s="182">
        <v>10104150.015996551</v>
      </c>
      <c r="C506" s="182">
        <v>468707.18196301704</v>
      </c>
      <c r="D506" s="182">
        <v>9635442.8340335339</v>
      </c>
      <c r="E506" s="182">
        <v>0</v>
      </c>
      <c r="F506" s="189">
        <f t="shared" si="74"/>
        <v>0</v>
      </c>
      <c r="G506" s="182">
        <v>10104150.015996551</v>
      </c>
      <c r="H506" s="182"/>
      <c r="I506" s="182">
        <v>9635442.8340335339</v>
      </c>
      <c r="J506" s="182"/>
      <c r="K506" s="182">
        <v>9195374.0472500976</v>
      </c>
      <c r="L506" s="182"/>
      <c r="M506" s="182">
        <v>9195374.0472500976</v>
      </c>
      <c r="N506" s="182">
        <v>0</v>
      </c>
      <c r="O506" s="182">
        <v>9664081.2292131148</v>
      </c>
      <c r="P506" s="182">
        <v>468707.18196301704</v>
      </c>
      <c r="Q506" s="182">
        <v>1.157275793221979E-2</v>
      </c>
      <c r="R506" s="182">
        <v>0</v>
      </c>
      <c r="S506" s="182">
        <f t="shared" si="73"/>
        <v>126777390.92992727</v>
      </c>
      <c r="T506" s="192">
        <f t="shared" si="75"/>
        <v>1.0945309326343411E-2</v>
      </c>
      <c r="Y506" s="192" t="e">
        <f t="shared" si="76"/>
        <v>#DIV/0!</v>
      </c>
    </row>
    <row r="507" spans="1:25" ht="14.4">
      <c r="A507" s="187">
        <f t="shared" si="77"/>
        <v>49293</v>
      </c>
      <c r="B507" s="182">
        <v>10407341.075492859</v>
      </c>
      <c r="C507" s="182">
        <v>445540.66360417975</v>
      </c>
      <c r="D507" s="182">
        <v>9961800.4118886795</v>
      </c>
      <c r="E507" s="182">
        <v>0</v>
      </c>
      <c r="F507" s="189">
        <f t="shared" si="74"/>
        <v>0</v>
      </c>
      <c r="G507" s="182">
        <v>10407341.075492859</v>
      </c>
      <c r="H507" s="182"/>
      <c r="I507" s="182">
        <v>9961800.4118886795</v>
      </c>
      <c r="J507" s="182"/>
      <c r="K507" s="182">
        <v>9464033.4139128346</v>
      </c>
      <c r="L507" s="182"/>
      <c r="M507" s="182">
        <v>9464033.4139128346</v>
      </c>
      <c r="N507" s="182">
        <v>0</v>
      </c>
      <c r="O507" s="182">
        <v>9909574.077517014</v>
      </c>
      <c r="P507" s="182">
        <v>445540.66360417975</v>
      </c>
      <c r="Q507" s="182">
        <v>1.1573361026862239E-2</v>
      </c>
      <c r="R507" s="182">
        <v>0</v>
      </c>
      <c r="S507" s="182">
        <f t="shared" si="73"/>
        <v>126885668.47033058</v>
      </c>
      <c r="T507" s="192">
        <f t="shared" si="75"/>
        <v>1.1200241165362668E-2</v>
      </c>
      <c r="Y507" s="192" t="e">
        <f t="shared" si="76"/>
        <v>#DIV/0!</v>
      </c>
    </row>
    <row r="508" spans="1:25" ht="14.4">
      <c r="A508" s="187">
        <f t="shared" si="77"/>
        <v>49324</v>
      </c>
      <c r="B508" s="182">
        <v>10540305.331608081</v>
      </c>
      <c r="C508" s="182">
        <v>442150.84866635152</v>
      </c>
      <c r="D508" s="182">
        <v>10098154.48294173</v>
      </c>
      <c r="E508" s="182">
        <v>0</v>
      </c>
      <c r="F508" s="189">
        <f t="shared" si="74"/>
        <v>0</v>
      </c>
      <c r="G508" s="182">
        <v>10540305.331608081</v>
      </c>
      <c r="H508" s="182"/>
      <c r="I508" s="182">
        <v>10098154.48294173</v>
      </c>
      <c r="J508" s="182"/>
      <c r="K508" s="182">
        <v>9565840.2679974269</v>
      </c>
      <c r="L508" s="182"/>
      <c r="M508" s="182">
        <v>9565840.2679974269</v>
      </c>
      <c r="N508" s="182">
        <v>0</v>
      </c>
      <c r="O508" s="182">
        <v>10007991.116663778</v>
      </c>
      <c r="P508" s="182">
        <v>442150.84866635152</v>
      </c>
      <c r="Q508" s="182">
        <v>1.1852255986454896E-2</v>
      </c>
      <c r="R508" s="182">
        <v>0</v>
      </c>
      <c r="S508" s="182">
        <f t="shared" si="73"/>
        <v>126997717.22736114</v>
      </c>
      <c r="T508" s="192">
        <f t="shared" si="75"/>
        <v>1.1406023683467659E-2</v>
      </c>
      <c r="Y508" s="192" t="e">
        <f t="shared" si="76"/>
        <v>#DIV/0!</v>
      </c>
    </row>
    <row r="509" spans="1:25" ht="14.4">
      <c r="A509" s="187">
        <f t="shared" si="77"/>
        <v>49355</v>
      </c>
      <c r="B509" s="182">
        <v>9470785.6878679022</v>
      </c>
      <c r="C509" s="182">
        <v>427369.19511439063</v>
      </c>
      <c r="D509" s="182">
        <v>9043416.4927535113</v>
      </c>
      <c r="E509" s="182">
        <v>0</v>
      </c>
      <c r="F509" s="189">
        <f t="shared" si="74"/>
        <v>0</v>
      </c>
      <c r="G509" s="182">
        <v>9470785.6878679022</v>
      </c>
      <c r="H509" s="182"/>
      <c r="I509" s="182">
        <v>9043416.4927535113</v>
      </c>
      <c r="J509" s="182"/>
      <c r="K509" s="182">
        <v>8567984.5965713877</v>
      </c>
      <c r="L509" s="182"/>
      <c r="M509" s="182">
        <v>8567984.5965713877</v>
      </c>
      <c r="N509" s="182">
        <v>0</v>
      </c>
      <c r="O509" s="182">
        <v>8995353.7916857786</v>
      </c>
      <c r="P509" s="182">
        <v>427369.19511439063</v>
      </c>
      <c r="Q509" s="182">
        <v>1.2240623700084274E-2</v>
      </c>
      <c r="R509" s="182">
        <v>0</v>
      </c>
      <c r="S509" s="182">
        <f t="shared" si="73"/>
        <v>127101326.46103464</v>
      </c>
      <c r="T509" s="192">
        <f t="shared" si="75"/>
        <v>1.1571773154934295E-2</v>
      </c>
      <c r="Y509" s="192" t="e">
        <f t="shared" si="76"/>
        <v>#DIV/0!</v>
      </c>
    </row>
    <row r="510" spans="1:25" ht="14.4">
      <c r="A510" s="187">
        <f t="shared" si="77"/>
        <v>49384</v>
      </c>
      <c r="B510" s="182">
        <v>10693054.65115465</v>
      </c>
      <c r="C510" s="182">
        <v>504243.29462997196</v>
      </c>
      <c r="D510" s="182">
        <v>10188811.356524678</v>
      </c>
      <c r="E510" s="182">
        <v>0</v>
      </c>
      <c r="F510" s="189">
        <f t="shared" si="74"/>
        <v>0</v>
      </c>
      <c r="G510" s="182">
        <v>10693054.65115465</v>
      </c>
      <c r="H510" s="182"/>
      <c r="I510" s="182">
        <v>10188811.356524678</v>
      </c>
      <c r="J510" s="182"/>
      <c r="K510" s="182">
        <v>9661692.2704696245</v>
      </c>
      <c r="L510" s="182"/>
      <c r="M510" s="182">
        <v>9661692.2704696245</v>
      </c>
      <c r="N510" s="182">
        <v>0</v>
      </c>
      <c r="O510" s="182">
        <v>10165935.565099597</v>
      </c>
      <c r="P510" s="182">
        <v>504243.29462997196</v>
      </c>
      <c r="Q510" s="182">
        <v>1.2454271317251076E-2</v>
      </c>
      <c r="R510" s="182">
        <v>0</v>
      </c>
      <c r="S510" s="182">
        <f t="shared" si="73"/>
        <v>127220175.61830439</v>
      </c>
      <c r="T510" s="192">
        <f t="shared" si="75"/>
        <v>1.1696442292502329E-2</v>
      </c>
      <c r="Y510" s="192" t="e">
        <f t="shared" si="76"/>
        <v>#DIV/0!</v>
      </c>
    </row>
    <row r="511" spans="1:25" ht="14.4">
      <c r="A511" s="187">
        <f t="shared" si="77"/>
        <v>49415</v>
      </c>
      <c r="B511" s="182">
        <v>11009985.636031756</v>
      </c>
      <c r="C511" s="182">
        <v>548150.79591346683</v>
      </c>
      <c r="D511" s="182">
        <v>10461834.840118289</v>
      </c>
      <c r="E511" s="182">
        <v>0</v>
      </c>
      <c r="F511" s="189">
        <f t="shared" si="74"/>
        <v>0</v>
      </c>
      <c r="G511" s="182">
        <v>11009985.636031756</v>
      </c>
      <c r="H511" s="182"/>
      <c r="I511" s="182">
        <v>10461834.840118289</v>
      </c>
      <c r="J511" s="182"/>
      <c r="K511" s="182">
        <v>9959146.1297399141</v>
      </c>
      <c r="L511" s="182"/>
      <c r="M511" s="182">
        <v>9959146.1297399141</v>
      </c>
      <c r="N511" s="182">
        <v>0</v>
      </c>
      <c r="O511" s="182">
        <v>10507296.925653381</v>
      </c>
      <c r="P511" s="182">
        <v>548150.79591346683</v>
      </c>
      <c r="Q511" s="182">
        <v>1.2718416287186063E-2</v>
      </c>
      <c r="R511" s="182">
        <v>0</v>
      </c>
      <c r="S511" s="182">
        <f t="shared" si="73"/>
        <v>127345249.44366971</v>
      </c>
      <c r="T511" s="192">
        <f t="shared" si="75"/>
        <v>1.1779984384427289E-2</v>
      </c>
      <c r="Y511" s="192" t="e">
        <f t="shared" si="76"/>
        <v>#DIV/0!</v>
      </c>
    </row>
    <row r="512" spans="1:25" ht="14.4">
      <c r="A512" s="187">
        <f t="shared" si="77"/>
        <v>49445</v>
      </c>
      <c r="B512" s="182">
        <v>12510362.211470716</v>
      </c>
      <c r="C512" s="182">
        <v>565055.81208398414</v>
      </c>
      <c r="D512" s="182">
        <v>11945306.399386732</v>
      </c>
      <c r="E512" s="182">
        <v>0</v>
      </c>
      <c r="F512" s="189">
        <f t="shared" si="74"/>
        <v>0</v>
      </c>
      <c r="G512" s="182">
        <v>12510362.211470716</v>
      </c>
      <c r="H512" s="182"/>
      <c r="I512" s="182">
        <v>11945306.399386732</v>
      </c>
      <c r="J512" s="182"/>
      <c r="K512" s="182">
        <v>11400044.747431479</v>
      </c>
      <c r="L512" s="182"/>
      <c r="M512" s="182">
        <v>11400044.747431479</v>
      </c>
      <c r="N512" s="182">
        <v>0</v>
      </c>
      <c r="O512" s="182">
        <v>11965100.559515463</v>
      </c>
      <c r="P512" s="182">
        <v>565055.81208398414</v>
      </c>
      <c r="Q512" s="182">
        <v>1.2567819317649498E-2</v>
      </c>
      <c r="R512" s="182">
        <v>0</v>
      </c>
      <c r="S512" s="182">
        <f t="shared" si="73"/>
        <v>127486744.85747358</v>
      </c>
      <c r="T512" s="192">
        <f t="shared" si="75"/>
        <v>1.1869279022239887E-2</v>
      </c>
      <c r="Y512" s="192" t="e">
        <f t="shared" si="76"/>
        <v>#DIV/0!</v>
      </c>
    </row>
    <row r="513" spans="1:25" ht="14.4">
      <c r="A513" s="187">
        <f t="shared" si="77"/>
        <v>49476</v>
      </c>
      <c r="B513" s="182">
        <v>13084636.357571494</v>
      </c>
      <c r="C513" s="182">
        <v>588617.0177055262</v>
      </c>
      <c r="D513" s="182">
        <v>12496019.339865968</v>
      </c>
      <c r="E513" s="182">
        <v>0</v>
      </c>
      <c r="F513" s="189">
        <f t="shared" si="74"/>
        <v>0</v>
      </c>
      <c r="G513" s="182">
        <v>13084636.357571494</v>
      </c>
      <c r="H513" s="182"/>
      <c r="I513" s="182">
        <v>12496019.339865968</v>
      </c>
      <c r="J513" s="182"/>
      <c r="K513" s="182">
        <v>11917878.257964987</v>
      </c>
      <c r="L513" s="182"/>
      <c r="M513" s="182">
        <v>11917878.257964987</v>
      </c>
      <c r="N513" s="182">
        <v>0</v>
      </c>
      <c r="O513" s="182">
        <v>12506495.275670514</v>
      </c>
      <c r="P513" s="182">
        <v>588617.0177055262</v>
      </c>
      <c r="Q513" s="182">
        <v>1.2501689993203557E-2</v>
      </c>
      <c r="R513" s="182">
        <v>0</v>
      </c>
      <c r="S513" s="182">
        <f t="shared" si="73"/>
        <v>127633898.803813</v>
      </c>
      <c r="T513" s="192">
        <f t="shared" si="75"/>
        <v>1.1959208097009455E-2</v>
      </c>
      <c r="Y513" s="192" t="e">
        <f t="shared" si="76"/>
        <v>#DIV/0!</v>
      </c>
    </row>
    <row r="514" spans="1:25" ht="14.4">
      <c r="A514" s="187">
        <f t="shared" si="77"/>
        <v>49506</v>
      </c>
      <c r="B514" s="182">
        <v>13916207.737898104</v>
      </c>
      <c r="C514" s="182">
        <v>568926.83730593754</v>
      </c>
      <c r="D514" s="182">
        <v>13347280.900592167</v>
      </c>
      <c r="E514" s="182">
        <v>0</v>
      </c>
      <c r="F514" s="189">
        <f t="shared" si="74"/>
        <v>0</v>
      </c>
      <c r="G514" s="182">
        <v>13916207.737898104</v>
      </c>
      <c r="H514" s="182"/>
      <c r="I514" s="182">
        <v>13347280.900592167</v>
      </c>
      <c r="J514" s="182"/>
      <c r="K514" s="182">
        <v>12699663.220894551</v>
      </c>
      <c r="L514" s="182"/>
      <c r="M514" s="182">
        <v>12699663.220894551</v>
      </c>
      <c r="N514" s="182">
        <v>0</v>
      </c>
      <c r="O514" s="182">
        <v>13268590.058200488</v>
      </c>
      <c r="P514" s="182">
        <v>568926.83730593754</v>
      </c>
      <c r="Q514" s="182">
        <v>1.2411315482773411E-2</v>
      </c>
      <c r="R514" s="182">
        <v>0</v>
      </c>
      <c r="S514" s="182">
        <f t="shared" si="73"/>
        <v>127789586.04707967</v>
      </c>
      <c r="T514" s="192">
        <f t="shared" si="75"/>
        <v>1.2046220206594516E-2</v>
      </c>
      <c r="Y514" s="192" t="e">
        <f t="shared" si="76"/>
        <v>#DIV/0!</v>
      </c>
    </row>
    <row r="515" spans="1:25" ht="14.4">
      <c r="A515" s="187">
        <f t="shared" si="77"/>
        <v>49537</v>
      </c>
      <c r="B515" s="182">
        <v>14165951.128537996</v>
      </c>
      <c r="C515" s="182">
        <v>601515.56948841584</v>
      </c>
      <c r="D515" s="182">
        <v>13564435.55904958</v>
      </c>
      <c r="E515" s="182">
        <v>0</v>
      </c>
      <c r="F515" s="189">
        <f t="shared" si="74"/>
        <v>0</v>
      </c>
      <c r="G515" s="182">
        <v>14165951.128537996</v>
      </c>
      <c r="H515" s="182"/>
      <c r="I515" s="182">
        <v>13564435.55904958</v>
      </c>
      <c r="J515" s="182"/>
      <c r="K515" s="182">
        <v>12869078.627311133</v>
      </c>
      <c r="L515" s="182"/>
      <c r="M515" s="182">
        <v>12869078.627311133</v>
      </c>
      <c r="N515" s="182">
        <v>0</v>
      </c>
      <c r="O515" s="182">
        <v>13470594.196799548</v>
      </c>
      <c r="P515" s="182">
        <v>601515.56948841584</v>
      </c>
      <c r="Q515" s="182">
        <v>1.2381509025378268E-2</v>
      </c>
      <c r="R515" s="182">
        <v>0</v>
      </c>
      <c r="S515" s="182">
        <f t="shared" si="73"/>
        <v>127946975.9359228</v>
      </c>
      <c r="T515" s="192">
        <f t="shared" si="75"/>
        <v>1.2130446179991372E-2</v>
      </c>
      <c r="Y515" s="192" t="e">
        <f t="shared" si="76"/>
        <v>#DIV/0!</v>
      </c>
    </row>
    <row r="516" spans="1:25" ht="14.4">
      <c r="A516" s="187">
        <f t="shared" si="77"/>
        <v>49568</v>
      </c>
      <c r="B516" s="182">
        <v>13043432.915773323</v>
      </c>
      <c r="C516" s="182">
        <v>579155.83164696489</v>
      </c>
      <c r="D516" s="182">
        <v>12464277.084126357</v>
      </c>
      <c r="E516" s="182">
        <v>0</v>
      </c>
      <c r="F516" s="189">
        <f t="shared" si="74"/>
        <v>0</v>
      </c>
      <c r="G516" s="182">
        <v>13043432.915773323</v>
      </c>
      <c r="H516" s="182"/>
      <c r="I516" s="182">
        <v>12464277.084126357</v>
      </c>
      <c r="J516" s="182"/>
      <c r="K516" s="182">
        <v>11825319.35357181</v>
      </c>
      <c r="L516" s="182"/>
      <c r="M516" s="182">
        <v>11825319.35357181</v>
      </c>
      <c r="N516" s="182">
        <v>0</v>
      </c>
      <c r="O516" s="182">
        <v>12404475.185218774</v>
      </c>
      <c r="P516" s="182">
        <v>579155.83164696489</v>
      </c>
      <c r="Q516" s="182">
        <v>1.2470095580858098E-2</v>
      </c>
      <c r="R516" s="182">
        <v>0</v>
      </c>
      <c r="S516" s="182">
        <f t="shared" ref="S516:S579" si="78">SUM(M505:M516)</f>
        <v>128092622.57107463</v>
      </c>
      <c r="T516" s="192">
        <f t="shared" si="75"/>
        <v>1.2214749298236516E-2</v>
      </c>
      <c r="Y516" s="192" t="e">
        <f t="shared" si="76"/>
        <v>#DIV/0!</v>
      </c>
    </row>
    <row r="517" spans="1:25" ht="14.4">
      <c r="A517" s="187">
        <f t="shared" si="77"/>
        <v>49598</v>
      </c>
      <c r="B517" s="182">
        <v>12234568.347396746</v>
      </c>
      <c r="C517" s="182">
        <v>530503.22792916466</v>
      </c>
      <c r="D517" s="182">
        <v>11704065.119467583</v>
      </c>
      <c r="E517" s="182">
        <v>0</v>
      </c>
      <c r="F517" s="189">
        <f t="shared" si="74"/>
        <v>0</v>
      </c>
      <c r="G517" s="182">
        <v>12234568.347396746</v>
      </c>
      <c r="H517" s="182"/>
      <c r="I517" s="182">
        <v>11704065.119467583</v>
      </c>
      <c r="J517" s="182"/>
      <c r="K517" s="182">
        <v>11104382.24945084</v>
      </c>
      <c r="L517" s="182"/>
      <c r="M517" s="182">
        <v>11104382.24945084</v>
      </c>
      <c r="N517" s="182">
        <v>0</v>
      </c>
      <c r="O517" s="182">
        <v>11634885.477380004</v>
      </c>
      <c r="P517" s="182">
        <v>530503.22792916466</v>
      </c>
      <c r="Q517" s="182">
        <v>1.2566795376741435E-2</v>
      </c>
      <c r="R517" s="182">
        <v>0</v>
      </c>
      <c r="S517" s="182">
        <f t="shared" si="78"/>
        <v>128230437.18256605</v>
      </c>
      <c r="T517" s="192">
        <f t="shared" si="75"/>
        <v>1.2301394835328772E-2</v>
      </c>
      <c r="Y517" s="192" t="e">
        <f t="shared" si="76"/>
        <v>#DIV/0!</v>
      </c>
    </row>
    <row r="518" spans="1:25" ht="14.4">
      <c r="A518" s="187">
        <f t="shared" si="77"/>
        <v>49629</v>
      </c>
      <c r="B518" s="182">
        <v>10235095.88128827</v>
      </c>
      <c r="C518" s="182">
        <v>475552.45709678915</v>
      </c>
      <c r="D518" s="182">
        <v>9759543.4241914805</v>
      </c>
      <c r="E518" s="182">
        <v>0</v>
      </c>
      <c r="F518" s="189">
        <f t="shared" si="74"/>
        <v>0</v>
      </c>
      <c r="G518" s="182">
        <v>10235095.88128827</v>
      </c>
      <c r="H518" s="182"/>
      <c r="I518" s="182">
        <v>9759543.4241914805</v>
      </c>
      <c r="J518" s="182"/>
      <c r="K518" s="182">
        <v>9313771.5166129246</v>
      </c>
      <c r="L518" s="182"/>
      <c r="M518" s="182">
        <v>9313771.5166129246</v>
      </c>
      <c r="N518" s="182">
        <v>0</v>
      </c>
      <c r="O518" s="182">
        <v>9789323.9737097137</v>
      </c>
      <c r="P518" s="182">
        <v>475552.45709678915</v>
      </c>
      <c r="Q518" s="182">
        <v>1.2875764352210828E-2</v>
      </c>
      <c r="R518" s="182">
        <v>0</v>
      </c>
      <c r="S518" s="182">
        <f t="shared" si="78"/>
        <v>128348834.65192887</v>
      </c>
      <c r="T518" s="192">
        <f t="shared" si="75"/>
        <v>1.239529943371509E-2</v>
      </c>
      <c r="Y518" s="192" t="e">
        <f t="shared" si="76"/>
        <v>#DIV/0!</v>
      </c>
    </row>
    <row r="519" spans="1:25" ht="14.4">
      <c r="A519" s="187">
        <f t="shared" si="77"/>
        <v>49659</v>
      </c>
      <c r="B519" s="182">
        <v>10542243.672563903</v>
      </c>
      <c r="C519" s="182">
        <v>452032.5417987628</v>
      </c>
      <c r="D519" s="182">
        <v>10090211.13076514</v>
      </c>
      <c r="E519" s="182">
        <v>0</v>
      </c>
      <c r="F519" s="189">
        <f t="shared" si="74"/>
        <v>0</v>
      </c>
      <c r="G519" s="182">
        <v>10542243.672563903</v>
      </c>
      <c r="H519" s="182"/>
      <c r="I519" s="182">
        <v>10090211.13076514</v>
      </c>
      <c r="J519" s="182"/>
      <c r="K519" s="182">
        <v>9585991.9505963512</v>
      </c>
      <c r="L519" s="182"/>
      <c r="M519" s="182">
        <v>9585991.9505963512</v>
      </c>
      <c r="N519" s="182">
        <v>0</v>
      </c>
      <c r="O519" s="182">
        <v>10038024.492395114</v>
      </c>
      <c r="P519" s="182">
        <v>452032.5417987628</v>
      </c>
      <c r="Q519" s="182">
        <v>1.2886528539113984E-2</v>
      </c>
      <c r="R519" s="182">
        <v>0</v>
      </c>
      <c r="S519" s="182">
        <f t="shared" si="78"/>
        <v>128470793.18861239</v>
      </c>
      <c r="T519" s="192">
        <f t="shared" si="75"/>
        <v>1.2492543384853949E-2</v>
      </c>
      <c r="Y519" s="192" t="e">
        <f t="shared" si="76"/>
        <v>#DIV/0!</v>
      </c>
    </row>
    <row r="520" spans="1:25" ht="14.4">
      <c r="A520" s="187">
        <f t="shared" si="77"/>
        <v>49690</v>
      </c>
      <c r="B520" s="182">
        <v>10665664.400316637</v>
      </c>
      <c r="C520" s="182">
        <v>448591.29784378002</v>
      </c>
      <c r="D520" s="182">
        <v>10217073.102472857</v>
      </c>
      <c r="E520" s="182">
        <v>0</v>
      </c>
      <c r="F520" s="189">
        <f t="shared" si="74"/>
        <v>0</v>
      </c>
      <c r="G520" s="182">
        <v>10665664.400316637</v>
      </c>
      <c r="H520" s="182"/>
      <c r="I520" s="182">
        <v>10217073.102472857</v>
      </c>
      <c r="J520" s="182"/>
      <c r="K520" s="182">
        <v>9678427.9120827448</v>
      </c>
      <c r="L520" s="182"/>
      <c r="M520" s="182">
        <v>9678427.9120827448</v>
      </c>
      <c r="N520" s="182">
        <v>0</v>
      </c>
      <c r="O520" s="182">
        <v>10127019.209926525</v>
      </c>
      <c r="P520" s="182">
        <v>448591.29784378002</v>
      </c>
      <c r="Q520" s="182">
        <v>1.1769759992959594E-2</v>
      </c>
      <c r="R520" s="182">
        <v>0</v>
      </c>
      <c r="S520" s="182">
        <f t="shared" si="78"/>
        <v>128583380.83269772</v>
      </c>
      <c r="T520" s="192">
        <f t="shared" si="75"/>
        <v>1.2485764625971951E-2</v>
      </c>
      <c r="Y520" s="192" t="e">
        <f t="shared" si="76"/>
        <v>#DIV/0!</v>
      </c>
    </row>
    <row r="521" spans="1:25" ht="14.4">
      <c r="A521" s="187">
        <f t="shared" si="77"/>
        <v>49721</v>
      </c>
      <c r="B521" s="182">
        <v>9839857.7625433598</v>
      </c>
      <c r="C521" s="182">
        <v>433598.86470303149</v>
      </c>
      <c r="D521" s="182">
        <v>9406258.8978403285</v>
      </c>
      <c r="E521" s="182">
        <v>0</v>
      </c>
      <c r="F521" s="189">
        <f t="shared" si="74"/>
        <v>0</v>
      </c>
      <c r="G521" s="182">
        <v>9839857.7625433598</v>
      </c>
      <c r="H521" s="182"/>
      <c r="I521" s="182">
        <v>9406258.8978403285</v>
      </c>
      <c r="J521" s="182"/>
      <c r="K521" s="182">
        <v>8912299.6437310167</v>
      </c>
      <c r="L521" s="182"/>
      <c r="M521" s="182">
        <v>8912299.6437310167</v>
      </c>
      <c r="N521" s="182">
        <v>0</v>
      </c>
      <c r="O521" s="182">
        <v>9345898.5084340479</v>
      </c>
      <c r="P521" s="182">
        <v>433598.86470303149</v>
      </c>
      <c r="Q521" s="182">
        <v>4.018623554685341E-2</v>
      </c>
      <c r="R521" s="182">
        <v>0</v>
      </c>
      <c r="S521" s="182">
        <f t="shared" si="78"/>
        <v>128927695.87985735</v>
      </c>
      <c r="T521" s="192">
        <f t="shared" si="75"/>
        <v>1.4369396997462536E-2</v>
      </c>
      <c r="Y521" s="192" t="e">
        <f t="shared" si="76"/>
        <v>#DIV/0!</v>
      </c>
    </row>
    <row r="522" spans="1:25" ht="14.4">
      <c r="A522" s="187">
        <f t="shared" si="77"/>
        <v>49750</v>
      </c>
      <c r="B522" s="182">
        <v>10796239.291035941</v>
      </c>
      <c r="C522" s="182">
        <v>511600.25834683247</v>
      </c>
      <c r="D522" s="182">
        <v>10284639.032689108</v>
      </c>
      <c r="E522" s="182">
        <v>0</v>
      </c>
      <c r="F522" s="189">
        <f t="shared" si="74"/>
        <v>0</v>
      </c>
      <c r="G522" s="182">
        <v>10796239.291035941</v>
      </c>
      <c r="H522" s="182"/>
      <c r="I522" s="182">
        <v>10284639.032689108</v>
      </c>
      <c r="J522" s="182"/>
      <c r="K522" s="182">
        <v>9752433.4119773488</v>
      </c>
      <c r="L522" s="182"/>
      <c r="M522" s="182">
        <v>9752433.4119773488</v>
      </c>
      <c r="N522" s="182">
        <v>0</v>
      </c>
      <c r="O522" s="182">
        <v>10264033.670324182</v>
      </c>
      <c r="P522" s="182">
        <v>511600.25834683247</v>
      </c>
      <c r="Q522" s="182">
        <v>9.3918476150465224E-3</v>
      </c>
      <c r="R522" s="182">
        <v>0</v>
      </c>
      <c r="S522" s="182">
        <f t="shared" si="78"/>
        <v>129018437.02136509</v>
      </c>
      <c r="T522" s="192">
        <f t="shared" si="75"/>
        <v>1.413503317630993E-2</v>
      </c>
      <c r="Y522" s="192" t="e">
        <f t="shared" si="76"/>
        <v>#DIV/0!</v>
      </c>
    </row>
    <row r="523" spans="1:25" ht="14.4">
      <c r="A523" s="187">
        <f t="shared" si="77"/>
        <v>49781</v>
      </c>
      <c r="B523" s="182">
        <v>11104955.195385501</v>
      </c>
      <c r="C523" s="182">
        <v>556156.04874734161</v>
      </c>
      <c r="D523" s="182">
        <v>10548799.146638159</v>
      </c>
      <c r="E523" s="182">
        <v>0</v>
      </c>
      <c r="F523" s="189">
        <f t="shared" si="74"/>
        <v>0</v>
      </c>
      <c r="G523" s="182">
        <v>11104955.195385501</v>
      </c>
      <c r="H523" s="182"/>
      <c r="I523" s="182">
        <v>10548799.146638159</v>
      </c>
      <c r="J523" s="182"/>
      <c r="K523" s="182">
        <v>10041774.361091757</v>
      </c>
      <c r="L523" s="182"/>
      <c r="M523" s="182">
        <v>10041774.361091757</v>
      </c>
      <c r="N523" s="182">
        <v>0</v>
      </c>
      <c r="O523" s="182">
        <v>10597930.409839099</v>
      </c>
      <c r="P523" s="182">
        <v>556156.04874734161</v>
      </c>
      <c r="Q523" s="182">
        <v>8.2967184410618344E-3</v>
      </c>
      <c r="R523" s="182">
        <v>0</v>
      </c>
      <c r="S523" s="182">
        <f t="shared" si="78"/>
        <v>129101065.25271694</v>
      </c>
      <c r="T523" s="192">
        <f t="shared" si="75"/>
        <v>1.3787839096611965E-2</v>
      </c>
      <c r="Y523" s="192" t="e">
        <f t="shared" si="76"/>
        <v>#DIV/0!</v>
      </c>
    </row>
    <row r="524" spans="1:25" ht="14.4">
      <c r="A524" s="187">
        <f t="shared" si="77"/>
        <v>49811</v>
      </c>
      <c r="B524" s="182">
        <v>12622329.216417352</v>
      </c>
      <c r="C524" s="182">
        <v>573286.05359400832</v>
      </c>
      <c r="D524" s="182">
        <v>12049043.162823344</v>
      </c>
      <c r="E524" s="182">
        <v>0</v>
      </c>
      <c r="F524" s="189">
        <f t="shared" si="74"/>
        <v>0</v>
      </c>
      <c r="G524" s="182">
        <v>12622329.216417352</v>
      </c>
      <c r="H524" s="182"/>
      <c r="I524" s="182">
        <v>12049043.162823344</v>
      </c>
      <c r="J524" s="182"/>
      <c r="K524" s="182">
        <v>11498901.451198379</v>
      </c>
      <c r="L524" s="182"/>
      <c r="M524" s="182">
        <v>11498901.451198379</v>
      </c>
      <c r="N524" s="182">
        <v>0</v>
      </c>
      <c r="O524" s="182">
        <v>12072187.504792387</v>
      </c>
      <c r="P524" s="182">
        <v>573286.05359400832</v>
      </c>
      <c r="Q524" s="182">
        <v>8.6716066434013861E-3</v>
      </c>
      <c r="R524" s="182">
        <v>0</v>
      </c>
      <c r="S524" s="182">
        <f t="shared" si="78"/>
        <v>129199921.95648384</v>
      </c>
      <c r="T524" s="192">
        <f t="shared" si="75"/>
        <v>1.3438080177869072E-2</v>
      </c>
      <c r="Y524" s="192" t="e">
        <f t="shared" si="76"/>
        <v>#DIV/0!</v>
      </c>
    </row>
    <row r="525" spans="1:25" ht="14.4">
      <c r="A525" s="187">
        <f t="shared" si="77"/>
        <v>49842</v>
      </c>
      <c r="B525" s="182">
        <v>13203590.933256848</v>
      </c>
      <c r="C525" s="182">
        <v>597178.98850863206</v>
      </c>
      <c r="D525" s="182">
        <v>12606411.944748215</v>
      </c>
      <c r="E525" s="182">
        <v>0</v>
      </c>
      <c r="F525" s="189">
        <f t="shared" si="74"/>
        <v>0</v>
      </c>
      <c r="G525" s="182">
        <v>13203590.933256848</v>
      </c>
      <c r="H525" s="182"/>
      <c r="I525" s="182">
        <v>12606411.944748215</v>
      </c>
      <c r="J525" s="182"/>
      <c r="K525" s="182">
        <v>12023014.887426566</v>
      </c>
      <c r="L525" s="182"/>
      <c r="M525" s="182">
        <v>12023014.887426566</v>
      </c>
      <c r="N525" s="182">
        <v>0</v>
      </c>
      <c r="O525" s="182">
        <v>12620193.875935199</v>
      </c>
      <c r="P525" s="182">
        <v>597178.98850863206</v>
      </c>
      <c r="Q525" s="182">
        <v>8.821757294870336E-3</v>
      </c>
      <c r="R525" s="182">
        <v>0</v>
      </c>
      <c r="S525" s="182">
        <f t="shared" si="78"/>
        <v>129305058.58594544</v>
      </c>
      <c r="T525" s="192">
        <f t="shared" si="75"/>
        <v>1.3093385047346917E-2</v>
      </c>
      <c r="Y525" s="192" t="e">
        <f t="shared" si="76"/>
        <v>#DIV/0!</v>
      </c>
    </row>
    <row r="526" spans="1:25" ht="14.4">
      <c r="A526" s="187">
        <f t="shared" si="77"/>
        <v>49872</v>
      </c>
      <c r="B526" s="182">
        <v>14044887.729829738</v>
      </c>
      <c r="C526" s="182">
        <v>577168.45437296247</v>
      </c>
      <c r="D526" s="182">
        <v>13467719.275456775</v>
      </c>
      <c r="E526" s="182">
        <v>0</v>
      </c>
      <c r="F526" s="189">
        <f t="shared" si="74"/>
        <v>0</v>
      </c>
      <c r="G526" s="182">
        <v>14044887.729829738</v>
      </c>
      <c r="H526" s="182"/>
      <c r="I526" s="182">
        <v>13467719.275456775</v>
      </c>
      <c r="J526" s="182"/>
      <c r="K526" s="182">
        <v>12814113.223109955</v>
      </c>
      <c r="L526" s="182"/>
      <c r="M526" s="182">
        <v>12814113.223109955</v>
      </c>
      <c r="N526" s="182">
        <v>0</v>
      </c>
      <c r="O526" s="182">
        <v>13391281.677482918</v>
      </c>
      <c r="P526" s="182">
        <v>577168.45437296247</v>
      </c>
      <c r="Q526" s="182">
        <v>9.0120501799686448E-3</v>
      </c>
      <c r="R526" s="182">
        <v>0</v>
      </c>
      <c r="S526" s="182">
        <f t="shared" si="78"/>
        <v>129419508.58816084</v>
      </c>
      <c r="T526" s="192">
        <f t="shared" si="75"/>
        <v>1.2754736841237513E-2</v>
      </c>
      <c r="Y526" s="192" t="e">
        <f t="shared" si="76"/>
        <v>#DIV/0!</v>
      </c>
    </row>
    <row r="527" spans="1:25" ht="14.4">
      <c r="A527" s="187">
        <f t="shared" si="77"/>
        <v>49903</v>
      </c>
      <c r="B527" s="182">
        <v>14297681.13712905</v>
      </c>
      <c r="C527" s="182">
        <v>610248.51632454153</v>
      </c>
      <c r="D527" s="182">
        <v>13687432.620804507</v>
      </c>
      <c r="E527" s="182">
        <v>0</v>
      </c>
      <c r="F527" s="189">
        <f t="shared" si="74"/>
        <v>0</v>
      </c>
      <c r="G527" s="182">
        <v>14297681.13712905</v>
      </c>
      <c r="H527" s="182"/>
      <c r="I527" s="182">
        <v>13687432.620804507</v>
      </c>
      <c r="J527" s="182"/>
      <c r="K527" s="182">
        <v>12985609.524262823</v>
      </c>
      <c r="L527" s="182"/>
      <c r="M527" s="182">
        <v>12985609.524262823</v>
      </c>
      <c r="N527" s="182">
        <v>0</v>
      </c>
      <c r="O527" s="182">
        <v>13595858.040587364</v>
      </c>
      <c r="P527" s="182">
        <v>610248.51632454153</v>
      </c>
      <c r="Q527" s="182">
        <v>9.0551080093943526E-3</v>
      </c>
      <c r="R527" s="182">
        <v>0</v>
      </c>
      <c r="S527" s="182">
        <f t="shared" si="78"/>
        <v>129536039.48511255</v>
      </c>
      <c r="T527" s="192">
        <f t="shared" si="75"/>
        <v>1.2419703846580754E-2</v>
      </c>
      <c r="Y527" s="192" t="e">
        <f t="shared" si="76"/>
        <v>#DIV/0!</v>
      </c>
    </row>
    <row r="528" spans="1:25" ht="14.4">
      <c r="A528" s="187">
        <f t="shared" si="77"/>
        <v>49934</v>
      </c>
      <c r="B528" s="182">
        <v>13161964.961533951</v>
      </c>
      <c r="C528" s="182">
        <v>587596.61396442447</v>
      </c>
      <c r="D528" s="182">
        <v>12574368.347569525</v>
      </c>
      <c r="E528" s="182">
        <v>0</v>
      </c>
      <c r="F528" s="189">
        <f t="shared" ref="F528:F591" si="79">SUM(E517:E527)</f>
        <v>0</v>
      </c>
      <c r="G528" s="182">
        <v>13161964.961533951</v>
      </c>
      <c r="H528" s="182"/>
      <c r="I528" s="182">
        <v>12574368.347569525</v>
      </c>
      <c r="J528" s="182"/>
      <c r="K528" s="182">
        <v>11929604.096028801</v>
      </c>
      <c r="L528" s="182"/>
      <c r="M528" s="182">
        <v>11929604.096028801</v>
      </c>
      <c r="N528" s="182">
        <v>0</v>
      </c>
      <c r="O528" s="182">
        <v>12517200.709993226</v>
      </c>
      <c r="P528" s="182">
        <v>587596.61396442447</v>
      </c>
      <c r="Q528" s="182">
        <v>8.8187675392878973E-3</v>
      </c>
      <c r="R528" s="182">
        <v>0</v>
      </c>
      <c r="S528" s="182">
        <f t="shared" si="78"/>
        <v>129640324.22756952</v>
      </c>
      <c r="T528" s="192">
        <f t="shared" si="75"/>
        <v>1.2082675999830705E-2</v>
      </c>
      <c r="Y528" s="192" t="e">
        <f t="shared" si="76"/>
        <v>#DIV/0!</v>
      </c>
    </row>
    <row r="529" spans="1:25" ht="14.4">
      <c r="A529" s="187">
        <f t="shared" si="77"/>
        <v>49964</v>
      </c>
      <c r="B529" s="182">
        <v>12342562.680527747</v>
      </c>
      <c r="C529" s="182">
        <v>538232.80781592766</v>
      </c>
      <c r="D529" s="182">
        <v>11804329.872711819</v>
      </c>
      <c r="E529" s="182">
        <v>0</v>
      </c>
      <c r="F529" s="189">
        <f t="shared" si="79"/>
        <v>0</v>
      </c>
      <c r="G529" s="182">
        <v>12342562.680527747</v>
      </c>
      <c r="H529" s="182"/>
      <c r="I529" s="182">
        <v>11804329.872711819</v>
      </c>
      <c r="J529" s="182"/>
      <c r="K529" s="182">
        <v>11199353.611886457</v>
      </c>
      <c r="L529" s="182"/>
      <c r="M529" s="182">
        <v>11199353.611886457</v>
      </c>
      <c r="N529" s="182">
        <v>0</v>
      </c>
      <c r="O529" s="182">
        <v>11737586.419702385</v>
      </c>
      <c r="P529" s="182">
        <v>538232.80781592766</v>
      </c>
      <c r="Q529" s="182">
        <v>8.5526020540507286E-3</v>
      </c>
      <c r="R529" s="182">
        <v>0</v>
      </c>
      <c r="S529" s="182">
        <f t="shared" si="78"/>
        <v>129735295.59000514</v>
      </c>
      <c r="T529" s="192">
        <f t="shared" si="75"/>
        <v>1.1735578857120954E-2</v>
      </c>
      <c r="Y529" s="192" t="e">
        <f t="shared" si="76"/>
        <v>#DIV/0!</v>
      </c>
    </row>
    <row r="530" spans="1:25" ht="14.4">
      <c r="A530" s="187">
        <f t="shared" si="77"/>
        <v>49995</v>
      </c>
      <c r="B530" s="182">
        <v>10318386.876941809</v>
      </c>
      <c r="C530" s="182">
        <v>482498.13279298652</v>
      </c>
      <c r="D530" s="182">
        <v>9835888.7441488225</v>
      </c>
      <c r="E530" s="182">
        <v>0</v>
      </c>
      <c r="F530" s="189">
        <f t="shared" si="79"/>
        <v>0</v>
      </c>
      <c r="G530" s="182">
        <v>10318386.876941809</v>
      </c>
      <c r="H530" s="182"/>
      <c r="I530" s="182">
        <v>9835888.7441488225</v>
      </c>
      <c r="J530" s="182"/>
      <c r="K530" s="182">
        <v>9386489.2412407026</v>
      </c>
      <c r="L530" s="182"/>
      <c r="M530" s="182">
        <v>9386489.2412407026</v>
      </c>
      <c r="N530" s="182">
        <v>0</v>
      </c>
      <c r="O530" s="182">
        <v>9868987.3740336895</v>
      </c>
      <c r="P530" s="182">
        <v>482498.13279298652</v>
      </c>
      <c r="Q530" s="182">
        <v>7.8075486926076909E-3</v>
      </c>
      <c r="R530" s="182">
        <v>0</v>
      </c>
      <c r="S530" s="182">
        <f t="shared" si="78"/>
        <v>129808013.31463289</v>
      </c>
      <c r="T530" s="192">
        <f t="shared" si="75"/>
        <v>1.1368850108075979E-2</v>
      </c>
      <c r="Y530" s="192" t="e">
        <f t="shared" si="76"/>
        <v>#DIV/0!</v>
      </c>
    </row>
    <row r="531" spans="1:25" ht="14.4">
      <c r="A531" s="187">
        <f t="shared" si="77"/>
        <v>50025</v>
      </c>
      <c r="B531" s="182">
        <v>10626803.479805555</v>
      </c>
      <c r="C531" s="182">
        <v>458619.44707463612</v>
      </c>
      <c r="D531" s="182">
        <v>10168184.032730918</v>
      </c>
      <c r="E531" s="182">
        <v>0</v>
      </c>
      <c r="F531" s="189">
        <f t="shared" si="79"/>
        <v>0</v>
      </c>
      <c r="G531" s="182">
        <v>10626803.479805555</v>
      </c>
      <c r="H531" s="182"/>
      <c r="I531" s="182">
        <v>10168184.032730918</v>
      </c>
      <c r="J531" s="182"/>
      <c r="K531" s="182">
        <v>9659920.4880030379</v>
      </c>
      <c r="L531" s="182"/>
      <c r="M531" s="182">
        <v>9659920.4880030379</v>
      </c>
      <c r="N531" s="182">
        <v>0</v>
      </c>
      <c r="O531" s="182">
        <v>10118539.935077675</v>
      </c>
      <c r="P531" s="182">
        <v>458619.44707463612</v>
      </c>
      <c r="Q531" s="182">
        <v>7.7121426543746985E-3</v>
      </c>
      <c r="R531" s="182">
        <v>0</v>
      </c>
      <c r="S531" s="182">
        <f t="shared" si="78"/>
        <v>129881941.85203961</v>
      </c>
      <c r="T531" s="192">
        <f t="shared" si="75"/>
        <v>1.0984198263300771E-2</v>
      </c>
      <c r="Y531" s="192" t="e">
        <f t="shared" si="76"/>
        <v>#DIV/0!</v>
      </c>
    </row>
    <row r="532" spans="1:25" ht="14.4">
      <c r="A532" s="187">
        <f t="shared" si="77"/>
        <v>50056</v>
      </c>
      <c r="B532" s="182">
        <v>10756972.188537406</v>
      </c>
      <c r="C532" s="182">
        <v>455125.99551440822</v>
      </c>
      <c r="D532" s="182">
        <v>10301846.193022998</v>
      </c>
      <c r="E532" s="182">
        <v>0</v>
      </c>
      <c r="F532" s="189">
        <f t="shared" si="79"/>
        <v>0</v>
      </c>
      <c r="G532" s="182">
        <v>10756972.188537406</v>
      </c>
      <c r="H532" s="182"/>
      <c r="I532" s="182">
        <v>10301846.193022998</v>
      </c>
      <c r="J532" s="182"/>
      <c r="K532" s="182">
        <v>9758589.7098784633</v>
      </c>
      <c r="L532" s="182"/>
      <c r="M532" s="182">
        <v>9758589.7098784633</v>
      </c>
      <c r="N532" s="182">
        <v>0</v>
      </c>
      <c r="O532" s="182">
        <v>10213715.705392871</v>
      </c>
      <c r="P532" s="182">
        <v>455125.99551440822</v>
      </c>
      <c r="Q532" s="182">
        <v>8.2825225877483089E-3</v>
      </c>
      <c r="R532" s="182">
        <v>0</v>
      </c>
      <c r="S532" s="182">
        <f t="shared" si="78"/>
        <v>129962103.6498353</v>
      </c>
      <c r="T532" s="192">
        <f t="shared" si="75"/>
        <v>1.0722402912484164E-2</v>
      </c>
      <c r="Y532" s="192" t="e">
        <f t="shared" si="76"/>
        <v>#DIV/0!</v>
      </c>
    </row>
    <row r="533" spans="1:25" ht="14.4">
      <c r="A533" s="187">
        <f t="shared" si="77"/>
        <v>50087</v>
      </c>
      <c r="B533" s="182">
        <v>9657749.7237430885</v>
      </c>
      <c r="C533" s="182">
        <v>439919.75565656577</v>
      </c>
      <c r="D533" s="182">
        <v>9217829.9680865221</v>
      </c>
      <c r="E533" s="182">
        <v>0</v>
      </c>
      <c r="F533" s="189">
        <f t="shared" si="79"/>
        <v>0</v>
      </c>
      <c r="G533" s="182">
        <v>9657749.7237430885</v>
      </c>
      <c r="H533" s="182"/>
      <c r="I533" s="182">
        <v>9217829.9680865221</v>
      </c>
      <c r="J533" s="182"/>
      <c r="K533" s="182">
        <v>8733012.5078104008</v>
      </c>
      <c r="L533" s="182"/>
      <c r="M533" s="182">
        <v>8733012.5078104008</v>
      </c>
      <c r="N533" s="182">
        <v>0</v>
      </c>
      <c r="O533" s="182">
        <v>9172932.2634669673</v>
      </c>
      <c r="P533" s="182">
        <v>439919.75565656577</v>
      </c>
      <c r="Q533" s="182">
        <v>-2.0116820920258016E-2</v>
      </c>
      <c r="R533" s="182">
        <v>0</v>
      </c>
      <c r="S533" s="182">
        <f t="shared" si="78"/>
        <v>129782816.5139147</v>
      </c>
      <c r="T533" s="192">
        <f t="shared" si="75"/>
        <v>6.63255965463172E-3</v>
      </c>
      <c r="Y533" s="192" t="e">
        <f t="shared" si="76"/>
        <v>#DIV/0!</v>
      </c>
    </row>
    <row r="534" spans="1:25" ht="14.4">
      <c r="A534" s="187">
        <f t="shared" si="77"/>
        <v>50116</v>
      </c>
      <c r="B534" s="182">
        <v>10903166.730817607</v>
      </c>
      <c r="C534" s="182">
        <v>519065.03542989946</v>
      </c>
      <c r="D534" s="182">
        <v>10384101.695387708</v>
      </c>
      <c r="E534" s="182">
        <v>0</v>
      </c>
      <c r="F534" s="189">
        <f t="shared" si="79"/>
        <v>0</v>
      </c>
      <c r="G534" s="182">
        <v>10903166.730817607</v>
      </c>
      <c r="H534" s="182"/>
      <c r="I534" s="182">
        <v>10384101.695387708</v>
      </c>
      <c r="J534" s="182"/>
      <c r="K534" s="182">
        <v>9846625.0369630884</v>
      </c>
      <c r="L534" s="182"/>
      <c r="M534" s="182">
        <v>9846625.0369630884</v>
      </c>
      <c r="N534" s="182">
        <v>0</v>
      </c>
      <c r="O534" s="182">
        <v>10365690.072392987</v>
      </c>
      <c r="P534" s="182">
        <v>519065.03542989946</v>
      </c>
      <c r="Q534" s="182">
        <v>9.6582689680362321E-3</v>
      </c>
      <c r="R534" s="182">
        <v>0</v>
      </c>
      <c r="S534" s="182">
        <f t="shared" si="78"/>
        <v>129877008.13890044</v>
      </c>
      <c r="T534" s="192">
        <f t="shared" si="75"/>
        <v>6.6546389598036715E-3</v>
      </c>
      <c r="Y534" s="192" t="e">
        <f t="shared" si="76"/>
        <v>#DIV/0!</v>
      </c>
    </row>
    <row r="535" spans="1:25" ht="14.4">
      <c r="A535" s="187">
        <f t="shared" si="77"/>
        <v>50147</v>
      </c>
      <c r="B535" s="182">
        <v>11222711.7094552</v>
      </c>
      <c r="C535" s="182">
        <v>564278.7123635005</v>
      </c>
      <c r="D535" s="182">
        <v>10658432.997091699</v>
      </c>
      <c r="E535" s="182">
        <v>0</v>
      </c>
      <c r="F535" s="189">
        <f t="shared" si="79"/>
        <v>0</v>
      </c>
      <c r="G535" s="182">
        <v>11222711.7094552</v>
      </c>
      <c r="H535" s="182"/>
      <c r="I535" s="182">
        <v>10658432.997091699</v>
      </c>
      <c r="J535" s="182"/>
      <c r="K535" s="182">
        <v>10146031.740389638</v>
      </c>
      <c r="L535" s="182"/>
      <c r="M535" s="182">
        <v>10146031.740389638</v>
      </c>
      <c r="N535" s="182">
        <v>0</v>
      </c>
      <c r="O535" s="182">
        <v>10710310.452753138</v>
      </c>
      <c r="P535" s="182">
        <v>564278.7123635005</v>
      </c>
      <c r="Q535" s="182">
        <v>1.0382366258082865E-2</v>
      </c>
      <c r="R535" s="182">
        <v>0</v>
      </c>
      <c r="S535" s="182">
        <f t="shared" si="78"/>
        <v>129981265.51819831</v>
      </c>
      <c r="T535" s="192">
        <f t="shared" si="75"/>
        <v>6.8179163646586716E-3</v>
      </c>
      <c r="Y535" s="192" t="e">
        <f t="shared" si="76"/>
        <v>#DIV/0!</v>
      </c>
    </row>
    <row r="536" spans="1:25" ht="14.4">
      <c r="A536" s="187">
        <f t="shared" si="77"/>
        <v>50177</v>
      </c>
      <c r="B536" s="182">
        <v>12756772.216549296</v>
      </c>
      <c r="C536" s="182">
        <v>581636.72925999889</v>
      </c>
      <c r="D536" s="182">
        <v>12175135.487289296</v>
      </c>
      <c r="E536" s="182">
        <v>0</v>
      </c>
      <c r="F536" s="189">
        <f t="shared" si="79"/>
        <v>0</v>
      </c>
      <c r="G536" s="182">
        <v>12756772.216549296</v>
      </c>
      <c r="H536" s="182"/>
      <c r="I536" s="182">
        <v>12175135.487289296</v>
      </c>
      <c r="J536" s="182"/>
      <c r="K536" s="182">
        <v>11619134.104209052</v>
      </c>
      <c r="L536" s="182"/>
      <c r="M536" s="182">
        <v>11619134.104209052</v>
      </c>
      <c r="N536" s="182">
        <v>0</v>
      </c>
      <c r="O536" s="182">
        <v>12200770.833469052</v>
      </c>
      <c r="P536" s="182">
        <v>581636.72925999889</v>
      </c>
      <c r="Q536" s="182">
        <v>1.0456012126109915E-2</v>
      </c>
      <c r="R536" s="182">
        <v>0</v>
      </c>
      <c r="S536" s="182">
        <f t="shared" si="78"/>
        <v>130101498.17120899</v>
      </c>
      <c r="T536" s="192">
        <f t="shared" si="75"/>
        <v>6.9781482919843985E-3</v>
      </c>
      <c r="Y536" s="192" t="e">
        <f t="shared" si="76"/>
        <v>#DIV/0!</v>
      </c>
    </row>
    <row r="537" spans="1:25" ht="14.4">
      <c r="A537" s="187">
        <f t="shared" si="77"/>
        <v>50208</v>
      </c>
      <c r="B537" s="182">
        <v>13343858.609365828</v>
      </c>
      <c r="C537" s="182">
        <v>605866.10275507683</v>
      </c>
      <c r="D537" s="182">
        <v>12737992.506610751</v>
      </c>
      <c r="E537" s="182">
        <v>0</v>
      </c>
      <c r="F537" s="189">
        <f t="shared" si="79"/>
        <v>0</v>
      </c>
      <c r="G537" s="182">
        <v>13343858.609365828</v>
      </c>
      <c r="H537" s="182"/>
      <c r="I537" s="182">
        <v>12737992.506610751</v>
      </c>
      <c r="J537" s="182"/>
      <c r="K537" s="182">
        <v>12148397.760350313</v>
      </c>
      <c r="L537" s="182"/>
      <c r="M537" s="182">
        <v>12148397.760350313</v>
      </c>
      <c r="N537" s="182">
        <v>0</v>
      </c>
      <c r="O537" s="182">
        <v>12754263.86310539</v>
      </c>
      <c r="P537" s="182">
        <v>605866.10275507683</v>
      </c>
      <c r="Q537" s="182">
        <v>1.0428571709985235E-2</v>
      </c>
      <c r="R537" s="182">
        <v>0</v>
      </c>
      <c r="S537" s="182">
        <f t="shared" si="78"/>
        <v>130226881.04413272</v>
      </c>
      <c r="T537" s="192">
        <f t="shared" si="75"/>
        <v>7.1290517808673126E-3</v>
      </c>
      <c r="Y537" s="192" t="e">
        <f t="shared" si="76"/>
        <v>#DIV/0!</v>
      </c>
    </row>
    <row r="538" spans="1:25" ht="14.4">
      <c r="A538" s="187">
        <f t="shared" si="77"/>
        <v>50238</v>
      </c>
      <c r="B538" s="182">
        <v>14194138.468164414</v>
      </c>
      <c r="C538" s="182">
        <v>585530.10220306518</v>
      </c>
      <c r="D538" s="182">
        <v>13608608.365961349</v>
      </c>
      <c r="E538" s="182">
        <v>0</v>
      </c>
      <c r="F538" s="189">
        <f t="shared" si="79"/>
        <v>0</v>
      </c>
      <c r="G538" s="182">
        <v>14194138.468164414</v>
      </c>
      <c r="H538" s="182"/>
      <c r="I538" s="182">
        <v>13608608.365961349</v>
      </c>
      <c r="J538" s="182"/>
      <c r="K538" s="182">
        <v>12948056.641440475</v>
      </c>
      <c r="L538" s="182"/>
      <c r="M538" s="182">
        <v>12948056.641440475</v>
      </c>
      <c r="N538" s="182">
        <v>0</v>
      </c>
      <c r="O538" s="182">
        <v>13533586.743643541</v>
      </c>
      <c r="P538" s="182">
        <v>585530.10220306518</v>
      </c>
      <c r="Q538" s="182">
        <v>1.0452804341462896E-2</v>
      </c>
      <c r="R538" s="182">
        <v>0</v>
      </c>
      <c r="S538" s="182">
        <f t="shared" si="78"/>
        <v>130360824.46246324</v>
      </c>
      <c r="T538" s="192">
        <f t="shared" si="75"/>
        <v>7.2733692514461712E-3</v>
      </c>
      <c r="Y538" s="192" t="e">
        <f t="shared" si="76"/>
        <v>#DIV/0!</v>
      </c>
    </row>
    <row r="539" spans="1:25" ht="14.4">
      <c r="A539" s="187">
        <f t="shared" si="77"/>
        <v>50269</v>
      </c>
      <c r="B539" s="182">
        <v>14450583.848395132</v>
      </c>
      <c r="C539" s="182">
        <v>619108.89459151682</v>
      </c>
      <c r="D539" s="182">
        <v>13831474.953803614</v>
      </c>
      <c r="E539" s="182">
        <v>0</v>
      </c>
      <c r="F539" s="189">
        <f t="shared" si="79"/>
        <v>0</v>
      </c>
      <c r="G539" s="182">
        <v>14450583.848395132</v>
      </c>
      <c r="H539" s="182"/>
      <c r="I539" s="182">
        <v>13831474.953803614</v>
      </c>
      <c r="J539" s="182"/>
      <c r="K539" s="182">
        <v>13122146.398631178</v>
      </c>
      <c r="L539" s="182"/>
      <c r="M539" s="182">
        <v>13122146.398631178</v>
      </c>
      <c r="N539" s="182">
        <v>0</v>
      </c>
      <c r="O539" s="182">
        <v>13741255.293222696</v>
      </c>
      <c r="P539" s="182">
        <v>619108.89459151682</v>
      </c>
      <c r="Q539" s="182">
        <v>1.0514475590325034E-2</v>
      </c>
      <c r="R539" s="182">
        <v>0</v>
      </c>
      <c r="S539" s="182">
        <f t="shared" si="78"/>
        <v>130497361.3368316</v>
      </c>
      <c r="T539" s="192">
        <f t="shared" si="75"/>
        <v>7.4212694439337312E-3</v>
      </c>
      <c r="Y539" s="192" t="e">
        <f t="shared" si="76"/>
        <v>#DIV/0!</v>
      </c>
    </row>
    <row r="540" spans="1:25" ht="14.4">
      <c r="A540" s="187">
        <f t="shared" si="77"/>
        <v>50300</v>
      </c>
      <c r="B540" s="182">
        <v>13303358.01536868</v>
      </c>
      <c r="C540" s="182">
        <v>596160.97675359796</v>
      </c>
      <c r="D540" s="182">
        <v>12707197.038615081</v>
      </c>
      <c r="E540" s="182">
        <v>0</v>
      </c>
      <c r="F540" s="189">
        <f t="shared" si="79"/>
        <v>0</v>
      </c>
      <c r="G540" s="182">
        <v>13303358.01536868</v>
      </c>
      <c r="H540" s="182"/>
      <c r="I540" s="182">
        <v>12707197.038615081</v>
      </c>
      <c r="J540" s="182"/>
      <c r="K540" s="182">
        <v>12055506.375494078</v>
      </c>
      <c r="L540" s="182"/>
      <c r="M540" s="182">
        <v>12055506.375494078</v>
      </c>
      <c r="N540" s="182">
        <v>0</v>
      </c>
      <c r="O540" s="182">
        <v>12651667.352247676</v>
      </c>
      <c r="P540" s="182">
        <v>596160.97675359796</v>
      </c>
      <c r="Q540" s="182">
        <v>1.0553768461368129E-2</v>
      </c>
      <c r="R540" s="182">
        <v>0</v>
      </c>
      <c r="S540" s="182">
        <f t="shared" si="78"/>
        <v>130623263.61629687</v>
      </c>
      <c r="T540" s="192">
        <f t="shared" si="75"/>
        <v>7.5820497563852118E-3</v>
      </c>
      <c r="Y540" s="192" t="e">
        <f t="shared" si="76"/>
        <v>#DIV/0!</v>
      </c>
    </row>
    <row r="541" spans="1:25" ht="14.4">
      <c r="A541" s="187">
        <f t="shared" si="77"/>
        <v>50330</v>
      </c>
      <c r="B541" s="182">
        <v>12475532.823043965</v>
      </c>
      <c r="C541" s="182">
        <v>546075.52865050233</v>
      </c>
      <c r="D541" s="182">
        <v>11929457.294393463</v>
      </c>
      <c r="E541" s="182">
        <v>0</v>
      </c>
      <c r="F541" s="189">
        <f t="shared" si="79"/>
        <v>0</v>
      </c>
      <c r="G541" s="182">
        <v>12475532.823043965</v>
      </c>
      <c r="H541" s="182"/>
      <c r="I541" s="182">
        <v>11929457.294393463</v>
      </c>
      <c r="J541" s="182"/>
      <c r="K541" s="182">
        <v>11317963.442229651</v>
      </c>
      <c r="L541" s="182"/>
      <c r="M541" s="182">
        <v>11317963.442229651</v>
      </c>
      <c r="N541" s="182">
        <v>0</v>
      </c>
      <c r="O541" s="182">
        <v>11864038.970880153</v>
      </c>
      <c r="P541" s="182">
        <v>546075.52865050233</v>
      </c>
      <c r="Q541" s="182">
        <v>1.0590774651253687E-2</v>
      </c>
      <c r="R541" s="182">
        <v>0</v>
      </c>
      <c r="S541" s="182">
        <f t="shared" si="78"/>
        <v>130741873.44664007</v>
      </c>
      <c r="T541" s="192">
        <f t="shared" si="75"/>
        <v>7.7587047692553313E-3</v>
      </c>
      <c r="Y541" s="192" t="e">
        <f t="shared" si="76"/>
        <v>#DIV/0!</v>
      </c>
    </row>
    <row r="542" spans="1:25" ht="14.4">
      <c r="A542" s="187">
        <f t="shared" si="77"/>
        <v>50361</v>
      </c>
      <c r="B542" s="182">
        <v>10428766.824702006</v>
      </c>
      <c r="C542" s="182">
        <v>489545.68704631942</v>
      </c>
      <c r="D542" s="182">
        <v>9939221.1376556866</v>
      </c>
      <c r="E542" s="182">
        <v>0</v>
      </c>
      <c r="F542" s="189">
        <f t="shared" si="79"/>
        <v>0</v>
      </c>
      <c r="G542" s="182">
        <v>10428766.824702006</v>
      </c>
      <c r="H542" s="182"/>
      <c r="I542" s="182">
        <v>9939221.1376556866</v>
      </c>
      <c r="J542" s="182"/>
      <c r="K542" s="182">
        <v>9485014.2269379888</v>
      </c>
      <c r="L542" s="182"/>
      <c r="M542" s="182">
        <v>9485014.2269379888</v>
      </c>
      <c r="N542" s="182">
        <v>0</v>
      </c>
      <c r="O542" s="182">
        <v>9974559.913984308</v>
      </c>
      <c r="P542" s="182">
        <v>489545.68704631942</v>
      </c>
      <c r="Q542" s="182">
        <v>1.0496468185826613E-2</v>
      </c>
      <c r="R542" s="182">
        <v>0</v>
      </c>
      <c r="S542" s="182">
        <f t="shared" si="78"/>
        <v>130840398.43233736</v>
      </c>
      <c r="T542" s="192">
        <f t="shared" si="75"/>
        <v>7.9531693871790488E-3</v>
      </c>
      <c r="Y542" s="192" t="e">
        <f t="shared" si="76"/>
        <v>#DIV/0!</v>
      </c>
    </row>
    <row r="543" spans="1:25" ht="14.4">
      <c r="A543" s="187">
        <f t="shared" si="77"/>
        <v>50391</v>
      </c>
      <c r="B543" s="182">
        <v>10739889.417451883</v>
      </c>
      <c r="C543" s="182">
        <v>465302.77593261213</v>
      </c>
      <c r="D543" s="182">
        <v>10274586.641519271</v>
      </c>
      <c r="E543" s="182">
        <v>0</v>
      </c>
      <c r="F543" s="189">
        <f t="shared" si="79"/>
        <v>0</v>
      </c>
      <c r="G543" s="182">
        <v>10739889.417451883</v>
      </c>
      <c r="H543" s="182"/>
      <c r="I543" s="182">
        <v>10274586.641519271</v>
      </c>
      <c r="J543" s="182"/>
      <c r="K543" s="182">
        <v>9760914.3716148864</v>
      </c>
      <c r="L543" s="182"/>
      <c r="M543" s="182">
        <v>9760914.3716148864</v>
      </c>
      <c r="N543" s="182">
        <v>0</v>
      </c>
      <c r="O543" s="182">
        <v>10226217.147547498</v>
      </c>
      <c r="P543" s="182">
        <v>465302.77593261213</v>
      </c>
      <c r="Q543" s="182">
        <v>1.0454939431155275E-2</v>
      </c>
      <c r="R543" s="182">
        <v>0</v>
      </c>
      <c r="S543" s="182">
        <f t="shared" si="78"/>
        <v>130941392.31594923</v>
      </c>
      <c r="T543" s="192">
        <f t="shared" si="75"/>
        <v>8.1570266720876194E-3</v>
      </c>
      <c r="Y543" s="192" t="e">
        <f t="shared" si="76"/>
        <v>#DIV/0!</v>
      </c>
    </row>
    <row r="544" spans="1:25" ht="14.4">
      <c r="A544" s="187">
        <f t="shared" si="77"/>
        <v>50422</v>
      </c>
      <c r="B544" s="182">
        <v>10873495.945943244</v>
      </c>
      <c r="C544" s="182">
        <v>461756.32641228696</v>
      </c>
      <c r="D544" s="182">
        <v>10411739.619530957</v>
      </c>
      <c r="E544" s="182">
        <v>0</v>
      </c>
      <c r="F544" s="189">
        <f t="shared" si="79"/>
        <v>0</v>
      </c>
      <c r="G544" s="182">
        <v>10873495.945943244</v>
      </c>
      <c r="H544" s="182"/>
      <c r="I544" s="182">
        <v>10411739.619530957</v>
      </c>
      <c r="J544" s="182"/>
      <c r="K544" s="182">
        <v>9862598.3682991229</v>
      </c>
      <c r="L544" s="182"/>
      <c r="M544" s="182">
        <v>9862598.3682991229</v>
      </c>
      <c r="N544" s="182">
        <v>0</v>
      </c>
      <c r="O544" s="182">
        <v>10324354.69471141</v>
      </c>
      <c r="P544" s="182">
        <v>461756.32641228696</v>
      </c>
      <c r="Q544" s="182">
        <v>1.0658164910383849E-2</v>
      </c>
      <c r="R544" s="182">
        <v>0</v>
      </c>
      <c r="S544" s="182">
        <f t="shared" si="78"/>
        <v>131045400.97436988</v>
      </c>
      <c r="T544" s="192">
        <f t="shared" si="75"/>
        <v>8.3354862233790961E-3</v>
      </c>
      <c r="Y544" s="192" t="e">
        <f t="shared" si="76"/>
        <v>#DIV/0!</v>
      </c>
    </row>
    <row r="545" spans="1:25" ht="14.4">
      <c r="A545" s="187">
        <f t="shared" si="77"/>
        <v>50453</v>
      </c>
      <c r="B545" s="182">
        <v>9763908.1467043143</v>
      </c>
      <c r="C545" s="182">
        <v>446333.20895653043</v>
      </c>
      <c r="D545" s="182">
        <v>9317574.937747784</v>
      </c>
      <c r="E545" s="182">
        <v>0</v>
      </c>
      <c r="F545" s="189">
        <f t="shared" si="79"/>
        <v>0</v>
      </c>
      <c r="G545" s="182">
        <v>9763908.1467043143</v>
      </c>
      <c r="H545" s="182"/>
      <c r="I545" s="182">
        <v>9317574.937747784</v>
      </c>
      <c r="J545" s="182"/>
      <c r="K545" s="182">
        <v>8827428.3419608865</v>
      </c>
      <c r="L545" s="182"/>
      <c r="M545" s="182">
        <v>8827428.3419608865</v>
      </c>
      <c r="N545" s="182">
        <v>0</v>
      </c>
      <c r="O545" s="182">
        <v>9273761.5509174168</v>
      </c>
      <c r="P545" s="182">
        <v>446333.20895653043</v>
      </c>
      <c r="Q545" s="182">
        <v>1.0811370539781651E-2</v>
      </c>
      <c r="R545" s="182">
        <v>0</v>
      </c>
      <c r="S545" s="182">
        <f t="shared" si="78"/>
        <v>131139816.80852036</v>
      </c>
      <c r="T545" s="192">
        <f t="shared" si="75"/>
        <v>1.0455931925781314E-2</v>
      </c>
      <c r="Y545" s="192" t="e">
        <f t="shared" si="76"/>
        <v>#DIV/0!</v>
      </c>
    </row>
    <row r="546" spans="1:25" ht="14.4">
      <c r="A546" s="187">
        <f t="shared" si="77"/>
        <v>50482</v>
      </c>
      <c r="B546" s="182">
        <v>11025579.555424832</v>
      </c>
      <c r="C546" s="182">
        <v>526639.21183833666</v>
      </c>
      <c r="D546" s="182">
        <v>10498940.343586495</v>
      </c>
      <c r="E546" s="182">
        <v>0</v>
      </c>
      <c r="F546" s="189">
        <f t="shared" si="79"/>
        <v>0</v>
      </c>
      <c r="G546" s="182">
        <v>11025579.555424832</v>
      </c>
      <c r="H546" s="182"/>
      <c r="I546" s="182">
        <v>10498940.343586495</v>
      </c>
      <c r="J546" s="182"/>
      <c r="K546" s="182">
        <v>9955429.2882254105</v>
      </c>
      <c r="L546" s="182"/>
      <c r="M546" s="182">
        <v>9955429.2882254105</v>
      </c>
      <c r="N546" s="182">
        <v>0</v>
      </c>
      <c r="O546" s="182">
        <v>10482068.500063747</v>
      </c>
      <c r="P546" s="182">
        <v>526639.21183833666</v>
      </c>
      <c r="Q546" s="182">
        <v>1.1049902972224857E-2</v>
      </c>
      <c r="R546" s="182">
        <v>0</v>
      </c>
      <c r="S546" s="182">
        <f t="shared" si="78"/>
        <v>131248621.0597827</v>
      </c>
      <c r="T546" s="192">
        <f t="shared" si="75"/>
        <v>1.0560860159446683E-2</v>
      </c>
      <c r="Y546" s="192" t="e">
        <f t="shared" si="76"/>
        <v>#DIV/0!</v>
      </c>
    </row>
    <row r="547" spans="1:25" ht="14.4">
      <c r="A547" s="187">
        <f t="shared" si="77"/>
        <v>50513</v>
      </c>
      <c r="B547" s="182">
        <v>11351601.216850571</v>
      </c>
      <c r="C547" s="182">
        <v>572520.51512192702</v>
      </c>
      <c r="D547" s="182">
        <v>10779080.701728644</v>
      </c>
      <c r="E547" s="182">
        <v>0</v>
      </c>
      <c r="F547" s="189">
        <f t="shared" si="79"/>
        <v>0</v>
      </c>
      <c r="G547" s="182">
        <v>11351601.216850571</v>
      </c>
      <c r="H547" s="182"/>
      <c r="I547" s="182">
        <v>10779080.701728644</v>
      </c>
      <c r="J547" s="182"/>
      <c r="K547" s="182">
        <v>10260794.668933703</v>
      </c>
      <c r="L547" s="182"/>
      <c r="M547" s="182">
        <v>10260794.668933703</v>
      </c>
      <c r="N547" s="182">
        <v>0</v>
      </c>
      <c r="O547" s="182">
        <v>10833315.18405563</v>
      </c>
      <c r="P547" s="182">
        <v>572520.51512192702</v>
      </c>
      <c r="Q547" s="182">
        <v>1.1311114678186351E-2</v>
      </c>
      <c r="R547" s="182">
        <v>0</v>
      </c>
      <c r="S547" s="182">
        <f t="shared" si="78"/>
        <v>131363383.98832676</v>
      </c>
      <c r="T547" s="192">
        <f t="shared" si="75"/>
        <v>1.0633212906631773E-2</v>
      </c>
      <c r="Y547" s="192" t="e">
        <f t="shared" si="76"/>
        <v>#DIV/0!</v>
      </c>
    </row>
    <row r="548" spans="1:25" ht="14.4">
      <c r="A548" s="187">
        <f t="shared" si="77"/>
        <v>50543</v>
      </c>
      <c r="B548" s="182">
        <v>12903238.578926269</v>
      </c>
      <c r="C548" s="182">
        <v>590109.60847157659</v>
      </c>
      <c r="D548" s="182">
        <v>12313128.970454693</v>
      </c>
      <c r="E548" s="182">
        <v>0</v>
      </c>
      <c r="F548" s="189">
        <f t="shared" si="79"/>
        <v>0</v>
      </c>
      <c r="G548" s="182">
        <v>12903238.578926269</v>
      </c>
      <c r="H548" s="182"/>
      <c r="I548" s="182">
        <v>12313128.970454693</v>
      </c>
      <c r="J548" s="182"/>
      <c r="K548" s="182">
        <v>11750743.880064014</v>
      </c>
      <c r="L548" s="182"/>
      <c r="M548" s="182">
        <v>11750743.880064014</v>
      </c>
      <c r="N548" s="182">
        <v>0</v>
      </c>
      <c r="O548" s="182">
        <v>12340853.48853559</v>
      </c>
      <c r="P548" s="182">
        <v>590109.60847157659</v>
      </c>
      <c r="Q548" s="182">
        <v>1.132698656152753E-2</v>
      </c>
      <c r="R548" s="182">
        <v>0</v>
      </c>
      <c r="S548" s="182">
        <f t="shared" si="78"/>
        <v>131494993.76418172</v>
      </c>
      <c r="T548" s="192">
        <f t="shared" ref="T548:T611" si="80">S548/S536-1</f>
        <v>1.0710834329816343E-2</v>
      </c>
      <c r="Y548" s="192" t="e">
        <f t="shared" ref="Y548:Y611" si="81">X548/X536-1</f>
        <v>#DIV/0!</v>
      </c>
    </row>
    <row r="549" spans="1:25" ht="14.4">
      <c r="A549" s="187">
        <f t="shared" ref="A549:A612" si="82">+A537+366</f>
        <v>50574</v>
      </c>
      <c r="B549" s="182">
        <v>13497775.169605639</v>
      </c>
      <c r="C549" s="182">
        <v>614680.19719544868</v>
      </c>
      <c r="D549" s="182">
        <v>12883094.972410191</v>
      </c>
      <c r="E549" s="182">
        <v>0</v>
      </c>
      <c r="F549" s="189">
        <f t="shared" si="79"/>
        <v>0</v>
      </c>
      <c r="G549" s="182">
        <v>13497775.169605639</v>
      </c>
      <c r="H549" s="182"/>
      <c r="I549" s="182">
        <v>12883094.972410191</v>
      </c>
      <c r="J549" s="182"/>
      <c r="K549" s="182">
        <v>12286699.464995392</v>
      </c>
      <c r="L549" s="182"/>
      <c r="M549" s="182">
        <v>12286699.464995392</v>
      </c>
      <c r="N549" s="182">
        <v>0</v>
      </c>
      <c r="O549" s="182">
        <v>12901379.66219084</v>
      </c>
      <c r="P549" s="182">
        <v>614680.19719544868</v>
      </c>
      <c r="Q549" s="182">
        <v>1.1384357622571839E-2</v>
      </c>
      <c r="R549" s="182">
        <v>0</v>
      </c>
      <c r="S549" s="182">
        <f t="shared" si="78"/>
        <v>131633295.4688268</v>
      </c>
      <c r="T549" s="192">
        <f t="shared" si="80"/>
        <v>1.0799724399584321E-2</v>
      </c>
      <c r="Y549" s="192" t="e">
        <f t="shared" si="81"/>
        <v>#DIV/0!</v>
      </c>
    </row>
    <row r="550" spans="1:25" ht="14.4">
      <c r="A550" s="187">
        <f t="shared" si="82"/>
        <v>50604</v>
      </c>
      <c r="B550" s="182">
        <v>14357814.778393447</v>
      </c>
      <c r="C550" s="182">
        <v>594013.53707762901</v>
      </c>
      <c r="D550" s="182">
        <v>13763801.241315819</v>
      </c>
      <c r="E550" s="182">
        <v>0</v>
      </c>
      <c r="F550" s="189">
        <f t="shared" si="79"/>
        <v>0</v>
      </c>
      <c r="G550" s="182">
        <v>14357814.778393447</v>
      </c>
      <c r="H550" s="182"/>
      <c r="I550" s="182">
        <v>13763801.241315819</v>
      </c>
      <c r="J550" s="182"/>
      <c r="K550" s="182">
        <v>13095632.522693649</v>
      </c>
      <c r="L550" s="182"/>
      <c r="M550" s="182">
        <v>13095632.522693649</v>
      </c>
      <c r="N550" s="182">
        <v>0</v>
      </c>
      <c r="O550" s="182">
        <v>13689646.059771277</v>
      </c>
      <c r="P550" s="182">
        <v>594013.53707762901</v>
      </c>
      <c r="Q550" s="182">
        <v>1.1397531331524657E-2</v>
      </c>
      <c r="R550" s="182">
        <v>0</v>
      </c>
      <c r="S550" s="182">
        <f t="shared" si="78"/>
        <v>131780871.35007997</v>
      </c>
      <c r="T550" s="192">
        <f t="shared" si="80"/>
        <v>1.0893202720005934E-2</v>
      </c>
      <c r="Y550" s="192" t="e">
        <f t="shared" si="81"/>
        <v>#DIV/0!</v>
      </c>
    </row>
    <row r="551" spans="1:25" ht="14.4">
      <c r="A551" s="187">
        <f t="shared" si="82"/>
        <v>50635</v>
      </c>
      <c r="B551" s="182">
        <v>14616914.746258698</v>
      </c>
      <c r="C551" s="182">
        <v>628098.57195844268</v>
      </c>
      <c r="D551" s="182">
        <v>13988816.174300255</v>
      </c>
      <c r="E551" s="182">
        <v>0</v>
      </c>
      <c r="F551" s="189">
        <f t="shared" si="79"/>
        <v>0</v>
      </c>
      <c r="G551" s="182">
        <v>14616914.746258698</v>
      </c>
      <c r="H551" s="182"/>
      <c r="I551" s="182">
        <v>13988816.174300255</v>
      </c>
      <c r="J551" s="182"/>
      <c r="K551" s="182">
        <v>13271323.017842509</v>
      </c>
      <c r="L551" s="182"/>
      <c r="M551" s="182">
        <v>13271323.017842509</v>
      </c>
      <c r="N551" s="182">
        <v>0</v>
      </c>
      <c r="O551" s="182">
        <v>13899421.589800952</v>
      </c>
      <c r="P551" s="182">
        <v>628098.57195844268</v>
      </c>
      <c r="Q551" s="182">
        <v>1.1368309320713976E-2</v>
      </c>
      <c r="R551" s="182">
        <v>0</v>
      </c>
      <c r="S551" s="182">
        <f t="shared" si="78"/>
        <v>131930047.9692913</v>
      </c>
      <c r="T551" s="192">
        <f t="shared" si="80"/>
        <v>1.0978663612682071E-2</v>
      </c>
      <c r="Y551" s="192" t="e">
        <f t="shared" si="81"/>
        <v>#DIV/0!</v>
      </c>
    </row>
    <row r="552" spans="1:25" ht="14.4">
      <c r="A552" s="187">
        <f t="shared" si="82"/>
        <v>50666</v>
      </c>
      <c r="B552" s="182">
        <v>13456455.088696614</v>
      </c>
      <c r="C552" s="182">
        <v>604850.7364538121</v>
      </c>
      <c r="D552" s="182">
        <v>12851604.352242801</v>
      </c>
      <c r="E552" s="182">
        <v>0</v>
      </c>
      <c r="F552" s="189">
        <f t="shared" si="79"/>
        <v>0</v>
      </c>
      <c r="G552" s="182">
        <v>13456455.088696614</v>
      </c>
      <c r="H552" s="182"/>
      <c r="I552" s="182">
        <v>12851604.352242801</v>
      </c>
      <c r="J552" s="182"/>
      <c r="K552" s="182">
        <v>12192413.933562059</v>
      </c>
      <c r="L552" s="182"/>
      <c r="M552" s="182">
        <v>12192413.933562059</v>
      </c>
      <c r="N552" s="182">
        <v>0</v>
      </c>
      <c r="O552" s="182">
        <v>12797264.670015872</v>
      </c>
      <c r="P552" s="182">
        <v>604850.7364538121</v>
      </c>
      <c r="Q552" s="182">
        <v>1.1356433633205265E-2</v>
      </c>
      <c r="R552" s="182">
        <v>0</v>
      </c>
      <c r="S552" s="182">
        <f t="shared" si="78"/>
        <v>132066955.52735926</v>
      </c>
      <c r="T552" s="192">
        <f t="shared" si="80"/>
        <v>1.1052333796399472E-2</v>
      </c>
      <c r="Y552" s="192" t="e">
        <f t="shared" si="81"/>
        <v>#DIV/0!</v>
      </c>
    </row>
    <row r="553" spans="1:25" ht="14.4">
      <c r="A553" s="187">
        <f t="shared" si="82"/>
        <v>50696</v>
      </c>
      <c r="B553" s="182">
        <v>12619417.116129665</v>
      </c>
      <c r="C553" s="182">
        <v>554033.05308879598</v>
      </c>
      <c r="D553" s="182">
        <v>12065384.063040869</v>
      </c>
      <c r="E553" s="182">
        <v>0</v>
      </c>
      <c r="F553" s="189">
        <f t="shared" si="79"/>
        <v>0</v>
      </c>
      <c r="G553" s="182">
        <v>12619417.116129665</v>
      </c>
      <c r="H553" s="182"/>
      <c r="I553" s="182">
        <v>12065384.063040869</v>
      </c>
      <c r="J553" s="182"/>
      <c r="K553" s="182">
        <v>11446837.65753983</v>
      </c>
      <c r="L553" s="182"/>
      <c r="M553" s="182">
        <v>11446837.65753983</v>
      </c>
      <c r="N553" s="182">
        <v>0</v>
      </c>
      <c r="O553" s="182">
        <v>12000870.710628625</v>
      </c>
      <c r="P553" s="182">
        <v>554033.05308879598</v>
      </c>
      <c r="Q553" s="182">
        <v>1.1386696552607933E-2</v>
      </c>
      <c r="R553" s="182">
        <v>0</v>
      </c>
      <c r="S553" s="182">
        <f t="shared" si="78"/>
        <v>132195829.74266946</v>
      </c>
      <c r="T553" s="192">
        <f t="shared" si="80"/>
        <v>1.1120815831224817E-2</v>
      </c>
      <c r="Y553" s="192" t="e">
        <f t="shared" si="81"/>
        <v>#DIV/0!</v>
      </c>
    </row>
    <row r="554" spans="1:25" ht="14.4">
      <c r="A554" s="187">
        <f t="shared" si="82"/>
        <v>50727</v>
      </c>
      <c r="B554" s="182">
        <v>10551312.732452966</v>
      </c>
      <c r="C554" s="182">
        <v>496696.61967700534</v>
      </c>
      <c r="D554" s="182">
        <v>10054616.112775961</v>
      </c>
      <c r="E554" s="182">
        <v>0</v>
      </c>
      <c r="F554" s="189">
        <f t="shared" si="79"/>
        <v>0</v>
      </c>
      <c r="G554" s="182">
        <v>10551312.732452966</v>
      </c>
      <c r="H554" s="182"/>
      <c r="I554" s="182">
        <v>10054616.112775961</v>
      </c>
      <c r="J554" s="182"/>
      <c r="K554" s="182">
        <v>9595071.9268927258</v>
      </c>
      <c r="L554" s="182"/>
      <c r="M554" s="182">
        <v>9595071.9268927258</v>
      </c>
      <c r="N554" s="182">
        <v>0</v>
      </c>
      <c r="O554" s="182">
        <v>10091768.546569731</v>
      </c>
      <c r="P554" s="182">
        <v>496696.61967700534</v>
      </c>
      <c r="Q554" s="182">
        <v>1.1603324710063978E-2</v>
      </c>
      <c r="R554" s="182">
        <v>0</v>
      </c>
      <c r="S554" s="182">
        <f t="shared" si="78"/>
        <v>132305887.44262418</v>
      </c>
      <c r="T554" s="192">
        <f t="shared" si="80"/>
        <v>1.1200585047474343E-2</v>
      </c>
      <c r="Y554" s="192" t="e">
        <f t="shared" si="81"/>
        <v>#DIV/0!</v>
      </c>
    </row>
    <row r="555" spans="1:25" ht="14.4">
      <c r="A555" s="187">
        <f t="shared" si="82"/>
        <v>50757</v>
      </c>
      <c r="B555" s="182">
        <v>10867695.878597289</v>
      </c>
      <c r="C555" s="182">
        <v>472083.94546563888</v>
      </c>
      <c r="D555" s="182">
        <v>10395611.93313165</v>
      </c>
      <c r="E555" s="182">
        <v>0</v>
      </c>
      <c r="F555" s="189">
        <f t="shared" si="79"/>
        <v>0</v>
      </c>
      <c r="G555" s="182">
        <v>10867695.878597289</v>
      </c>
      <c r="H555" s="182"/>
      <c r="I555" s="182">
        <v>10395611.93313165</v>
      </c>
      <c r="J555" s="182"/>
      <c r="K555" s="182">
        <v>9875826.8782205284</v>
      </c>
      <c r="L555" s="182"/>
      <c r="M555" s="182">
        <v>9875826.8782205284</v>
      </c>
      <c r="N555" s="182">
        <v>0</v>
      </c>
      <c r="O555" s="182">
        <v>10347910.823686168</v>
      </c>
      <c r="P555" s="182">
        <v>472083.94546563888</v>
      </c>
      <c r="Q555" s="182">
        <v>1.1772719463640779E-2</v>
      </c>
      <c r="R555" s="182">
        <v>0</v>
      </c>
      <c r="S555" s="182">
        <f t="shared" si="78"/>
        <v>132420799.94922984</v>
      </c>
      <c r="T555" s="192">
        <f t="shared" si="80"/>
        <v>1.1298242726111685E-2</v>
      </c>
      <c r="Y555" s="192" t="e">
        <f t="shared" si="81"/>
        <v>#DIV/0!</v>
      </c>
    </row>
    <row r="556" spans="1:25" ht="14.4">
      <c r="A556" s="187">
        <f t="shared" si="82"/>
        <v>50788</v>
      </c>
      <c r="B556" s="182">
        <v>11004319.102692129</v>
      </c>
      <c r="C556" s="182">
        <v>468483.69568602013</v>
      </c>
      <c r="D556" s="182">
        <v>10535835.407006109</v>
      </c>
      <c r="E556" s="182">
        <v>0</v>
      </c>
      <c r="F556" s="189">
        <f t="shared" si="79"/>
        <v>0</v>
      </c>
      <c r="G556" s="182">
        <v>11004319.102692129</v>
      </c>
      <c r="H556" s="182"/>
      <c r="I556" s="182">
        <v>10535835.407006109</v>
      </c>
      <c r="J556" s="182"/>
      <c r="K556" s="182">
        <v>9980087.2289547566</v>
      </c>
      <c r="L556" s="182"/>
      <c r="M556" s="182">
        <v>9980087.2289547566</v>
      </c>
      <c r="N556" s="182">
        <v>0</v>
      </c>
      <c r="O556" s="182">
        <v>10448570.924640777</v>
      </c>
      <c r="P556" s="182">
        <v>468483.69568602013</v>
      </c>
      <c r="Q556" s="182">
        <v>1.1912566675458702E-2</v>
      </c>
      <c r="R556" s="182">
        <v>0</v>
      </c>
      <c r="S556" s="182">
        <f t="shared" si="78"/>
        <v>132538288.80988547</v>
      </c>
      <c r="T556" s="192">
        <f t="shared" si="80"/>
        <v>1.139214214627482E-2</v>
      </c>
      <c r="Y556" s="192" t="e">
        <f t="shared" si="81"/>
        <v>#DIV/0!</v>
      </c>
    </row>
    <row r="557" spans="1:25" ht="14.4">
      <c r="A557" s="187">
        <f t="shared" si="82"/>
        <v>50819</v>
      </c>
      <c r="B557" s="182">
        <v>9883142.3200269099</v>
      </c>
      <c r="C557" s="182">
        <v>452840.58536306804</v>
      </c>
      <c r="D557" s="182">
        <v>9430301.7346638422</v>
      </c>
      <c r="E557" s="182">
        <v>0</v>
      </c>
      <c r="F557" s="189">
        <f t="shared" si="79"/>
        <v>0</v>
      </c>
      <c r="G557" s="182">
        <v>9883142.3200269099</v>
      </c>
      <c r="H557" s="182"/>
      <c r="I557" s="182">
        <v>9430301.7346638422</v>
      </c>
      <c r="J557" s="182"/>
      <c r="K557" s="182">
        <v>8934169.6028316002</v>
      </c>
      <c r="L557" s="182"/>
      <c r="M557" s="182">
        <v>8934169.6028316002</v>
      </c>
      <c r="N557" s="182">
        <v>0</v>
      </c>
      <c r="O557" s="182">
        <v>9387010.1881946679</v>
      </c>
      <c r="P557" s="182">
        <v>452840.58536306804</v>
      </c>
      <c r="Q557" s="182">
        <v>1.2091999700900802E-2</v>
      </c>
      <c r="R557" s="182">
        <v>0</v>
      </c>
      <c r="S557" s="182">
        <f t="shared" si="78"/>
        <v>132645030.07075618</v>
      </c>
      <c r="T557" s="192">
        <f t="shared" si="80"/>
        <v>1.147792713812934E-2</v>
      </c>
      <c r="Y557" s="192" t="e">
        <f t="shared" si="81"/>
        <v>#DIV/0!</v>
      </c>
    </row>
    <row r="558" spans="1:25" ht="14.4">
      <c r="A558" s="187">
        <f t="shared" si="82"/>
        <v>50848</v>
      </c>
      <c r="B558" s="182">
        <v>11158670.305051522</v>
      </c>
      <c r="C558" s="182">
        <v>534324.39693660033</v>
      </c>
      <c r="D558" s="182">
        <v>10624345.908114921</v>
      </c>
      <c r="E558" s="182">
        <v>0</v>
      </c>
      <c r="F558" s="189">
        <f t="shared" si="79"/>
        <v>0</v>
      </c>
      <c r="G558" s="182">
        <v>11158670.305051522</v>
      </c>
      <c r="H558" s="182"/>
      <c r="I558" s="182">
        <v>10624345.908114921</v>
      </c>
      <c r="J558" s="182"/>
      <c r="K558" s="182">
        <v>10074274.082553525</v>
      </c>
      <c r="L558" s="182"/>
      <c r="M558" s="182">
        <v>10074274.082553525</v>
      </c>
      <c r="N558" s="182">
        <v>0</v>
      </c>
      <c r="O558" s="182">
        <v>10608598.479490126</v>
      </c>
      <c r="P558" s="182">
        <v>534324.39693660033</v>
      </c>
      <c r="Q558" s="182">
        <v>1.1937686551465543E-2</v>
      </c>
      <c r="R558" s="182">
        <v>0</v>
      </c>
      <c r="S558" s="182">
        <f t="shared" si="78"/>
        <v>132763874.86508429</v>
      </c>
      <c r="T558" s="192">
        <f t="shared" si="80"/>
        <v>1.1544912190821544E-2</v>
      </c>
      <c r="Y558" s="192" t="e">
        <f t="shared" si="81"/>
        <v>#DIV/0!</v>
      </c>
    </row>
    <row r="559" spans="1:25" ht="14.4">
      <c r="A559" s="187">
        <f t="shared" si="82"/>
        <v>50879</v>
      </c>
      <c r="B559" s="182">
        <v>11487718.22583214</v>
      </c>
      <c r="C559" s="182">
        <v>580883.21090472478</v>
      </c>
      <c r="D559" s="182">
        <v>10906835.014927415</v>
      </c>
      <c r="E559" s="182">
        <v>0</v>
      </c>
      <c r="F559" s="189">
        <f t="shared" si="79"/>
        <v>0</v>
      </c>
      <c r="G559" s="182">
        <v>11487718.22583214</v>
      </c>
      <c r="H559" s="182"/>
      <c r="I559" s="182">
        <v>10906835.014927415</v>
      </c>
      <c r="J559" s="182"/>
      <c r="K559" s="182">
        <v>10382334.216194762</v>
      </c>
      <c r="L559" s="182"/>
      <c r="M559" s="182">
        <v>10382334.216194762</v>
      </c>
      <c r="N559" s="182">
        <v>0</v>
      </c>
      <c r="O559" s="182">
        <v>10963217.427099487</v>
      </c>
      <c r="P559" s="182">
        <v>580883.21090472478</v>
      </c>
      <c r="Q559" s="182">
        <v>1.1845042336636968E-2</v>
      </c>
      <c r="R559" s="182">
        <v>0</v>
      </c>
      <c r="S559" s="182">
        <f t="shared" si="78"/>
        <v>132885414.41234536</v>
      </c>
      <c r="T559" s="192">
        <f t="shared" si="80"/>
        <v>1.1586413030847842E-2</v>
      </c>
      <c r="Y559" s="192" t="e">
        <f t="shared" si="81"/>
        <v>#DIV/0!</v>
      </c>
    </row>
    <row r="560" spans="1:25" ht="14.4">
      <c r="A560" s="187">
        <f t="shared" si="82"/>
        <v>50909</v>
      </c>
      <c r="B560" s="182">
        <v>13055705.77718349</v>
      </c>
      <c r="C560" s="182">
        <v>598706.48670280247</v>
      </c>
      <c r="D560" s="182">
        <v>12456999.290480688</v>
      </c>
      <c r="E560" s="182">
        <v>0</v>
      </c>
      <c r="F560" s="189">
        <f t="shared" si="79"/>
        <v>0</v>
      </c>
      <c r="G560" s="182">
        <v>13055705.77718349</v>
      </c>
      <c r="H560" s="182"/>
      <c r="I560" s="182">
        <v>12456999.290480688</v>
      </c>
      <c r="J560" s="182"/>
      <c r="K560" s="182">
        <v>11887968.947539728</v>
      </c>
      <c r="L560" s="182"/>
      <c r="M560" s="182">
        <v>11887968.947539728</v>
      </c>
      <c r="N560" s="182">
        <v>0</v>
      </c>
      <c r="O560" s="182">
        <v>12486675.43424253</v>
      </c>
      <c r="P560" s="182">
        <v>598706.48670280247</v>
      </c>
      <c r="Q560" s="182">
        <v>1.1677989825693125E-2</v>
      </c>
      <c r="R560" s="182">
        <v>0</v>
      </c>
      <c r="S560" s="182">
        <f t="shared" si="78"/>
        <v>133022639.47982107</v>
      </c>
      <c r="T560" s="192">
        <f t="shared" si="80"/>
        <v>1.1617519967178191E-2</v>
      </c>
      <c r="Y560" s="192" t="e">
        <f t="shared" si="81"/>
        <v>#DIV/0!</v>
      </c>
    </row>
    <row r="561" spans="1:25" ht="14.4">
      <c r="A561" s="187">
        <f t="shared" si="82"/>
        <v>50940</v>
      </c>
      <c r="B561" s="182">
        <v>13656152.391696518</v>
      </c>
      <c r="C561" s="182">
        <v>623623.13563488517</v>
      </c>
      <c r="D561" s="182">
        <v>13032529.256061632</v>
      </c>
      <c r="E561" s="182">
        <v>0</v>
      </c>
      <c r="F561" s="189">
        <f t="shared" si="79"/>
        <v>0</v>
      </c>
      <c r="G561" s="182">
        <v>13656152.391696518</v>
      </c>
      <c r="H561" s="182"/>
      <c r="I561" s="182">
        <v>13032529.256061632</v>
      </c>
      <c r="J561" s="182"/>
      <c r="K561" s="182">
        <v>12429135.89436752</v>
      </c>
      <c r="L561" s="182"/>
      <c r="M561" s="182">
        <v>12429135.89436752</v>
      </c>
      <c r="N561" s="182">
        <v>0</v>
      </c>
      <c r="O561" s="182">
        <v>13052759.030002406</v>
      </c>
      <c r="P561" s="182">
        <v>623623.13563488517</v>
      </c>
      <c r="Q561" s="182">
        <v>1.1592733246054143E-2</v>
      </c>
      <c r="R561" s="182">
        <v>0</v>
      </c>
      <c r="S561" s="182">
        <f t="shared" si="78"/>
        <v>133165075.9091932</v>
      </c>
      <c r="T561" s="192">
        <f t="shared" si="80"/>
        <v>1.1636724849216851E-2</v>
      </c>
      <c r="Y561" s="192" t="e">
        <f t="shared" si="81"/>
        <v>#DIV/0!</v>
      </c>
    </row>
    <row r="562" spans="1:25" ht="14.4">
      <c r="A562" s="187">
        <f t="shared" si="82"/>
        <v>50970</v>
      </c>
      <c r="B562" s="182">
        <v>14525239.960362993</v>
      </c>
      <c r="C562" s="182">
        <v>602620.54107908811</v>
      </c>
      <c r="D562" s="182">
        <v>13922619.419283904</v>
      </c>
      <c r="E562" s="182">
        <v>0</v>
      </c>
      <c r="F562" s="189">
        <f t="shared" si="79"/>
        <v>0</v>
      </c>
      <c r="G562" s="182">
        <v>14525239.960362993</v>
      </c>
      <c r="H562" s="182"/>
      <c r="I562" s="182">
        <v>13922619.419283904</v>
      </c>
      <c r="J562" s="182"/>
      <c r="K562" s="182">
        <v>13246659.245553259</v>
      </c>
      <c r="L562" s="182"/>
      <c r="M562" s="182">
        <v>13246659.245553259</v>
      </c>
      <c r="N562" s="182">
        <v>0</v>
      </c>
      <c r="O562" s="182">
        <v>13849279.786632346</v>
      </c>
      <c r="P562" s="182">
        <v>602620.54107908811</v>
      </c>
      <c r="Q562" s="182">
        <v>1.1532602384641821E-2</v>
      </c>
      <c r="R562" s="182">
        <v>0</v>
      </c>
      <c r="S562" s="182">
        <f t="shared" si="78"/>
        <v>133316102.63205279</v>
      </c>
      <c r="T562" s="192">
        <f t="shared" si="80"/>
        <v>1.1649879578458977E-2</v>
      </c>
      <c r="Y562" s="192" t="e">
        <f t="shared" si="81"/>
        <v>#DIV/0!</v>
      </c>
    </row>
    <row r="563" spans="1:25" ht="14.4">
      <c r="A563" s="187">
        <f t="shared" si="82"/>
        <v>51001</v>
      </c>
      <c r="B563" s="182">
        <v>14787762.940404568</v>
      </c>
      <c r="C563" s="182">
        <v>637219.44357093039</v>
      </c>
      <c r="D563" s="182">
        <v>14150543.496833637</v>
      </c>
      <c r="E563" s="182">
        <v>0</v>
      </c>
      <c r="F563" s="189">
        <f t="shared" si="79"/>
        <v>0</v>
      </c>
      <c r="G563" s="182">
        <v>14787762.940404568</v>
      </c>
      <c r="H563" s="182"/>
      <c r="I563" s="182">
        <v>14150543.496833637</v>
      </c>
      <c r="J563" s="182"/>
      <c r="K563" s="182">
        <v>13424664.000835653</v>
      </c>
      <c r="L563" s="182"/>
      <c r="M563" s="182">
        <v>13424664.000835653</v>
      </c>
      <c r="N563" s="182">
        <v>0</v>
      </c>
      <c r="O563" s="182">
        <v>14061883.444406584</v>
      </c>
      <c r="P563" s="182">
        <v>637219.44357093039</v>
      </c>
      <c r="Q563" s="182">
        <v>1.1554310206072671E-2</v>
      </c>
      <c r="R563" s="182">
        <v>0</v>
      </c>
      <c r="S563" s="182">
        <f t="shared" si="78"/>
        <v>133469443.61504595</v>
      </c>
      <c r="T563" s="192">
        <f t="shared" si="80"/>
        <v>1.1668271704964095E-2</v>
      </c>
      <c r="Y563" s="192" t="e">
        <f t="shared" si="81"/>
        <v>#DIV/0!</v>
      </c>
    </row>
    <row r="564" spans="1:25" ht="14.4">
      <c r="A564" s="187">
        <f t="shared" si="82"/>
        <v>51032</v>
      </c>
      <c r="B564" s="182">
        <v>13615319.921915038</v>
      </c>
      <c r="C564" s="182">
        <v>613667.73629279702</v>
      </c>
      <c r="D564" s="182">
        <v>13001652.185622241</v>
      </c>
      <c r="E564" s="182">
        <v>0</v>
      </c>
      <c r="F564" s="189">
        <f t="shared" si="79"/>
        <v>0</v>
      </c>
      <c r="G564" s="182">
        <v>13615319.921915038</v>
      </c>
      <c r="H564" s="182"/>
      <c r="I564" s="182">
        <v>13001652.185622241</v>
      </c>
      <c r="J564" s="182"/>
      <c r="K564" s="182">
        <v>12334679.466533802</v>
      </c>
      <c r="L564" s="182"/>
      <c r="M564" s="182">
        <v>12334679.466533802</v>
      </c>
      <c r="N564" s="182">
        <v>0</v>
      </c>
      <c r="O564" s="182">
        <v>12948347.202826599</v>
      </c>
      <c r="P564" s="182">
        <v>613667.73629279702</v>
      </c>
      <c r="Q564" s="182">
        <v>1.1668364750980764E-2</v>
      </c>
      <c r="R564" s="182">
        <v>0</v>
      </c>
      <c r="S564" s="182">
        <f t="shared" si="78"/>
        <v>133611709.1480177</v>
      </c>
      <c r="T564" s="192">
        <f t="shared" si="80"/>
        <v>1.169674590051728E-2</v>
      </c>
      <c r="Y564" s="192" t="e">
        <f t="shared" si="81"/>
        <v>#DIV/0!</v>
      </c>
    </row>
    <row r="565" spans="1:25" ht="14.4">
      <c r="A565" s="187">
        <f t="shared" si="82"/>
        <v>51062</v>
      </c>
      <c r="B565" s="182">
        <v>12769371.541032284</v>
      </c>
      <c r="C565" s="182">
        <v>562107.06830290845</v>
      </c>
      <c r="D565" s="182">
        <v>12207264.472729376</v>
      </c>
      <c r="E565" s="182">
        <v>0</v>
      </c>
      <c r="F565" s="189">
        <f t="shared" si="79"/>
        <v>0</v>
      </c>
      <c r="G565" s="182">
        <v>12769371.541032284</v>
      </c>
      <c r="H565" s="182"/>
      <c r="I565" s="182">
        <v>12207264.472729376</v>
      </c>
      <c r="J565" s="182"/>
      <c r="K565" s="182">
        <v>11581367.983650075</v>
      </c>
      <c r="L565" s="182"/>
      <c r="M565" s="182">
        <v>11581367.983650075</v>
      </c>
      <c r="N565" s="182">
        <v>0</v>
      </c>
      <c r="O565" s="182">
        <v>12143475.051952984</v>
      </c>
      <c r="P565" s="182">
        <v>562107.06830290845</v>
      </c>
      <c r="Q565" s="182">
        <v>1.1752619381443896E-2</v>
      </c>
      <c r="R565" s="182">
        <v>0</v>
      </c>
      <c r="S565" s="182">
        <f t="shared" si="78"/>
        <v>133746239.47412793</v>
      </c>
      <c r="T565" s="192">
        <f t="shared" si="80"/>
        <v>1.1728128901467461E-2</v>
      </c>
      <c r="Y565" s="192" t="e">
        <f t="shared" si="81"/>
        <v>#DIV/0!</v>
      </c>
    </row>
    <row r="566" spans="1:25" ht="14.4">
      <c r="A566" s="187">
        <f t="shared" si="82"/>
        <v>51093</v>
      </c>
      <c r="B566" s="182">
        <v>10678392.855176346</v>
      </c>
      <c r="C566" s="182">
        <v>503952.45265391673</v>
      </c>
      <c r="D566" s="182">
        <v>10174440.40252243</v>
      </c>
      <c r="E566" s="182">
        <v>0</v>
      </c>
      <c r="F566" s="189">
        <f t="shared" si="79"/>
        <v>0</v>
      </c>
      <c r="G566" s="182">
        <v>10678392.855176346</v>
      </c>
      <c r="H566" s="182"/>
      <c r="I566" s="182">
        <v>10174440.40252243</v>
      </c>
      <c r="J566" s="182"/>
      <c r="K566" s="182">
        <v>9709361.4615788851</v>
      </c>
      <c r="L566" s="182"/>
      <c r="M566" s="182">
        <v>9709361.4615788851</v>
      </c>
      <c r="N566" s="182">
        <v>0</v>
      </c>
      <c r="O566" s="182">
        <v>10213313.914232802</v>
      </c>
      <c r="P566" s="182">
        <v>503952.45265391673</v>
      </c>
      <c r="Q566" s="182">
        <v>1.1911274408046069E-2</v>
      </c>
      <c r="R566" s="182">
        <v>0</v>
      </c>
      <c r="S566" s="182">
        <f t="shared" si="78"/>
        <v>133860529.0088141</v>
      </c>
      <c r="T566" s="192">
        <f t="shared" si="80"/>
        <v>1.1750358175588449E-2</v>
      </c>
      <c r="Y566" s="192" t="e">
        <f t="shared" si="81"/>
        <v>#DIV/0!</v>
      </c>
    </row>
    <row r="567" spans="1:25" ht="14.4">
      <c r="A567" s="187">
        <f t="shared" si="82"/>
        <v>51123</v>
      </c>
      <c r="B567" s="182">
        <v>10997768.191537578</v>
      </c>
      <c r="C567" s="182">
        <v>478964.39366331307</v>
      </c>
      <c r="D567" s="182">
        <v>10518803.797874264</v>
      </c>
      <c r="E567" s="182">
        <v>0</v>
      </c>
      <c r="F567" s="189">
        <f t="shared" si="79"/>
        <v>0</v>
      </c>
      <c r="G567" s="182">
        <v>10997768.191537578</v>
      </c>
      <c r="H567" s="182"/>
      <c r="I567" s="182">
        <v>10518803.797874264</v>
      </c>
      <c r="J567" s="182"/>
      <c r="K567" s="182">
        <v>9992797.5857758839</v>
      </c>
      <c r="L567" s="182"/>
      <c r="M567" s="182">
        <v>9992797.5857758839</v>
      </c>
      <c r="N567" s="182">
        <v>0</v>
      </c>
      <c r="O567" s="182">
        <v>10471761.979439197</v>
      </c>
      <c r="P567" s="182">
        <v>478964.39366331307</v>
      </c>
      <c r="Q567" s="182">
        <v>1.1844143178867839E-2</v>
      </c>
      <c r="R567" s="182">
        <v>0</v>
      </c>
      <c r="S567" s="182">
        <f t="shared" si="78"/>
        <v>133977499.71636945</v>
      </c>
      <c r="T567" s="192">
        <f t="shared" si="80"/>
        <v>1.1755704298240577E-2</v>
      </c>
      <c r="Y567" s="192" t="e">
        <f t="shared" si="81"/>
        <v>#DIV/0!</v>
      </c>
    </row>
    <row r="568" spans="1:25" ht="14.4">
      <c r="A568" s="187">
        <f t="shared" si="82"/>
        <v>51154</v>
      </c>
      <c r="B568" s="182">
        <v>11135015.154555423</v>
      </c>
      <c r="C568" s="182">
        <v>475309.52920060058</v>
      </c>
      <c r="D568" s="182">
        <v>10659705.625354823</v>
      </c>
      <c r="E568" s="182">
        <v>0</v>
      </c>
      <c r="F568" s="189">
        <f t="shared" si="79"/>
        <v>0</v>
      </c>
      <c r="G568" s="182">
        <v>11135015.154555423</v>
      </c>
      <c r="H568" s="182"/>
      <c r="I568" s="182">
        <v>10659705.625354823</v>
      </c>
      <c r="J568" s="182"/>
      <c r="K568" s="182">
        <v>10097356.939627919</v>
      </c>
      <c r="L568" s="182"/>
      <c r="M568" s="182">
        <v>10097356.939627919</v>
      </c>
      <c r="N568" s="182">
        <v>0</v>
      </c>
      <c r="O568" s="182">
        <v>10572666.46882852</v>
      </c>
      <c r="P568" s="182">
        <v>475309.52920060058</v>
      </c>
      <c r="Q568" s="182">
        <v>1.1750369308690445E-2</v>
      </c>
      <c r="R568" s="182">
        <v>0</v>
      </c>
      <c r="S568" s="182">
        <f t="shared" si="78"/>
        <v>134094769.4270426</v>
      </c>
      <c r="T568" s="192">
        <f t="shared" si="80"/>
        <v>1.1743629943719691E-2</v>
      </c>
      <c r="Y568" s="192" t="e">
        <f t="shared" si="81"/>
        <v>#DIV/0!</v>
      </c>
    </row>
    <row r="569" spans="1:25" ht="14.4">
      <c r="A569" s="187">
        <f t="shared" si="82"/>
        <v>51185</v>
      </c>
      <c r="B569" s="182">
        <v>10281480.239609536</v>
      </c>
      <c r="C569" s="182">
        <v>459443.26570747315</v>
      </c>
      <c r="D569" s="182">
        <v>9822036.9739020634</v>
      </c>
      <c r="E569" s="182">
        <v>0</v>
      </c>
      <c r="F569" s="189">
        <f t="shared" si="79"/>
        <v>0</v>
      </c>
      <c r="G569" s="182">
        <v>10281480.239609536</v>
      </c>
      <c r="H569" s="182"/>
      <c r="I569" s="182">
        <v>9822036.9739020634</v>
      </c>
      <c r="J569" s="182"/>
      <c r="K569" s="182">
        <v>9305908.3435036037</v>
      </c>
      <c r="L569" s="182"/>
      <c r="M569" s="182">
        <v>9305908.3435036037</v>
      </c>
      <c r="N569" s="182">
        <v>0</v>
      </c>
      <c r="O569" s="182">
        <v>9765351.6092110761</v>
      </c>
      <c r="P569" s="182">
        <v>459443.26570747315</v>
      </c>
      <c r="Q569" s="182">
        <v>4.1608650517915402E-2</v>
      </c>
      <c r="R569" s="182">
        <v>0</v>
      </c>
      <c r="S569" s="182">
        <f t="shared" si="78"/>
        <v>134466508.1677146</v>
      </c>
      <c r="T569" s="192">
        <f t="shared" si="80"/>
        <v>1.3731973945701581E-2</v>
      </c>
      <c r="Y569" s="192" t="e">
        <f t="shared" si="81"/>
        <v>#DIV/0!</v>
      </c>
    </row>
    <row r="570" spans="1:25" ht="14.4">
      <c r="A570" s="187">
        <f t="shared" si="82"/>
        <v>51214</v>
      </c>
      <c r="B570" s="182">
        <v>11291817.380438332</v>
      </c>
      <c r="C570" s="182">
        <v>542122.22384079546</v>
      </c>
      <c r="D570" s="182">
        <v>10749695.156597536</v>
      </c>
      <c r="E570" s="182">
        <v>0</v>
      </c>
      <c r="F570" s="189">
        <f t="shared" si="79"/>
        <v>0</v>
      </c>
      <c r="G570" s="182">
        <v>11291817.380438332</v>
      </c>
      <c r="H570" s="182"/>
      <c r="I570" s="182">
        <v>10749695.156597536</v>
      </c>
      <c r="J570" s="182"/>
      <c r="K570" s="182">
        <v>10193059.784231372</v>
      </c>
      <c r="L570" s="182"/>
      <c r="M570" s="182">
        <v>10193059.784231372</v>
      </c>
      <c r="N570" s="182">
        <v>0</v>
      </c>
      <c r="O570" s="182">
        <v>10735182.008072168</v>
      </c>
      <c r="P570" s="182">
        <v>542122.22384079546</v>
      </c>
      <c r="Q570" s="182">
        <v>1.1790993644252623E-2</v>
      </c>
      <c r="R570" s="182">
        <v>0</v>
      </c>
      <c r="S570" s="182">
        <f t="shared" si="78"/>
        <v>134585293.86939248</v>
      </c>
      <c r="T570" s="192">
        <f t="shared" si="80"/>
        <v>1.3719236548037861E-2</v>
      </c>
      <c r="Y570" s="192" t="e">
        <f t="shared" si="81"/>
        <v>#DIV/0!</v>
      </c>
    </row>
    <row r="571" spans="1:25" ht="14.4">
      <c r="A571" s="187">
        <f t="shared" si="82"/>
        <v>51245</v>
      </c>
      <c r="B571" s="182">
        <v>11624610.205885401</v>
      </c>
      <c r="C571" s="182">
        <v>589368.57949399063</v>
      </c>
      <c r="D571" s="182">
        <v>11035241.626391411</v>
      </c>
      <c r="E571" s="182">
        <v>0</v>
      </c>
      <c r="F571" s="189">
        <f t="shared" si="79"/>
        <v>0</v>
      </c>
      <c r="G571" s="182">
        <v>11624610.205885401</v>
      </c>
      <c r="H571" s="182"/>
      <c r="I571" s="182">
        <v>11035241.626391411</v>
      </c>
      <c r="J571" s="182"/>
      <c r="K571" s="182">
        <v>10504490.678458842</v>
      </c>
      <c r="L571" s="182"/>
      <c r="M571" s="182">
        <v>10504490.678458842</v>
      </c>
      <c r="N571" s="182">
        <v>0</v>
      </c>
      <c r="O571" s="182">
        <v>11093859.257952832</v>
      </c>
      <c r="P571" s="182">
        <v>589368.57949399063</v>
      </c>
      <c r="Q571" s="182">
        <v>1.1765799455148995E-2</v>
      </c>
      <c r="R571" s="182">
        <v>0</v>
      </c>
      <c r="S571" s="182">
        <f t="shared" si="78"/>
        <v>134707450.33165655</v>
      </c>
      <c r="T571" s="192">
        <f t="shared" si="80"/>
        <v>1.3711331129670601E-2</v>
      </c>
      <c r="Y571" s="192" t="e">
        <f t="shared" si="81"/>
        <v>#DIV/0!</v>
      </c>
    </row>
    <row r="572" spans="1:25" ht="14.4">
      <c r="A572" s="187">
        <f t="shared" si="82"/>
        <v>51275</v>
      </c>
      <c r="B572" s="182">
        <v>13209502.104516776</v>
      </c>
      <c r="C572" s="182">
        <v>607429.18589783355</v>
      </c>
      <c r="D572" s="182">
        <v>12602072.918618944</v>
      </c>
      <c r="E572" s="182">
        <v>0</v>
      </c>
      <c r="F572" s="189">
        <f t="shared" si="79"/>
        <v>0</v>
      </c>
      <c r="G572" s="182">
        <v>13209502.104516776</v>
      </c>
      <c r="H572" s="182"/>
      <c r="I572" s="182">
        <v>12602072.918618944</v>
      </c>
      <c r="J572" s="182"/>
      <c r="K572" s="182">
        <v>12026339.393300937</v>
      </c>
      <c r="L572" s="182"/>
      <c r="M572" s="182">
        <v>12026339.393300937</v>
      </c>
      <c r="N572" s="182">
        <v>0</v>
      </c>
      <c r="O572" s="182">
        <v>12633768.57919877</v>
      </c>
      <c r="P572" s="182">
        <v>607429.18589783355</v>
      </c>
      <c r="Q572" s="182">
        <v>1.1639536271656148E-2</v>
      </c>
      <c r="R572" s="182">
        <v>0</v>
      </c>
      <c r="S572" s="182">
        <f t="shared" si="78"/>
        <v>134845820.77741775</v>
      </c>
      <c r="T572" s="192">
        <f t="shared" si="80"/>
        <v>1.3705797033694012E-2</v>
      </c>
      <c r="Y572" s="192" t="e">
        <f t="shared" si="81"/>
        <v>#DIV/0!</v>
      </c>
    </row>
    <row r="573" spans="1:25" ht="14.4">
      <c r="A573" s="187">
        <f t="shared" si="82"/>
        <v>51306</v>
      </c>
      <c r="B573" s="182">
        <v>13815522.658129115</v>
      </c>
      <c r="C573" s="182">
        <v>632696.80933278473</v>
      </c>
      <c r="D573" s="182">
        <v>13182825.84879633</v>
      </c>
      <c r="E573" s="182">
        <v>0</v>
      </c>
      <c r="F573" s="189">
        <f t="shared" si="79"/>
        <v>0</v>
      </c>
      <c r="G573" s="182">
        <v>13815522.658129115</v>
      </c>
      <c r="H573" s="182"/>
      <c r="I573" s="182">
        <v>13182825.84879633</v>
      </c>
      <c r="J573" s="182"/>
      <c r="K573" s="182">
        <v>12572390.755430028</v>
      </c>
      <c r="L573" s="182"/>
      <c r="M573" s="182">
        <v>12572390.755430028</v>
      </c>
      <c r="N573" s="182">
        <v>0</v>
      </c>
      <c r="O573" s="182">
        <v>13205087.564762812</v>
      </c>
      <c r="P573" s="182">
        <v>632696.80933278473</v>
      </c>
      <c r="Q573" s="182">
        <v>1.1525729727311695E-2</v>
      </c>
      <c r="R573" s="182">
        <v>0</v>
      </c>
      <c r="S573" s="182">
        <f t="shared" si="78"/>
        <v>134989075.63848025</v>
      </c>
      <c r="T573" s="192">
        <f t="shared" si="80"/>
        <v>1.3697282991306681E-2</v>
      </c>
      <c r="Y573" s="192" t="e">
        <f t="shared" si="81"/>
        <v>#DIV/0!</v>
      </c>
    </row>
    <row r="574" spans="1:25" ht="14.4">
      <c r="A574" s="187">
        <f t="shared" si="82"/>
        <v>51336</v>
      </c>
      <c r="B574" s="182">
        <v>14692539.558131041</v>
      </c>
      <c r="C574" s="182">
        <v>611352.92247126484</v>
      </c>
      <c r="D574" s="182">
        <v>14081186.635659777</v>
      </c>
      <c r="E574" s="182">
        <v>0</v>
      </c>
      <c r="F574" s="189">
        <f t="shared" si="79"/>
        <v>0</v>
      </c>
      <c r="G574" s="182">
        <v>14692539.558131041</v>
      </c>
      <c r="H574" s="182"/>
      <c r="I574" s="182">
        <v>14081186.635659777</v>
      </c>
      <c r="J574" s="182"/>
      <c r="K574" s="182">
        <v>13397440.851124698</v>
      </c>
      <c r="L574" s="182"/>
      <c r="M574" s="182">
        <v>13397440.851124698</v>
      </c>
      <c r="N574" s="182">
        <v>0</v>
      </c>
      <c r="O574" s="182">
        <v>14008793.773595963</v>
      </c>
      <c r="P574" s="182">
        <v>611352.92247126484</v>
      </c>
      <c r="Q574" s="182">
        <v>1.1382613742559666E-2</v>
      </c>
      <c r="R574" s="182">
        <v>0</v>
      </c>
      <c r="S574" s="182">
        <f t="shared" si="78"/>
        <v>135139857.24405169</v>
      </c>
      <c r="T574" s="192">
        <f t="shared" si="80"/>
        <v>1.3679927450567453E-2</v>
      </c>
      <c r="Y574" s="192" t="e">
        <f t="shared" si="81"/>
        <v>#DIV/0!</v>
      </c>
    </row>
    <row r="575" spans="1:25" ht="14.4">
      <c r="A575" s="187">
        <f t="shared" si="82"/>
        <v>51367</v>
      </c>
      <c r="B575" s="182">
        <v>14956774.140266493</v>
      </c>
      <c r="C575" s="182">
        <v>646473.43245662772</v>
      </c>
      <c r="D575" s="182">
        <v>14310300.707809865</v>
      </c>
      <c r="E575" s="182">
        <v>0</v>
      </c>
      <c r="F575" s="189">
        <f t="shared" si="79"/>
        <v>0</v>
      </c>
      <c r="G575" s="182">
        <v>14956774.140266493</v>
      </c>
      <c r="H575" s="182"/>
      <c r="I575" s="182">
        <v>14310300.707809865</v>
      </c>
      <c r="J575" s="182"/>
      <c r="K575" s="182">
        <v>13576125.043887889</v>
      </c>
      <c r="L575" s="182"/>
      <c r="M575" s="182">
        <v>13576125.043887889</v>
      </c>
      <c r="N575" s="182">
        <v>0</v>
      </c>
      <c r="O575" s="182">
        <v>14222598.476344517</v>
      </c>
      <c r="P575" s="182">
        <v>646473.43245662772</v>
      </c>
      <c r="Q575" s="182">
        <v>1.1282296751919274E-2</v>
      </c>
      <c r="R575" s="182">
        <v>0</v>
      </c>
      <c r="S575" s="182">
        <f t="shared" si="78"/>
        <v>135291318.28710392</v>
      </c>
      <c r="T575" s="192">
        <f t="shared" si="80"/>
        <v>1.3650125622105991E-2</v>
      </c>
      <c r="Y575" s="192" t="e">
        <f t="shared" si="81"/>
        <v>#DIV/0!</v>
      </c>
    </row>
    <row r="576" spans="1:25" ht="14.4">
      <c r="A576" s="187">
        <f t="shared" si="82"/>
        <v>51398</v>
      </c>
      <c r="B576" s="182">
        <v>13770798.779666224</v>
      </c>
      <c r="C576" s="182">
        <v>622613.84668287833</v>
      </c>
      <c r="D576" s="182">
        <v>13148184.932983346</v>
      </c>
      <c r="E576" s="182">
        <v>0</v>
      </c>
      <c r="F576" s="189">
        <f t="shared" si="79"/>
        <v>0</v>
      </c>
      <c r="G576" s="182">
        <v>13770798.779666224</v>
      </c>
      <c r="H576" s="182"/>
      <c r="I576" s="182">
        <v>13148184.932983346</v>
      </c>
      <c r="J576" s="182"/>
      <c r="K576" s="182">
        <v>12473595.7820292</v>
      </c>
      <c r="L576" s="182"/>
      <c r="M576" s="182">
        <v>12473595.7820292</v>
      </c>
      <c r="N576" s="182">
        <v>0</v>
      </c>
      <c r="O576" s="182">
        <v>13096209.628712079</v>
      </c>
      <c r="P576" s="182">
        <v>622613.84668287833</v>
      </c>
      <c r="Q576" s="182">
        <v>1.1262255810724708E-2</v>
      </c>
      <c r="R576" s="182">
        <v>0</v>
      </c>
      <c r="S576" s="182">
        <f t="shared" si="78"/>
        <v>135430234.60259932</v>
      </c>
      <c r="T576" s="192">
        <f t="shared" si="80"/>
        <v>1.3610524602802654E-2</v>
      </c>
      <c r="Y576" s="192" t="e">
        <f t="shared" si="81"/>
        <v>#DIV/0!</v>
      </c>
    </row>
    <row r="577" spans="1:25" ht="14.4">
      <c r="A577" s="187">
        <f t="shared" si="82"/>
        <v>51428</v>
      </c>
      <c r="B577" s="182">
        <v>12915433.4624744</v>
      </c>
      <c r="C577" s="182">
        <v>570299.28634366568</v>
      </c>
      <c r="D577" s="182">
        <v>12345134.176130734</v>
      </c>
      <c r="E577" s="182">
        <v>0</v>
      </c>
      <c r="F577" s="189">
        <f t="shared" si="79"/>
        <v>0</v>
      </c>
      <c r="G577" s="182">
        <v>12915433.4624744</v>
      </c>
      <c r="H577" s="182"/>
      <c r="I577" s="182">
        <v>12345134.176130734</v>
      </c>
      <c r="J577" s="182"/>
      <c r="K577" s="182">
        <v>11712078.396280935</v>
      </c>
      <c r="L577" s="182"/>
      <c r="M577" s="182">
        <v>11712078.396280935</v>
      </c>
      <c r="N577" s="182">
        <v>0</v>
      </c>
      <c r="O577" s="182">
        <v>12282377.682624601</v>
      </c>
      <c r="P577" s="182">
        <v>570299.28634366568</v>
      </c>
      <c r="Q577" s="182">
        <v>1.1286267115887316E-2</v>
      </c>
      <c r="R577" s="182">
        <v>0</v>
      </c>
      <c r="S577" s="182">
        <f t="shared" si="78"/>
        <v>135560945.01523018</v>
      </c>
      <c r="T577" s="192">
        <f t="shared" si="80"/>
        <v>1.3568273382768892E-2</v>
      </c>
      <c r="Y577" s="192" t="e">
        <f t="shared" si="81"/>
        <v>#DIV/0!</v>
      </c>
    </row>
    <row r="578" spans="1:25" ht="14.4">
      <c r="A578" s="187">
        <f t="shared" si="82"/>
        <v>51459</v>
      </c>
      <c r="B578" s="182">
        <v>10802545.856243076</v>
      </c>
      <c r="C578" s="182">
        <v>511314.73042252485</v>
      </c>
      <c r="D578" s="182">
        <v>10291231.125820551</v>
      </c>
      <c r="E578" s="182">
        <v>0</v>
      </c>
      <c r="F578" s="189">
        <f t="shared" si="79"/>
        <v>0</v>
      </c>
      <c r="G578" s="182">
        <v>10802545.856243076</v>
      </c>
      <c r="H578" s="182"/>
      <c r="I578" s="182">
        <v>10291231.125820551</v>
      </c>
      <c r="J578" s="182"/>
      <c r="K578" s="182">
        <v>9820744.9155403022</v>
      </c>
      <c r="L578" s="182"/>
      <c r="M578" s="182">
        <v>9820744.9155403022</v>
      </c>
      <c r="N578" s="182">
        <v>0</v>
      </c>
      <c r="O578" s="182">
        <v>10332059.645962827</v>
      </c>
      <c r="P578" s="182">
        <v>511314.73042252485</v>
      </c>
      <c r="Q578" s="182">
        <v>1.1471758920725605E-2</v>
      </c>
      <c r="R578" s="182">
        <v>0</v>
      </c>
      <c r="S578" s="182">
        <f t="shared" si="78"/>
        <v>135672328.46919161</v>
      </c>
      <c r="T578" s="192">
        <f t="shared" si="80"/>
        <v>1.3534979084523169E-2</v>
      </c>
      <c r="Y578" s="192" t="e">
        <f t="shared" si="81"/>
        <v>#DIV/0!</v>
      </c>
    </row>
    <row r="579" spans="1:25" ht="14.4">
      <c r="A579" s="187">
        <f t="shared" si="82"/>
        <v>51489</v>
      </c>
      <c r="B579" s="182">
        <v>11126162.182350941</v>
      </c>
      <c r="C579" s="182">
        <v>485945.57972090691</v>
      </c>
      <c r="D579" s="182">
        <v>10640216.602630034</v>
      </c>
      <c r="E579" s="182">
        <v>0</v>
      </c>
      <c r="F579" s="189">
        <f t="shared" si="79"/>
        <v>0</v>
      </c>
      <c r="G579" s="182">
        <v>11126162.182350941</v>
      </c>
      <c r="H579" s="182"/>
      <c r="I579" s="182">
        <v>10640216.602630034</v>
      </c>
      <c r="J579" s="182"/>
      <c r="K579" s="182">
        <v>10108069.504891247</v>
      </c>
      <c r="L579" s="182"/>
      <c r="M579" s="182">
        <v>10108069.504891247</v>
      </c>
      <c r="N579" s="182">
        <v>0</v>
      </c>
      <c r="O579" s="182">
        <v>10594015.084612153</v>
      </c>
      <c r="P579" s="182">
        <v>485945.57972090691</v>
      </c>
      <c r="Q579" s="182">
        <v>1.1535500256649289E-2</v>
      </c>
      <c r="R579" s="182">
        <v>0</v>
      </c>
      <c r="S579" s="182">
        <f t="shared" si="78"/>
        <v>135787600.38830698</v>
      </c>
      <c r="T579" s="192">
        <f t="shared" si="80"/>
        <v>1.3510482549454306E-2</v>
      </c>
      <c r="Y579" s="192" t="e">
        <f t="shared" si="81"/>
        <v>#DIV/0!</v>
      </c>
    </row>
    <row r="580" spans="1:25" ht="14.4">
      <c r="A580" s="187">
        <f t="shared" si="82"/>
        <v>51520</v>
      </c>
      <c r="B580" s="182">
        <v>11260349.713686505</v>
      </c>
      <c r="C580" s="182">
        <v>482235.27384371974</v>
      </c>
      <c r="D580" s="182">
        <v>10778114.439842785</v>
      </c>
      <c r="E580" s="182">
        <v>0</v>
      </c>
      <c r="F580" s="189">
        <f t="shared" si="79"/>
        <v>0</v>
      </c>
      <c r="G580" s="182">
        <v>11260349.713686505</v>
      </c>
      <c r="H580" s="182"/>
      <c r="I580" s="182">
        <v>10778114.439842785</v>
      </c>
      <c r="J580" s="182"/>
      <c r="K580" s="182">
        <v>10209436.016470693</v>
      </c>
      <c r="L580" s="182"/>
      <c r="M580" s="182">
        <v>10209436.016470693</v>
      </c>
      <c r="N580" s="182">
        <v>0</v>
      </c>
      <c r="O580" s="182">
        <v>10691671.290314414</v>
      </c>
      <c r="P580" s="182">
        <v>482235.27384371974</v>
      </c>
      <c r="Q580" s="182">
        <v>1.1099843009699795E-2</v>
      </c>
      <c r="R580" s="182">
        <v>0</v>
      </c>
      <c r="S580" s="182">
        <f t="shared" ref="S580:S643" si="83">SUM(M569:M580)</f>
        <v>135899679.46514973</v>
      </c>
      <c r="T580" s="192">
        <f t="shared" si="80"/>
        <v>1.3459958548861506E-2</v>
      </c>
      <c r="Y580" s="192" t="e">
        <f t="shared" si="81"/>
        <v>#DIV/0!</v>
      </c>
    </row>
    <row r="581" spans="1:25" ht="14.4">
      <c r="A581" s="187">
        <f t="shared" si="82"/>
        <v>51551</v>
      </c>
      <c r="B581" s="182">
        <v>10397148.120257514</v>
      </c>
      <c r="C581" s="182">
        <v>466142.65118907689</v>
      </c>
      <c r="D581" s="182">
        <v>9931005.469068436</v>
      </c>
      <c r="E581" s="182">
        <v>0</v>
      </c>
      <c r="F581" s="189">
        <f t="shared" si="79"/>
        <v>0</v>
      </c>
      <c r="G581" s="182">
        <v>10397148.120257514</v>
      </c>
      <c r="H581" s="182"/>
      <c r="I581" s="182">
        <v>9931005.469068436</v>
      </c>
      <c r="J581" s="182"/>
      <c r="K581" s="182">
        <v>9409070.3299349844</v>
      </c>
      <c r="L581" s="182"/>
      <c r="M581" s="182">
        <v>9409070.3299349844</v>
      </c>
      <c r="N581" s="182">
        <v>0</v>
      </c>
      <c r="O581" s="182">
        <v>9875212.9811240621</v>
      </c>
      <c r="P581" s="182">
        <v>466142.65118907689</v>
      </c>
      <c r="Q581" s="182">
        <v>1.1085643939680256E-2</v>
      </c>
      <c r="R581" s="182">
        <v>0</v>
      </c>
      <c r="S581" s="182">
        <f t="shared" si="83"/>
        <v>136002841.45158112</v>
      </c>
      <c r="T581" s="192">
        <f t="shared" si="80"/>
        <v>1.1425397333515441E-2</v>
      </c>
      <c r="Y581" s="192" t="e">
        <f t="shared" si="81"/>
        <v>#DIV/0!</v>
      </c>
    </row>
    <row r="582" spans="1:25" ht="14.4">
      <c r="A582" s="187">
        <f t="shared" si="82"/>
        <v>51580</v>
      </c>
      <c r="B582" s="182">
        <v>11418866.62296949</v>
      </c>
      <c r="C582" s="182">
        <v>550034.3497701711</v>
      </c>
      <c r="D582" s="182">
        <v>10868832.273199318</v>
      </c>
      <c r="E582" s="182">
        <v>0</v>
      </c>
      <c r="F582" s="189">
        <f t="shared" si="79"/>
        <v>0</v>
      </c>
      <c r="G582" s="182">
        <v>11418866.62296949</v>
      </c>
      <c r="H582" s="182"/>
      <c r="I582" s="182">
        <v>10868832.273199318</v>
      </c>
      <c r="J582" s="182"/>
      <c r="K582" s="182">
        <v>10305933.949525803</v>
      </c>
      <c r="L582" s="182"/>
      <c r="M582" s="182">
        <v>10305933.949525803</v>
      </c>
      <c r="N582" s="182">
        <v>0</v>
      </c>
      <c r="O582" s="182">
        <v>10855968.299295975</v>
      </c>
      <c r="P582" s="182">
        <v>550034.3497701711</v>
      </c>
      <c r="Q582" s="182">
        <v>1.1073629281469266E-2</v>
      </c>
      <c r="R582" s="182">
        <v>0</v>
      </c>
      <c r="S582" s="182">
        <f t="shared" si="83"/>
        <v>136115715.61687556</v>
      </c>
      <c r="T582" s="192">
        <f t="shared" si="80"/>
        <v>1.1371389127910581E-2</v>
      </c>
      <c r="Y582" s="192" t="e">
        <f t="shared" si="81"/>
        <v>#DIV/0!</v>
      </c>
    </row>
    <row r="583" spans="1:25" ht="14.4">
      <c r="A583" s="187">
        <f t="shared" si="82"/>
        <v>51611</v>
      </c>
      <c r="B583" s="182">
        <v>11755441.127914391</v>
      </c>
      <c r="C583" s="182">
        <v>597978.42695529608</v>
      </c>
      <c r="D583" s="182">
        <v>11157462.700959096</v>
      </c>
      <c r="E583" s="182">
        <v>0</v>
      </c>
      <c r="F583" s="189">
        <f t="shared" si="79"/>
        <v>0</v>
      </c>
      <c r="G583" s="182">
        <v>11755441.127914391</v>
      </c>
      <c r="H583" s="182"/>
      <c r="I583" s="182">
        <v>11157462.700959096</v>
      </c>
      <c r="J583" s="182"/>
      <c r="K583" s="182">
        <v>10620738.336743664</v>
      </c>
      <c r="L583" s="182"/>
      <c r="M583" s="182">
        <v>10620738.336743664</v>
      </c>
      <c r="N583" s="182">
        <v>0</v>
      </c>
      <c r="O583" s="182">
        <v>11218716.76369896</v>
      </c>
      <c r="P583" s="182">
        <v>597978.42695529608</v>
      </c>
      <c r="Q583" s="182">
        <v>1.1066472601399591E-2</v>
      </c>
      <c r="R583" s="182">
        <v>0</v>
      </c>
      <c r="S583" s="182">
        <f t="shared" si="83"/>
        <v>136231963.27516037</v>
      </c>
      <c r="T583" s="192">
        <f t="shared" si="80"/>
        <v>1.1317213262892256E-2</v>
      </c>
      <c r="Y583" s="192" t="e">
        <f t="shared" si="81"/>
        <v>#DIV/0!</v>
      </c>
    </row>
    <row r="584" spans="1:25" ht="14.4">
      <c r="A584" s="187">
        <f t="shared" si="82"/>
        <v>51641</v>
      </c>
      <c r="B584" s="182">
        <v>13357847.960006429</v>
      </c>
      <c r="C584" s="182">
        <v>616279.55486229365</v>
      </c>
      <c r="D584" s="182">
        <v>12741568.405144135</v>
      </c>
      <c r="E584" s="182">
        <v>0</v>
      </c>
      <c r="F584" s="189">
        <f t="shared" si="79"/>
        <v>0</v>
      </c>
      <c r="G584" s="182">
        <v>13357847.960006429</v>
      </c>
      <c r="H584" s="182"/>
      <c r="I584" s="182">
        <v>12741568.405144135</v>
      </c>
      <c r="J584" s="182"/>
      <c r="K584" s="182">
        <v>12159369.255181717</v>
      </c>
      <c r="L584" s="182"/>
      <c r="M584" s="182">
        <v>12159369.255181717</v>
      </c>
      <c r="N584" s="182">
        <v>0</v>
      </c>
      <c r="O584" s="182">
        <v>12775648.810044011</v>
      </c>
      <c r="P584" s="182">
        <v>616279.55486229365</v>
      </c>
      <c r="Q584" s="182">
        <v>1.1061542297307936E-2</v>
      </c>
      <c r="R584" s="182">
        <v>0</v>
      </c>
      <c r="S584" s="182">
        <f t="shared" si="83"/>
        <v>136364993.13704115</v>
      </c>
      <c r="T584" s="192">
        <f t="shared" si="80"/>
        <v>1.1265995125878003E-2</v>
      </c>
      <c r="Y584" s="192" t="e">
        <f t="shared" si="81"/>
        <v>#DIV/0!</v>
      </c>
    </row>
    <row r="585" spans="1:25" ht="14.4">
      <c r="A585" s="187">
        <f t="shared" si="82"/>
        <v>51672</v>
      </c>
      <c r="B585" s="182">
        <v>13970477.810170969</v>
      </c>
      <c r="C585" s="182">
        <v>641903.13740843884</v>
      </c>
      <c r="D585" s="182">
        <v>13328574.67276253</v>
      </c>
      <c r="E585" s="182">
        <v>0</v>
      </c>
      <c r="F585" s="189">
        <f t="shared" si="79"/>
        <v>0</v>
      </c>
      <c r="G585" s="182">
        <v>13970477.810170969</v>
      </c>
      <c r="H585" s="182"/>
      <c r="I585" s="182">
        <v>13328574.67276253</v>
      </c>
      <c r="J585" s="182"/>
      <c r="K585" s="182">
        <v>12711292.928346902</v>
      </c>
      <c r="L585" s="182"/>
      <c r="M585" s="182">
        <v>12711292.928346902</v>
      </c>
      <c r="N585" s="182">
        <v>0</v>
      </c>
      <c r="O585" s="182">
        <v>13353196.065755341</v>
      </c>
      <c r="P585" s="182">
        <v>641903.13740843884</v>
      </c>
      <c r="Q585" s="182">
        <v>1.1048190882619657E-2</v>
      </c>
      <c r="R585" s="182">
        <v>0</v>
      </c>
      <c r="S585" s="182">
        <f t="shared" si="83"/>
        <v>136503895.30995804</v>
      </c>
      <c r="T585" s="192">
        <f t="shared" si="80"/>
        <v>1.122179453643124E-2</v>
      </c>
      <c r="Y585" s="192" t="e">
        <f t="shared" si="81"/>
        <v>#DIV/0!</v>
      </c>
    </row>
    <row r="586" spans="1:25" ht="14.4">
      <c r="A586" s="187">
        <f t="shared" si="82"/>
        <v>51702</v>
      </c>
      <c r="B586" s="182">
        <v>14856972.919431578</v>
      </c>
      <c r="C586" s="182">
        <v>620212.51608533075</v>
      </c>
      <c r="D586" s="182">
        <v>14236760.403346248</v>
      </c>
      <c r="E586" s="182">
        <v>0</v>
      </c>
      <c r="F586" s="189">
        <f t="shared" si="79"/>
        <v>0</v>
      </c>
      <c r="G586" s="182">
        <v>14856972.919431578</v>
      </c>
      <c r="H586" s="182"/>
      <c r="I586" s="182">
        <v>14236760.403346248</v>
      </c>
      <c r="J586" s="182"/>
      <c r="K586" s="182">
        <v>13545362.393872021</v>
      </c>
      <c r="L586" s="182"/>
      <c r="M586" s="182">
        <v>13545362.393872021</v>
      </c>
      <c r="N586" s="182">
        <v>0</v>
      </c>
      <c r="O586" s="182">
        <v>14165574.909957351</v>
      </c>
      <c r="P586" s="182">
        <v>620212.51608533075</v>
      </c>
      <c r="Q586" s="182">
        <v>1.104102973030896E-2</v>
      </c>
      <c r="R586" s="182">
        <v>0</v>
      </c>
      <c r="S586" s="182">
        <f t="shared" si="83"/>
        <v>136651816.85270536</v>
      </c>
      <c r="T586" s="192">
        <f t="shared" si="80"/>
        <v>1.1188110151124198E-2</v>
      </c>
      <c r="Y586" s="192" t="e">
        <f t="shared" si="81"/>
        <v>#DIV/0!</v>
      </c>
    </row>
    <row r="587" spans="1:25" ht="14.4">
      <c r="A587" s="187">
        <f t="shared" si="82"/>
        <v>51733</v>
      </c>
      <c r="B587" s="182">
        <v>15124171.072870644</v>
      </c>
      <c r="C587" s="182">
        <v>655862.48993674747</v>
      </c>
      <c r="D587" s="182">
        <v>14468308.582933897</v>
      </c>
      <c r="E587" s="182">
        <v>0</v>
      </c>
      <c r="F587" s="189">
        <f t="shared" si="79"/>
        <v>0</v>
      </c>
      <c r="G587" s="182">
        <v>15124171.072870644</v>
      </c>
      <c r="H587" s="182"/>
      <c r="I587" s="182">
        <v>14468308.582933897</v>
      </c>
      <c r="J587" s="182"/>
      <c r="K587" s="182">
        <v>13725915.989814447</v>
      </c>
      <c r="L587" s="182"/>
      <c r="M587" s="182">
        <v>13725915.989814447</v>
      </c>
      <c r="N587" s="182">
        <v>0</v>
      </c>
      <c r="O587" s="182">
        <v>14381778.479751194</v>
      </c>
      <c r="P587" s="182">
        <v>655862.48993674747</v>
      </c>
      <c r="Q587" s="182">
        <v>1.1033409418543583E-2</v>
      </c>
      <c r="R587" s="182">
        <v>0</v>
      </c>
      <c r="S587" s="182">
        <f t="shared" si="83"/>
        <v>136801607.79863194</v>
      </c>
      <c r="T587" s="192">
        <f t="shared" si="80"/>
        <v>1.1163240410763109E-2</v>
      </c>
      <c r="Y587" s="192" t="e">
        <f t="shared" si="81"/>
        <v>#DIV/0!</v>
      </c>
    </row>
    <row r="588" spans="1:25" ht="14.4">
      <c r="A588" s="187">
        <f t="shared" si="82"/>
        <v>51764</v>
      </c>
      <c r="B588" s="182">
        <v>13924906.021245498</v>
      </c>
      <c r="C588" s="182">
        <v>631690.96562304429</v>
      </c>
      <c r="D588" s="182">
        <v>13293215.055622455</v>
      </c>
      <c r="E588" s="182">
        <v>0</v>
      </c>
      <c r="F588" s="189">
        <f t="shared" si="79"/>
        <v>0</v>
      </c>
      <c r="G588" s="182">
        <v>13924906.021245498</v>
      </c>
      <c r="H588" s="182"/>
      <c r="I588" s="182">
        <v>13293215.055622455</v>
      </c>
      <c r="J588" s="182"/>
      <c r="K588" s="182">
        <v>12611076.664067512</v>
      </c>
      <c r="L588" s="182"/>
      <c r="M588" s="182">
        <v>12611076.664067512</v>
      </c>
      <c r="N588" s="182">
        <v>0</v>
      </c>
      <c r="O588" s="182">
        <v>13242767.629690556</v>
      </c>
      <c r="P588" s="182">
        <v>631690.96562304429</v>
      </c>
      <c r="Q588" s="182">
        <v>1.1021752222914127E-2</v>
      </c>
      <c r="R588" s="182">
        <v>0</v>
      </c>
      <c r="S588" s="182">
        <f t="shared" si="83"/>
        <v>136939088.68067023</v>
      </c>
      <c r="T588" s="192">
        <f t="shared" si="80"/>
        <v>1.1141190757724351E-2</v>
      </c>
      <c r="Y588" s="192" t="e">
        <f t="shared" si="81"/>
        <v>#DIV/0!</v>
      </c>
    </row>
    <row r="589" spans="1:25" ht="14.4">
      <c r="A589" s="187">
        <f t="shared" si="82"/>
        <v>51794</v>
      </c>
      <c r="B589" s="182">
        <v>13059759.893860275</v>
      </c>
      <c r="C589" s="182">
        <v>578611.44450852892</v>
      </c>
      <c r="D589" s="182">
        <v>12481148.449351747</v>
      </c>
      <c r="E589" s="182">
        <v>0</v>
      </c>
      <c r="F589" s="189">
        <f t="shared" si="79"/>
        <v>0</v>
      </c>
      <c r="G589" s="182">
        <v>13059759.893860275</v>
      </c>
      <c r="H589" s="182"/>
      <c r="I589" s="182">
        <v>12481148.449351747</v>
      </c>
      <c r="J589" s="182"/>
      <c r="K589" s="182">
        <v>11841018.444557086</v>
      </c>
      <c r="L589" s="182"/>
      <c r="M589" s="182">
        <v>11841018.444557086</v>
      </c>
      <c r="N589" s="182">
        <v>0</v>
      </c>
      <c r="O589" s="182">
        <v>12419629.889065614</v>
      </c>
      <c r="P589" s="182">
        <v>578611.44450852892</v>
      </c>
      <c r="Q589" s="182">
        <v>1.1009151741768974E-2</v>
      </c>
      <c r="R589" s="182">
        <v>0</v>
      </c>
      <c r="S589" s="182">
        <f t="shared" si="83"/>
        <v>137068028.72894639</v>
      </c>
      <c r="T589" s="192">
        <f t="shared" si="80"/>
        <v>1.1117388666380901E-2</v>
      </c>
      <c r="Y589" s="192" t="e">
        <f t="shared" si="81"/>
        <v>#DIV/0!</v>
      </c>
    </row>
    <row r="590" spans="1:25" ht="14.4">
      <c r="A590" s="187">
        <f t="shared" si="82"/>
        <v>51825</v>
      </c>
      <c r="B590" s="182">
        <v>10923232.178803032</v>
      </c>
      <c r="C590" s="182">
        <v>518785.02023770922</v>
      </c>
      <c r="D590" s="182">
        <v>10404447.158565324</v>
      </c>
      <c r="E590" s="182">
        <v>0</v>
      </c>
      <c r="F590" s="189">
        <f t="shared" si="79"/>
        <v>0</v>
      </c>
      <c r="G590" s="182">
        <v>10923232.178803032</v>
      </c>
      <c r="H590" s="182"/>
      <c r="I590" s="182">
        <v>10404447.158565324</v>
      </c>
      <c r="J590" s="182"/>
      <c r="K590" s="182">
        <v>9928704.6641378459</v>
      </c>
      <c r="L590" s="182"/>
      <c r="M590" s="182">
        <v>9928704.6641378459</v>
      </c>
      <c r="N590" s="182">
        <v>0</v>
      </c>
      <c r="O590" s="182">
        <v>10447489.684375554</v>
      </c>
      <c r="P590" s="182">
        <v>518785.02023770922</v>
      </c>
      <c r="Q590" s="182">
        <v>1.0993030521209146E-2</v>
      </c>
      <c r="R590" s="182">
        <v>0</v>
      </c>
      <c r="S590" s="182">
        <f t="shared" si="83"/>
        <v>137175988.47754392</v>
      </c>
      <c r="T590" s="192">
        <f t="shared" si="80"/>
        <v>1.1083026475024793E-2</v>
      </c>
      <c r="Y590" s="192" t="e">
        <f t="shared" si="81"/>
        <v>#DIV/0!</v>
      </c>
    </row>
    <row r="591" spans="1:25" ht="14.4">
      <c r="A591" s="187">
        <f t="shared" si="82"/>
        <v>51855</v>
      </c>
      <c r="B591" s="182">
        <v>11250207.042531608</v>
      </c>
      <c r="C591" s="182">
        <v>493028.98435297603</v>
      </c>
      <c r="D591" s="182">
        <v>10757178.058178632</v>
      </c>
      <c r="E591" s="182">
        <v>0</v>
      </c>
      <c r="F591" s="189">
        <f t="shared" si="79"/>
        <v>0</v>
      </c>
      <c r="G591" s="182">
        <v>11250207.042531608</v>
      </c>
      <c r="H591" s="182"/>
      <c r="I591" s="182">
        <v>10757178.058178632</v>
      </c>
      <c r="J591" s="182"/>
      <c r="K591" s="182">
        <v>10219098.086978834</v>
      </c>
      <c r="L591" s="182"/>
      <c r="M591" s="182">
        <v>10219098.086978834</v>
      </c>
      <c r="N591" s="182">
        <v>0</v>
      </c>
      <c r="O591" s="182">
        <v>10712127.07133181</v>
      </c>
      <c r="P591" s="182">
        <v>493028.98435297603</v>
      </c>
      <c r="Q591" s="182">
        <v>1.0984153011003972E-2</v>
      </c>
      <c r="R591" s="182">
        <v>0</v>
      </c>
      <c r="S591" s="182">
        <f t="shared" si="83"/>
        <v>137287017.0596315</v>
      </c>
      <c r="T591" s="192">
        <f t="shared" si="80"/>
        <v>1.1042368132559099E-2</v>
      </c>
      <c r="Y591" s="192" t="e">
        <f t="shared" si="81"/>
        <v>#DIV/0!</v>
      </c>
    </row>
    <row r="592" spans="1:25" ht="14.4">
      <c r="A592" s="187">
        <f t="shared" si="82"/>
        <v>51886</v>
      </c>
      <c r="B592" s="182">
        <v>11385873.55795675</v>
      </c>
      <c r="C592" s="182">
        <v>489262.39783661708</v>
      </c>
      <c r="D592" s="182">
        <v>10896611.160120133</v>
      </c>
      <c r="E592" s="182">
        <v>0</v>
      </c>
      <c r="F592" s="189">
        <f t="shared" ref="F592:F655" si="84">SUM(E581:E591)</f>
        <v>0</v>
      </c>
      <c r="G592" s="182">
        <v>11385873.55795675</v>
      </c>
      <c r="H592" s="182"/>
      <c r="I592" s="182">
        <v>10896611.160120133</v>
      </c>
      <c r="J592" s="182"/>
      <c r="K592" s="182">
        <v>10321593.439686207</v>
      </c>
      <c r="L592" s="182"/>
      <c r="M592" s="182">
        <v>10321593.439686207</v>
      </c>
      <c r="N592" s="182">
        <v>0</v>
      </c>
      <c r="O592" s="182">
        <v>10810855.837522823</v>
      </c>
      <c r="P592" s="182">
        <v>489262.39783661708</v>
      </c>
      <c r="Q592" s="182">
        <v>1.0985662972427868E-2</v>
      </c>
      <c r="R592" s="182">
        <v>0</v>
      </c>
      <c r="S592" s="182">
        <f t="shared" si="83"/>
        <v>137399174.48284701</v>
      </c>
      <c r="T592" s="192">
        <f t="shared" si="80"/>
        <v>1.1033837780918487E-2</v>
      </c>
      <c r="Y592" s="192" t="e">
        <f t="shared" si="81"/>
        <v>#DIV/0!</v>
      </c>
    </row>
    <row r="593" spans="1:25" ht="14.4">
      <c r="A593" s="187">
        <f t="shared" si="82"/>
        <v>51917</v>
      </c>
      <c r="B593" s="182">
        <v>10512994.793718876</v>
      </c>
      <c r="C593" s="182">
        <v>472940.16367653245</v>
      </c>
      <c r="D593" s="182">
        <v>10040054.630042344</v>
      </c>
      <c r="E593" s="182">
        <v>0</v>
      </c>
      <c r="F593" s="189">
        <f t="shared" si="84"/>
        <v>0</v>
      </c>
      <c r="G593" s="182">
        <v>10512994.793718876</v>
      </c>
      <c r="H593" s="182"/>
      <c r="I593" s="182">
        <v>10040054.630042344</v>
      </c>
      <c r="J593" s="182"/>
      <c r="K593" s="182">
        <v>9512304.0068038441</v>
      </c>
      <c r="L593" s="182"/>
      <c r="M593" s="182">
        <v>9512304.0068038441</v>
      </c>
      <c r="N593" s="182">
        <v>0</v>
      </c>
      <c r="O593" s="182">
        <v>9985244.1704803761</v>
      </c>
      <c r="P593" s="182">
        <v>472940.16367653245</v>
      </c>
      <c r="Q593" s="182">
        <v>1.0971719123027635E-2</v>
      </c>
      <c r="R593" s="182">
        <v>0</v>
      </c>
      <c r="S593" s="182">
        <f t="shared" si="83"/>
        <v>137502408.15971589</v>
      </c>
      <c r="T593" s="192">
        <f t="shared" si="80"/>
        <v>1.1025995428695756E-2</v>
      </c>
      <c r="Y593" s="192" t="e">
        <f t="shared" si="81"/>
        <v>#DIV/0!</v>
      </c>
    </row>
    <row r="594" spans="1:25" ht="14.4">
      <c r="A594" s="187">
        <f t="shared" si="82"/>
        <v>51946</v>
      </c>
      <c r="B594" s="182">
        <v>11546119.707759149</v>
      </c>
      <c r="C594" s="182">
        <v>558062.45640382811</v>
      </c>
      <c r="D594" s="182">
        <v>10988057.251355322</v>
      </c>
      <c r="E594" s="182">
        <v>0</v>
      </c>
      <c r="F594" s="189">
        <f t="shared" si="84"/>
        <v>0</v>
      </c>
      <c r="G594" s="182">
        <v>11546119.707759149</v>
      </c>
      <c r="H594" s="182"/>
      <c r="I594" s="182">
        <v>10988057.251355322</v>
      </c>
      <c r="J594" s="182"/>
      <c r="K594" s="182">
        <v>10418885.92787583</v>
      </c>
      <c r="L594" s="182"/>
      <c r="M594" s="182">
        <v>10418885.92787583</v>
      </c>
      <c r="N594" s="182">
        <v>0</v>
      </c>
      <c r="O594" s="182">
        <v>10976948.384279657</v>
      </c>
      <c r="P594" s="182">
        <v>558062.45640382811</v>
      </c>
      <c r="Q594" s="182">
        <v>1.0959897366237703E-2</v>
      </c>
      <c r="R594" s="182">
        <v>0</v>
      </c>
      <c r="S594" s="182">
        <f t="shared" si="83"/>
        <v>137615360.1380659</v>
      </c>
      <c r="T594" s="192">
        <f t="shared" si="80"/>
        <v>1.1017423773544088E-2</v>
      </c>
      <c r="Y594" s="192" t="e">
        <f t="shared" si="81"/>
        <v>#DIV/0!</v>
      </c>
    </row>
    <row r="595" spans="1:25" ht="14.4">
      <c r="A595" s="187">
        <f t="shared" si="82"/>
        <v>51977</v>
      </c>
      <c r="B595" s="182">
        <v>11886488.300181717</v>
      </c>
      <c r="C595" s="182">
        <v>606714.58602685831</v>
      </c>
      <c r="D595" s="182">
        <v>11279773.714154858</v>
      </c>
      <c r="E595" s="182">
        <v>0</v>
      </c>
      <c r="F595" s="189">
        <f t="shared" si="84"/>
        <v>0</v>
      </c>
      <c r="G595" s="182">
        <v>11886488.300181717</v>
      </c>
      <c r="H595" s="182"/>
      <c r="I595" s="182">
        <v>11279773.714154858</v>
      </c>
      <c r="J595" s="182"/>
      <c r="K595" s="182">
        <v>10737066.060205586</v>
      </c>
      <c r="L595" s="182"/>
      <c r="M595" s="182">
        <v>10737066.060205586</v>
      </c>
      <c r="N595" s="182">
        <v>0</v>
      </c>
      <c r="O595" s="182">
        <v>11343780.646232445</v>
      </c>
      <c r="P595" s="182">
        <v>606714.58602685831</v>
      </c>
      <c r="Q595" s="182">
        <v>1.0952884797045925E-2</v>
      </c>
      <c r="R595" s="182">
        <v>0</v>
      </c>
      <c r="S595" s="182">
        <f t="shared" si="83"/>
        <v>137731687.86152783</v>
      </c>
      <c r="T595" s="192">
        <f t="shared" si="80"/>
        <v>1.1008610243238737E-2</v>
      </c>
      <c r="Y595" s="192" t="e">
        <f t="shared" si="81"/>
        <v>#DIV/0!</v>
      </c>
    </row>
    <row r="596" spans="1:25" ht="14.4">
      <c r="A596" s="187">
        <f t="shared" si="82"/>
        <v>52007</v>
      </c>
      <c r="B596" s="182">
        <v>13506426.427795531</v>
      </c>
      <c r="C596" s="182">
        <v>625259.46966044593</v>
      </c>
      <c r="D596" s="182">
        <v>12881166.958135085</v>
      </c>
      <c r="E596" s="182">
        <v>0</v>
      </c>
      <c r="F596" s="189">
        <f t="shared" si="84"/>
        <v>0</v>
      </c>
      <c r="G596" s="182">
        <v>13506426.427795531</v>
      </c>
      <c r="H596" s="182"/>
      <c r="I596" s="182">
        <v>12881166.958135085</v>
      </c>
      <c r="J596" s="182"/>
      <c r="K596" s="182">
        <v>12292492.04516739</v>
      </c>
      <c r="L596" s="182"/>
      <c r="M596" s="182">
        <v>12292492.04516739</v>
      </c>
      <c r="N596" s="182">
        <v>0</v>
      </c>
      <c r="O596" s="182">
        <v>12917751.514827836</v>
      </c>
      <c r="P596" s="182">
        <v>625259.46966044593</v>
      </c>
      <c r="Q596" s="182">
        <v>1.0948165747079575E-2</v>
      </c>
      <c r="R596" s="182">
        <v>0</v>
      </c>
      <c r="S596" s="182">
        <f t="shared" si="83"/>
        <v>137864810.65151352</v>
      </c>
      <c r="T596" s="192">
        <f t="shared" si="80"/>
        <v>1.099855234081315E-2</v>
      </c>
      <c r="Y596" s="192" t="e">
        <f t="shared" si="81"/>
        <v>#DIV/0!</v>
      </c>
    </row>
    <row r="597" spans="1:25" ht="14.4">
      <c r="A597" s="187">
        <f t="shared" si="82"/>
        <v>52038</v>
      </c>
      <c r="B597" s="182">
        <v>14125674.542085232</v>
      </c>
      <c r="C597" s="182">
        <v>651244.06725267263</v>
      </c>
      <c r="D597" s="182">
        <v>13474430.474832559</v>
      </c>
      <c r="E597" s="182">
        <v>0</v>
      </c>
      <c r="F597" s="189">
        <f t="shared" si="84"/>
        <v>0</v>
      </c>
      <c r="G597" s="182">
        <v>14125674.542085232</v>
      </c>
      <c r="H597" s="182"/>
      <c r="I597" s="182">
        <v>13474430.474832559</v>
      </c>
      <c r="J597" s="182"/>
      <c r="K597" s="182">
        <v>12850291.405226959</v>
      </c>
      <c r="L597" s="182"/>
      <c r="M597" s="182">
        <v>12850291.405226959</v>
      </c>
      <c r="N597" s="182">
        <v>0</v>
      </c>
      <c r="O597" s="182">
        <v>13501535.472479632</v>
      </c>
      <c r="P597" s="182">
        <v>651244.06725267263</v>
      </c>
      <c r="Q597" s="182">
        <v>1.0935038446803658E-2</v>
      </c>
      <c r="R597" s="182">
        <v>0</v>
      </c>
      <c r="S597" s="182">
        <f t="shared" si="83"/>
        <v>138003809.12839356</v>
      </c>
      <c r="T597" s="192">
        <f t="shared" si="80"/>
        <v>1.0988066055035883E-2</v>
      </c>
      <c r="Y597" s="192" t="e">
        <f t="shared" si="81"/>
        <v>#DIV/0!</v>
      </c>
    </row>
    <row r="598" spans="1:25" ht="14.4">
      <c r="A598" s="187">
        <f t="shared" si="82"/>
        <v>52068</v>
      </c>
      <c r="B598" s="182">
        <v>15021649.392653653</v>
      </c>
      <c r="C598" s="182">
        <v>629201.18371147383</v>
      </c>
      <c r="D598" s="182">
        <v>14392448.208942179</v>
      </c>
      <c r="E598" s="182">
        <v>0</v>
      </c>
      <c r="F598" s="189">
        <f t="shared" si="84"/>
        <v>0</v>
      </c>
      <c r="G598" s="182">
        <v>15021649.392653653</v>
      </c>
      <c r="H598" s="182"/>
      <c r="I598" s="182">
        <v>14392448.208942179</v>
      </c>
      <c r="J598" s="182"/>
      <c r="K598" s="182">
        <v>13693386.66084468</v>
      </c>
      <c r="L598" s="182"/>
      <c r="M598" s="182">
        <v>13693386.66084468</v>
      </c>
      <c r="N598" s="182">
        <v>0</v>
      </c>
      <c r="O598" s="182">
        <v>14322587.844556153</v>
      </c>
      <c r="P598" s="182">
        <v>629201.18371147383</v>
      </c>
      <c r="Q598" s="182">
        <v>1.0928040363071156E-2</v>
      </c>
      <c r="R598" s="182">
        <v>0</v>
      </c>
      <c r="S598" s="182">
        <f t="shared" si="83"/>
        <v>138151833.39536622</v>
      </c>
      <c r="T598" s="192">
        <f t="shared" si="80"/>
        <v>1.0976923521461179E-2</v>
      </c>
      <c r="Y598" s="192" t="e">
        <f t="shared" si="81"/>
        <v>#DIV/0!</v>
      </c>
    </row>
    <row r="599" spans="1:25" ht="14.4">
      <c r="A599" s="187">
        <f t="shared" si="82"/>
        <v>52099</v>
      </c>
      <c r="B599" s="182">
        <v>15291821.186782852</v>
      </c>
      <c r="C599" s="182">
        <v>665388.59604368662</v>
      </c>
      <c r="D599" s="182">
        <v>14626432.590739165</v>
      </c>
      <c r="E599" s="182">
        <v>0</v>
      </c>
      <c r="F599" s="189">
        <f t="shared" si="84"/>
        <v>0</v>
      </c>
      <c r="G599" s="182">
        <v>15291821.186782852</v>
      </c>
      <c r="H599" s="182"/>
      <c r="I599" s="182">
        <v>14626432.590739165</v>
      </c>
      <c r="J599" s="182"/>
      <c r="K599" s="182">
        <v>13875810.640638471</v>
      </c>
      <c r="L599" s="182"/>
      <c r="M599" s="182">
        <v>13875810.640638471</v>
      </c>
      <c r="N599" s="182">
        <v>0</v>
      </c>
      <c r="O599" s="182">
        <v>14541199.236682158</v>
      </c>
      <c r="P599" s="182">
        <v>665388.59604368662</v>
      </c>
      <c r="Q599" s="182">
        <v>1.092055720982521E-2</v>
      </c>
      <c r="R599" s="182">
        <v>0</v>
      </c>
      <c r="S599" s="182">
        <f t="shared" si="83"/>
        <v>138301728.04619026</v>
      </c>
      <c r="T599" s="192">
        <f t="shared" si="80"/>
        <v>1.0965662404834209E-2</v>
      </c>
      <c r="Y599" s="192" t="e">
        <f t="shared" si="81"/>
        <v>#DIV/0!</v>
      </c>
    </row>
    <row r="600" spans="1:25" ht="14.4">
      <c r="A600" s="187">
        <f t="shared" si="82"/>
        <v>52130</v>
      </c>
      <c r="B600" s="182">
        <v>14079253.642175209</v>
      </c>
      <c r="C600" s="182">
        <v>640901.01910697285</v>
      </c>
      <c r="D600" s="182">
        <v>13438352.623068236</v>
      </c>
      <c r="E600" s="182">
        <v>0</v>
      </c>
      <c r="F600" s="189">
        <f t="shared" si="84"/>
        <v>0</v>
      </c>
      <c r="G600" s="182">
        <v>14079253.642175209</v>
      </c>
      <c r="H600" s="182"/>
      <c r="I600" s="182">
        <v>13438352.623068236</v>
      </c>
      <c r="J600" s="182"/>
      <c r="K600" s="182">
        <v>12748653.215466172</v>
      </c>
      <c r="L600" s="182"/>
      <c r="M600" s="182">
        <v>12748653.215466172</v>
      </c>
      <c r="N600" s="182">
        <v>0</v>
      </c>
      <c r="O600" s="182">
        <v>13389554.234573144</v>
      </c>
      <c r="P600" s="182">
        <v>640901.01910697285</v>
      </c>
      <c r="Q600" s="182">
        <v>1.0909183653656784E-2</v>
      </c>
      <c r="R600" s="182">
        <v>0</v>
      </c>
      <c r="S600" s="182">
        <f t="shared" si="83"/>
        <v>138439304.5975889</v>
      </c>
      <c r="T600" s="192">
        <f t="shared" si="80"/>
        <v>1.0955351984392347E-2</v>
      </c>
      <c r="Y600" s="192" t="e">
        <f t="shared" si="81"/>
        <v>#DIV/0!</v>
      </c>
    </row>
    <row r="601" spans="1:25" ht="14.4">
      <c r="A601" s="187">
        <f t="shared" si="82"/>
        <v>52160</v>
      </c>
      <c r="B601" s="182">
        <v>13204308.944033269</v>
      </c>
      <c r="C601" s="182">
        <v>587045.3057149566</v>
      </c>
      <c r="D601" s="182">
        <v>12617263.638318311</v>
      </c>
      <c r="E601" s="182">
        <v>0</v>
      </c>
      <c r="F601" s="189">
        <f t="shared" si="84"/>
        <v>0</v>
      </c>
      <c r="G601" s="182">
        <v>13204308.944033269</v>
      </c>
      <c r="H601" s="182"/>
      <c r="I601" s="182">
        <v>12617263.638318311</v>
      </c>
      <c r="J601" s="182"/>
      <c r="K601" s="182">
        <v>11970048.496818816</v>
      </c>
      <c r="L601" s="182"/>
      <c r="M601" s="182">
        <v>11970048.496818816</v>
      </c>
      <c r="N601" s="182">
        <v>0</v>
      </c>
      <c r="O601" s="182">
        <v>12557093.802533774</v>
      </c>
      <c r="P601" s="182">
        <v>587045.3057149566</v>
      </c>
      <c r="Q601" s="182">
        <v>1.0896871148869947E-2</v>
      </c>
      <c r="R601" s="182">
        <v>0</v>
      </c>
      <c r="S601" s="182">
        <f t="shared" si="83"/>
        <v>138568334.64985064</v>
      </c>
      <c r="T601" s="192">
        <f t="shared" si="80"/>
        <v>1.0945702909838539E-2</v>
      </c>
      <c r="Y601" s="192" t="e">
        <f t="shared" si="81"/>
        <v>#DIV/0!</v>
      </c>
    </row>
    <row r="602" spans="1:25" ht="14.4">
      <c r="A602" s="187">
        <f t="shared" si="82"/>
        <v>52191</v>
      </c>
      <c r="B602" s="182">
        <v>11044111.814264748</v>
      </c>
      <c r="C602" s="182">
        <v>526364.91250150639</v>
      </c>
      <c r="D602" s="182">
        <v>10517746.901763242</v>
      </c>
      <c r="E602" s="182">
        <v>0</v>
      </c>
      <c r="F602" s="189">
        <f t="shared" si="84"/>
        <v>0</v>
      </c>
      <c r="G602" s="182">
        <v>11044111.814264748</v>
      </c>
      <c r="H602" s="182"/>
      <c r="I602" s="182">
        <v>10517746.901763242</v>
      </c>
      <c r="J602" s="182"/>
      <c r="K602" s="182">
        <v>10036739.70377928</v>
      </c>
      <c r="L602" s="182"/>
      <c r="M602" s="182">
        <v>10036739.70377928</v>
      </c>
      <c r="N602" s="182">
        <v>0</v>
      </c>
      <c r="O602" s="182">
        <v>10563104.616280787</v>
      </c>
      <c r="P602" s="182">
        <v>526364.91250150639</v>
      </c>
      <c r="Q602" s="182">
        <v>1.0881080996562709E-2</v>
      </c>
      <c r="R602" s="182">
        <v>0</v>
      </c>
      <c r="S602" s="182">
        <f t="shared" si="83"/>
        <v>138676369.68949205</v>
      </c>
      <c r="T602" s="192">
        <f t="shared" si="80"/>
        <v>1.0937637327058436E-2</v>
      </c>
      <c r="Y602" s="192" t="e">
        <f t="shared" si="81"/>
        <v>#DIV/0!</v>
      </c>
    </row>
    <row r="603" spans="1:25" ht="14.4">
      <c r="A603" s="187">
        <f t="shared" si="82"/>
        <v>52221</v>
      </c>
      <c r="B603" s="182">
        <v>11374442.233695963</v>
      </c>
      <c r="C603" s="182">
        <v>500216.11011161626</v>
      </c>
      <c r="D603" s="182">
        <v>10874226.123584347</v>
      </c>
      <c r="E603" s="182">
        <v>0</v>
      </c>
      <c r="F603" s="189">
        <f t="shared" si="84"/>
        <v>0</v>
      </c>
      <c r="G603" s="182">
        <v>11374442.233695963</v>
      </c>
      <c r="H603" s="182"/>
      <c r="I603" s="182">
        <v>10874226.123584347</v>
      </c>
      <c r="J603" s="182"/>
      <c r="K603" s="182">
        <v>10330204.175687499</v>
      </c>
      <c r="L603" s="182"/>
      <c r="M603" s="182">
        <v>10330204.175687499</v>
      </c>
      <c r="N603" s="182">
        <v>0</v>
      </c>
      <c r="O603" s="182">
        <v>10830420.285799116</v>
      </c>
      <c r="P603" s="182">
        <v>500216.11011161626</v>
      </c>
      <c r="Q603" s="182">
        <v>1.0872396738244028E-2</v>
      </c>
      <c r="R603" s="182">
        <v>0</v>
      </c>
      <c r="S603" s="182">
        <f t="shared" si="83"/>
        <v>138787475.77820075</v>
      </c>
      <c r="T603" s="192">
        <f t="shared" si="80"/>
        <v>1.0929356254550493E-2</v>
      </c>
      <c r="Y603" s="192" t="e">
        <f t="shared" si="81"/>
        <v>#DIV/0!</v>
      </c>
    </row>
    <row r="604" spans="1:25" ht="14.4">
      <c r="A604" s="187">
        <f t="shared" si="82"/>
        <v>52252</v>
      </c>
      <c r="B604" s="182">
        <v>11511588.101087138</v>
      </c>
      <c r="C604" s="182">
        <v>496392.39104953734</v>
      </c>
      <c r="D604" s="182">
        <v>11015195.7100376</v>
      </c>
      <c r="E604" s="182">
        <v>0</v>
      </c>
      <c r="F604" s="189">
        <f t="shared" si="84"/>
        <v>0</v>
      </c>
      <c r="G604" s="182">
        <v>11511588.101087138</v>
      </c>
      <c r="H604" s="182"/>
      <c r="I604" s="182">
        <v>11015195.7100376</v>
      </c>
      <c r="J604" s="182"/>
      <c r="K604" s="182">
        <v>10433829.06172842</v>
      </c>
      <c r="L604" s="182"/>
      <c r="M604" s="182">
        <v>10433829.06172842</v>
      </c>
      <c r="N604" s="182">
        <v>0</v>
      </c>
      <c r="O604" s="182">
        <v>10930221.452777958</v>
      </c>
      <c r="P604" s="182">
        <v>496392.39104953734</v>
      </c>
      <c r="Q604" s="182">
        <v>1.0873865813263883E-2</v>
      </c>
      <c r="R604" s="182">
        <v>0</v>
      </c>
      <c r="S604" s="182">
        <f t="shared" si="83"/>
        <v>138899711.40024295</v>
      </c>
      <c r="T604" s="192">
        <f t="shared" si="80"/>
        <v>1.0921003878253011E-2</v>
      </c>
      <c r="Y604" s="192" t="e">
        <f t="shared" si="81"/>
        <v>#DIV/0!</v>
      </c>
    </row>
    <row r="605" spans="1:25" ht="14.4">
      <c r="A605" s="187">
        <f t="shared" si="82"/>
        <v>52283</v>
      </c>
      <c r="B605" s="182">
        <v>10629021.629601685</v>
      </c>
      <c r="C605" s="182">
        <v>479837.24601356842</v>
      </c>
      <c r="D605" s="182">
        <v>10149184.383588117</v>
      </c>
      <c r="E605" s="182">
        <v>0</v>
      </c>
      <c r="F605" s="189">
        <f t="shared" si="84"/>
        <v>0</v>
      </c>
      <c r="G605" s="182">
        <v>10629021.629601685</v>
      </c>
      <c r="H605" s="182"/>
      <c r="I605" s="182">
        <v>10149184.383588117</v>
      </c>
      <c r="J605" s="182"/>
      <c r="K605" s="182">
        <v>9615609.2321204059</v>
      </c>
      <c r="L605" s="182"/>
      <c r="M605" s="182">
        <v>9615609.2321204059</v>
      </c>
      <c r="N605" s="182">
        <v>0</v>
      </c>
      <c r="O605" s="182">
        <v>10095446.478133975</v>
      </c>
      <c r="P605" s="182">
        <v>479837.24601356842</v>
      </c>
      <c r="Q605" s="182">
        <v>1.0860168602966347E-2</v>
      </c>
      <c r="R605" s="182">
        <v>0</v>
      </c>
      <c r="S605" s="182">
        <f t="shared" si="83"/>
        <v>139003016.62555948</v>
      </c>
      <c r="T605" s="192">
        <f t="shared" si="80"/>
        <v>1.0913324980465378E-2</v>
      </c>
      <c r="Y605" s="192" t="e">
        <f t="shared" si="81"/>
        <v>#DIV/0!</v>
      </c>
    </row>
    <row r="606" spans="1:25" ht="14.4">
      <c r="A606" s="187">
        <f t="shared" si="82"/>
        <v>52312</v>
      </c>
      <c r="B606" s="182">
        <v>11673578.254839212</v>
      </c>
      <c r="C606" s="182">
        <v>566208.25024271803</v>
      </c>
      <c r="D606" s="182">
        <v>11107370.004596494</v>
      </c>
      <c r="E606" s="182">
        <v>0</v>
      </c>
      <c r="F606" s="189">
        <f t="shared" si="84"/>
        <v>0</v>
      </c>
      <c r="G606" s="182">
        <v>11673578.254839212</v>
      </c>
      <c r="H606" s="182"/>
      <c r="I606" s="182">
        <v>11107370.004596494</v>
      </c>
      <c r="J606" s="182"/>
      <c r="K606" s="182">
        <v>10531915.55295217</v>
      </c>
      <c r="L606" s="182"/>
      <c r="M606" s="182">
        <v>10531915.55295217</v>
      </c>
      <c r="N606" s="182">
        <v>0</v>
      </c>
      <c r="O606" s="182">
        <v>11098123.803194888</v>
      </c>
      <c r="P606" s="182">
        <v>566208.25024271803</v>
      </c>
      <c r="Q606" s="182">
        <v>1.0848532737452121E-2</v>
      </c>
      <c r="R606" s="182">
        <v>0</v>
      </c>
      <c r="S606" s="182">
        <f t="shared" si="83"/>
        <v>139116046.25063586</v>
      </c>
      <c r="T606" s="192">
        <f t="shared" si="80"/>
        <v>1.0904931768258797E-2</v>
      </c>
      <c r="Y606" s="192" t="e">
        <f t="shared" si="81"/>
        <v>#DIV/0!</v>
      </c>
    </row>
    <row r="607" spans="1:25" ht="14.4">
      <c r="A607" s="187">
        <f t="shared" si="82"/>
        <v>52343</v>
      </c>
      <c r="B607" s="182">
        <v>12017753.490217304</v>
      </c>
      <c r="C607" s="182">
        <v>615578.91651448654</v>
      </c>
      <c r="D607" s="182">
        <v>11402174.573702818</v>
      </c>
      <c r="E607" s="182">
        <v>0</v>
      </c>
      <c r="F607" s="189">
        <f t="shared" si="84"/>
        <v>0</v>
      </c>
      <c r="G607" s="182">
        <v>12017753.490217304</v>
      </c>
      <c r="H607" s="182"/>
      <c r="I607" s="182">
        <v>11402174.573702818</v>
      </c>
      <c r="J607" s="182"/>
      <c r="K607" s="182">
        <v>10853473.675867684</v>
      </c>
      <c r="L607" s="182"/>
      <c r="M607" s="182">
        <v>10853473.675867684</v>
      </c>
      <c r="N607" s="182">
        <v>0</v>
      </c>
      <c r="O607" s="182">
        <v>11469052.59238217</v>
      </c>
      <c r="P607" s="182">
        <v>615578.91651448654</v>
      </c>
      <c r="Q607" s="182">
        <v>1.0841659631166456E-2</v>
      </c>
      <c r="R607" s="182">
        <v>0</v>
      </c>
      <c r="S607" s="182">
        <f t="shared" si="83"/>
        <v>139232453.86629796</v>
      </c>
      <c r="T607" s="192">
        <f t="shared" si="80"/>
        <v>1.0896301556102106E-2</v>
      </c>
      <c r="Y607" s="192" t="e">
        <f t="shared" si="81"/>
        <v>#DIV/0!</v>
      </c>
    </row>
    <row r="608" spans="1:25" ht="14.4">
      <c r="A608" s="187">
        <f t="shared" si="82"/>
        <v>52373</v>
      </c>
      <c r="B608" s="182">
        <v>13655239.308002027</v>
      </c>
      <c r="C608" s="182">
        <v>634370.83401825093</v>
      </c>
      <c r="D608" s="182">
        <v>13020868.473983776</v>
      </c>
      <c r="E608" s="182">
        <v>0</v>
      </c>
      <c r="F608" s="189">
        <f t="shared" si="84"/>
        <v>0</v>
      </c>
      <c r="G608" s="182">
        <v>13655239.308002027</v>
      </c>
      <c r="H608" s="182"/>
      <c r="I608" s="182">
        <v>13020868.473983776</v>
      </c>
      <c r="J608" s="182"/>
      <c r="K608" s="182">
        <v>12425707.581192154</v>
      </c>
      <c r="L608" s="182"/>
      <c r="M608" s="182">
        <v>12425707.581192154</v>
      </c>
      <c r="N608" s="182">
        <v>0</v>
      </c>
      <c r="O608" s="182">
        <v>13060078.415210405</v>
      </c>
      <c r="P608" s="182">
        <v>634370.83401825093</v>
      </c>
      <c r="Q608" s="182">
        <v>1.0837146408985143E-2</v>
      </c>
      <c r="R608" s="182">
        <v>0</v>
      </c>
      <c r="S608" s="182">
        <f t="shared" si="83"/>
        <v>139365669.40232274</v>
      </c>
      <c r="T608" s="192">
        <f t="shared" si="80"/>
        <v>1.0886452777300937E-2</v>
      </c>
      <c r="Y608" s="192" t="e">
        <f t="shared" si="81"/>
        <v>#DIV/0!</v>
      </c>
    </row>
    <row r="609" spans="1:25" ht="14.4">
      <c r="A609" s="187">
        <f t="shared" si="82"/>
        <v>52404</v>
      </c>
      <c r="B609" s="182">
        <v>14281114.713853614</v>
      </c>
      <c r="C609" s="182">
        <v>660721.57494558301</v>
      </c>
      <c r="D609" s="182">
        <v>13620393.138908032</v>
      </c>
      <c r="E609" s="182">
        <v>0</v>
      </c>
      <c r="F609" s="189">
        <f t="shared" si="84"/>
        <v>0</v>
      </c>
      <c r="G609" s="182">
        <v>14281114.713853614</v>
      </c>
      <c r="H609" s="182"/>
      <c r="I609" s="182">
        <v>13620393.138908032</v>
      </c>
      <c r="J609" s="182"/>
      <c r="K609" s="182">
        <v>12989385.987789027</v>
      </c>
      <c r="L609" s="182"/>
      <c r="M609" s="182">
        <v>12989385.987789027</v>
      </c>
      <c r="N609" s="182">
        <v>0</v>
      </c>
      <c r="O609" s="182">
        <v>13650107.562734611</v>
      </c>
      <c r="P609" s="182">
        <v>660721.57494558301</v>
      </c>
      <c r="Q609" s="182">
        <v>1.0824235667176385E-2</v>
      </c>
      <c r="R609" s="182">
        <v>0</v>
      </c>
      <c r="S609" s="182">
        <f t="shared" si="83"/>
        <v>139504763.98488477</v>
      </c>
      <c r="T609" s="192">
        <f t="shared" si="80"/>
        <v>1.0876184258760357E-2</v>
      </c>
      <c r="Y609" s="192" t="e">
        <f t="shared" si="81"/>
        <v>#DIV/0!</v>
      </c>
    </row>
    <row r="610" spans="1:25" ht="14.4">
      <c r="A610" s="187">
        <f t="shared" si="82"/>
        <v>52434</v>
      </c>
      <c r="B610" s="182">
        <v>15186570.738089217</v>
      </c>
      <c r="C610" s="182">
        <v>638320.81449635571</v>
      </c>
      <c r="D610" s="182">
        <v>14548249.923592862</v>
      </c>
      <c r="E610" s="182">
        <v>0</v>
      </c>
      <c r="F610" s="189">
        <f t="shared" si="84"/>
        <v>0</v>
      </c>
      <c r="G610" s="182">
        <v>15186570.738089217</v>
      </c>
      <c r="H610" s="182"/>
      <c r="I610" s="182">
        <v>14548249.923592862</v>
      </c>
      <c r="J610" s="182"/>
      <c r="K610" s="182">
        <v>13841513.441269372</v>
      </c>
      <c r="L610" s="182"/>
      <c r="M610" s="182">
        <v>13841513.441269372</v>
      </c>
      <c r="N610" s="182">
        <v>0</v>
      </c>
      <c r="O610" s="182">
        <v>14479834.255765727</v>
      </c>
      <c r="P610" s="182">
        <v>638320.81449635571</v>
      </c>
      <c r="Q610" s="182">
        <v>1.0817395586166345E-2</v>
      </c>
      <c r="R610" s="182">
        <v>0</v>
      </c>
      <c r="S610" s="182">
        <f t="shared" si="83"/>
        <v>139652890.76530945</v>
      </c>
      <c r="T610" s="192">
        <f t="shared" si="80"/>
        <v>1.0865272888905375E-2</v>
      </c>
      <c r="Y610" s="192" t="e">
        <f t="shared" si="81"/>
        <v>#DIV/0!</v>
      </c>
    </row>
    <row r="611" spans="1:25" ht="14.4">
      <c r="A611" s="187">
        <f t="shared" si="82"/>
        <v>52465</v>
      </c>
      <c r="B611" s="182">
        <v>15459726.36539229</v>
      </c>
      <c r="C611" s="182">
        <v>675053.75994482532</v>
      </c>
      <c r="D611" s="182">
        <v>14784672.605447466</v>
      </c>
      <c r="E611" s="182">
        <v>0</v>
      </c>
      <c r="F611" s="189">
        <f t="shared" si="84"/>
        <v>0</v>
      </c>
      <c r="G611" s="182">
        <v>15459726.36539229</v>
      </c>
      <c r="H611" s="182"/>
      <c r="I611" s="182">
        <v>14784672.605447466</v>
      </c>
      <c r="J611" s="182"/>
      <c r="K611" s="182">
        <v>14025808.778132778</v>
      </c>
      <c r="L611" s="182"/>
      <c r="M611" s="182">
        <v>14025808.778132778</v>
      </c>
      <c r="N611" s="182">
        <v>0</v>
      </c>
      <c r="O611" s="182">
        <v>14700862.538077602</v>
      </c>
      <c r="P611" s="182">
        <v>675053.75994482532</v>
      </c>
      <c r="Q611" s="182">
        <v>1.081004500414573E-2</v>
      </c>
      <c r="R611" s="182">
        <v>0</v>
      </c>
      <c r="S611" s="182">
        <f t="shared" si="83"/>
        <v>139802888.90280375</v>
      </c>
      <c r="T611" s="192">
        <f t="shared" si="80"/>
        <v>1.0854245119136463E-2</v>
      </c>
      <c r="Y611" s="192" t="e">
        <f t="shared" si="81"/>
        <v>#DIV/0!</v>
      </c>
    </row>
    <row r="612" spans="1:25" ht="14.4">
      <c r="A612" s="187">
        <f t="shared" si="82"/>
        <v>52496</v>
      </c>
      <c r="B612" s="182">
        <v>14233843.495401464</v>
      </c>
      <c r="C612" s="182">
        <v>650245.96153710864</v>
      </c>
      <c r="D612" s="182">
        <v>13583597.533864357</v>
      </c>
      <c r="E612" s="182">
        <v>0</v>
      </c>
      <c r="F612" s="189">
        <f t="shared" si="84"/>
        <v>0</v>
      </c>
      <c r="G612" s="182">
        <v>14233843.495401464</v>
      </c>
      <c r="H612" s="182"/>
      <c r="I612" s="182">
        <v>13583597.533864357</v>
      </c>
      <c r="J612" s="182"/>
      <c r="K612" s="182">
        <v>12886325.243998699</v>
      </c>
      <c r="L612" s="182"/>
      <c r="M612" s="182">
        <v>12886325.243998699</v>
      </c>
      <c r="N612" s="182">
        <v>0</v>
      </c>
      <c r="O612" s="182">
        <v>13536571.205535807</v>
      </c>
      <c r="P612" s="182">
        <v>650245.96153710864</v>
      </c>
      <c r="Q612" s="182">
        <v>1.079894685389271E-2</v>
      </c>
      <c r="R612" s="182">
        <v>0</v>
      </c>
      <c r="S612" s="182">
        <f t="shared" si="83"/>
        <v>139940560.93133628</v>
      </c>
      <c r="T612" s="192">
        <f t="shared" ref="T612:T675" si="85">S612/S600-1</f>
        <v>1.0844148185453539E-2</v>
      </c>
      <c r="Y612" s="192" t="e">
        <f t="shared" ref="Y612:Y675" si="86">X612/X600-1</f>
        <v>#DIV/0!</v>
      </c>
    </row>
    <row r="613" spans="1:25" ht="14.4">
      <c r="A613" s="187">
        <f t="shared" ref="A613:A676" si="87">+A601+366</f>
        <v>52526</v>
      </c>
      <c r="B613" s="182">
        <v>13349082.30911205</v>
      </c>
      <c r="C613" s="182">
        <v>595602.65887930105</v>
      </c>
      <c r="D613" s="182">
        <v>12753479.650232749</v>
      </c>
      <c r="E613" s="182">
        <v>0</v>
      </c>
      <c r="F613" s="189">
        <f t="shared" si="84"/>
        <v>0</v>
      </c>
      <c r="G613" s="182">
        <v>13349082.30911205</v>
      </c>
      <c r="H613" s="182"/>
      <c r="I613" s="182">
        <v>12753479.650232749</v>
      </c>
      <c r="J613" s="182"/>
      <c r="K613" s="182">
        <v>12099168.377132429</v>
      </c>
      <c r="L613" s="182"/>
      <c r="M613" s="182">
        <v>12099168.377132429</v>
      </c>
      <c r="N613" s="182">
        <v>0</v>
      </c>
      <c r="O613" s="182">
        <v>12694771.036011729</v>
      </c>
      <c r="P613" s="182">
        <v>595602.65887930105</v>
      </c>
      <c r="Q613" s="182">
        <v>1.0786913716174906E-2</v>
      </c>
      <c r="R613" s="182">
        <v>0</v>
      </c>
      <c r="S613" s="182">
        <f t="shared" si="83"/>
        <v>140069680.81164989</v>
      </c>
      <c r="T613" s="192">
        <f t="shared" si="85"/>
        <v>1.0834698746961413E-2</v>
      </c>
      <c r="Y613" s="192" t="e">
        <f t="shared" si="86"/>
        <v>#DIV/0!</v>
      </c>
    </row>
    <row r="614" spans="1:25" ht="14.4">
      <c r="A614" s="187">
        <f t="shared" si="87"/>
        <v>52557</v>
      </c>
      <c r="B614" s="182">
        <v>11165186.300574783</v>
      </c>
      <c r="C614" s="182">
        <v>534056.02110587107</v>
      </c>
      <c r="D614" s="182">
        <v>10631130.279468913</v>
      </c>
      <c r="E614" s="182">
        <v>0</v>
      </c>
      <c r="F614" s="189">
        <f t="shared" si="84"/>
        <v>0</v>
      </c>
      <c r="G614" s="182">
        <v>11165186.300574783</v>
      </c>
      <c r="H614" s="182"/>
      <c r="I614" s="182">
        <v>10631130.279468913</v>
      </c>
      <c r="J614" s="182"/>
      <c r="K614" s="182">
        <v>10144849.891536608</v>
      </c>
      <c r="L614" s="182"/>
      <c r="M614" s="182">
        <v>10144849.891536608</v>
      </c>
      <c r="N614" s="182">
        <v>0</v>
      </c>
      <c r="O614" s="182">
        <v>10678905.912642479</v>
      </c>
      <c r="P614" s="182">
        <v>534056.02110587107</v>
      </c>
      <c r="Q614" s="182">
        <v>1.0771444806585873E-2</v>
      </c>
      <c r="R614" s="182">
        <v>0</v>
      </c>
      <c r="S614" s="182">
        <f t="shared" si="83"/>
        <v>140177790.99940723</v>
      </c>
      <c r="T614" s="192">
        <f t="shared" si="85"/>
        <v>1.0826799931934916E-2</v>
      </c>
      <c r="Y614" s="192" t="e">
        <f t="shared" si="86"/>
        <v>#DIV/0!</v>
      </c>
    </row>
    <row r="615" spans="1:25" ht="14.4">
      <c r="A615" s="187">
        <f t="shared" si="87"/>
        <v>52587</v>
      </c>
      <c r="B615" s="182">
        <v>11498869.20234466</v>
      </c>
      <c r="C615" s="182">
        <v>507508.48170943884</v>
      </c>
      <c r="D615" s="182">
        <v>10991360.72063522</v>
      </c>
      <c r="E615" s="182">
        <v>0</v>
      </c>
      <c r="F615" s="189">
        <f t="shared" si="84"/>
        <v>0</v>
      </c>
      <c r="G615" s="182">
        <v>11498869.20234466</v>
      </c>
      <c r="H615" s="182"/>
      <c r="I615" s="182">
        <v>10991360.72063522</v>
      </c>
      <c r="J615" s="182"/>
      <c r="K615" s="182">
        <v>10441387.623621397</v>
      </c>
      <c r="L615" s="182"/>
      <c r="M615" s="182">
        <v>10441387.623621397</v>
      </c>
      <c r="N615" s="182">
        <v>0</v>
      </c>
      <c r="O615" s="182">
        <v>10948896.105330836</v>
      </c>
      <c r="P615" s="182">
        <v>507508.48170943884</v>
      </c>
      <c r="Q615" s="182">
        <v>1.0762947763953257E-2</v>
      </c>
      <c r="R615" s="182">
        <v>0</v>
      </c>
      <c r="S615" s="182">
        <f t="shared" si="83"/>
        <v>140288974.44734117</v>
      </c>
      <c r="T615" s="192">
        <f t="shared" si="85"/>
        <v>1.0818689948219884E-2</v>
      </c>
      <c r="Y615" s="192" t="e">
        <f t="shared" si="86"/>
        <v>#DIV/0!</v>
      </c>
    </row>
    <row r="616" spans="1:25" ht="14.4">
      <c r="A616" s="187">
        <f t="shared" si="87"/>
        <v>52618</v>
      </c>
      <c r="B616" s="182">
        <v>11637494.777082611</v>
      </c>
      <c r="C616" s="182">
        <v>503626.76532186347</v>
      </c>
      <c r="D616" s="182">
        <v>11133868.011760747</v>
      </c>
      <c r="E616" s="182">
        <v>0</v>
      </c>
      <c r="F616" s="189">
        <f t="shared" si="84"/>
        <v>0</v>
      </c>
      <c r="G616" s="182">
        <v>11637494.777082611</v>
      </c>
      <c r="H616" s="182"/>
      <c r="I616" s="182">
        <v>11133868.011760747</v>
      </c>
      <c r="J616" s="182"/>
      <c r="K616" s="182">
        <v>10546142.732341725</v>
      </c>
      <c r="L616" s="182"/>
      <c r="M616" s="182">
        <v>10546142.732341725</v>
      </c>
      <c r="N616" s="182">
        <v>0</v>
      </c>
      <c r="O616" s="182">
        <v>11049769.497663589</v>
      </c>
      <c r="P616" s="182">
        <v>503626.76532186347</v>
      </c>
      <c r="Q616" s="182">
        <v>1.076437709960909E-2</v>
      </c>
      <c r="R616" s="182">
        <v>0</v>
      </c>
      <c r="S616" s="182">
        <f t="shared" si="83"/>
        <v>140401288.11795446</v>
      </c>
      <c r="T616" s="192">
        <f t="shared" si="85"/>
        <v>1.0810509990079709E-2</v>
      </c>
      <c r="Y616" s="192" t="e">
        <f t="shared" si="86"/>
        <v>#DIV/0!</v>
      </c>
    </row>
    <row r="617" spans="1:25" ht="14.4">
      <c r="A617" s="187">
        <f t="shared" si="87"/>
        <v>52649</v>
      </c>
      <c r="B617" s="182">
        <v>10745230.017209528</v>
      </c>
      <c r="C617" s="182">
        <v>486835.36232927581</v>
      </c>
      <c r="D617" s="182">
        <v>10258394.654880252</v>
      </c>
      <c r="E617" s="182">
        <v>0</v>
      </c>
      <c r="F617" s="189">
        <f t="shared" si="84"/>
        <v>0</v>
      </c>
      <c r="G617" s="182">
        <v>10745230.017209528</v>
      </c>
      <c r="H617" s="182"/>
      <c r="I617" s="182">
        <v>10258394.654880252</v>
      </c>
      <c r="J617" s="182"/>
      <c r="K617" s="182">
        <v>9718985.8613163605</v>
      </c>
      <c r="L617" s="182"/>
      <c r="M617" s="182">
        <v>9718985.8613163605</v>
      </c>
      <c r="N617" s="182">
        <v>0</v>
      </c>
      <c r="O617" s="182">
        <v>10205821.223645637</v>
      </c>
      <c r="P617" s="182">
        <v>486835.36232927581</v>
      </c>
      <c r="Q617" s="182">
        <v>1.0750918293417122E-2</v>
      </c>
      <c r="R617" s="182">
        <v>0</v>
      </c>
      <c r="S617" s="182">
        <f t="shared" si="83"/>
        <v>140504664.74715042</v>
      </c>
      <c r="T617" s="192">
        <f t="shared" si="85"/>
        <v>1.0802989446164535E-2</v>
      </c>
      <c r="Y617" s="192" t="e">
        <f t="shared" si="86"/>
        <v>#DIV/0!</v>
      </c>
    </row>
    <row r="618" spans="1:25" ht="14.4">
      <c r="A618" s="187">
        <f t="shared" si="87"/>
        <v>52678</v>
      </c>
      <c r="B618" s="182">
        <v>11801243.907612404</v>
      </c>
      <c r="C618" s="182">
        <v>574473.46297701262</v>
      </c>
      <c r="D618" s="182">
        <v>11226770.444635391</v>
      </c>
      <c r="E618" s="182">
        <v>0</v>
      </c>
      <c r="F618" s="189">
        <f t="shared" si="84"/>
        <v>0</v>
      </c>
      <c r="G618" s="182">
        <v>11801243.907612404</v>
      </c>
      <c r="H618" s="182"/>
      <c r="I618" s="182">
        <v>11226770.444635391</v>
      </c>
      <c r="J618" s="182"/>
      <c r="K618" s="182">
        <v>10645022.655455085</v>
      </c>
      <c r="L618" s="182"/>
      <c r="M618" s="182">
        <v>10645022.655455085</v>
      </c>
      <c r="N618" s="182">
        <v>0</v>
      </c>
      <c r="O618" s="182">
        <v>11219496.118432097</v>
      </c>
      <c r="P618" s="182">
        <v>574473.46297701262</v>
      </c>
      <c r="Q618" s="182">
        <v>1.0739461585524079E-2</v>
      </c>
      <c r="R618" s="182">
        <v>0</v>
      </c>
      <c r="S618" s="182">
        <f t="shared" si="83"/>
        <v>140617771.84965333</v>
      </c>
      <c r="T618" s="192">
        <f t="shared" si="85"/>
        <v>1.0794769111766689E-2</v>
      </c>
      <c r="Y618" s="192" t="e">
        <f t="shared" si="86"/>
        <v>#DIV/0!</v>
      </c>
    </row>
    <row r="619" spans="1:25" ht="14.4">
      <c r="A619" s="187">
        <f t="shared" si="87"/>
        <v>52709</v>
      </c>
      <c r="B619" s="182">
        <v>12149238.491109418</v>
      </c>
      <c r="C619" s="182">
        <v>624573.30569239007</v>
      </c>
      <c r="D619" s="182">
        <v>11524665.185417028</v>
      </c>
      <c r="E619" s="182">
        <v>0</v>
      </c>
      <c r="F619" s="189">
        <f t="shared" si="84"/>
        <v>0</v>
      </c>
      <c r="G619" s="182">
        <v>12149238.491109418</v>
      </c>
      <c r="H619" s="182"/>
      <c r="I619" s="182">
        <v>11524665.185417028</v>
      </c>
      <c r="J619" s="182"/>
      <c r="K619" s="182">
        <v>10969961.007676039</v>
      </c>
      <c r="L619" s="182"/>
      <c r="M619" s="182">
        <v>10969961.007676039</v>
      </c>
      <c r="N619" s="182">
        <v>0</v>
      </c>
      <c r="O619" s="182">
        <v>11594534.313368428</v>
      </c>
      <c r="P619" s="182">
        <v>624573.30569239007</v>
      </c>
      <c r="Q619" s="182">
        <v>1.0732723484404794E-2</v>
      </c>
      <c r="R619" s="182">
        <v>0</v>
      </c>
      <c r="S619" s="182">
        <f t="shared" si="83"/>
        <v>140734259.18146166</v>
      </c>
      <c r="T619" s="192">
        <f t="shared" si="85"/>
        <v>1.0786316504956872E-2</v>
      </c>
      <c r="Y619" s="192" t="e">
        <f t="shared" si="86"/>
        <v>#DIV/0!</v>
      </c>
    </row>
    <row r="620" spans="1:25" ht="14.4">
      <c r="A620" s="187">
        <f t="shared" si="87"/>
        <v>52739</v>
      </c>
      <c r="B620" s="182">
        <v>13804288.426653391</v>
      </c>
      <c r="C620" s="182">
        <v>643615.57973240048</v>
      </c>
      <c r="D620" s="182">
        <v>13160672.846920989</v>
      </c>
      <c r="E620" s="182">
        <v>0</v>
      </c>
      <c r="F620" s="189">
        <f t="shared" si="84"/>
        <v>0</v>
      </c>
      <c r="G620" s="182">
        <v>13804288.426653391</v>
      </c>
      <c r="H620" s="182"/>
      <c r="I620" s="182">
        <v>13160672.846920989</v>
      </c>
      <c r="J620" s="182"/>
      <c r="K620" s="182">
        <v>12559015.677899746</v>
      </c>
      <c r="L620" s="182"/>
      <c r="M620" s="182">
        <v>12559015.677899746</v>
      </c>
      <c r="N620" s="182">
        <v>0</v>
      </c>
      <c r="O620" s="182">
        <v>13202631.257632148</v>
      </c>
      <c r="P620" s="182">
        <v>643615.57973240048</v>
      </c>
      <c r="Q620" s="182">
        <v>1.0728410904290886E-2</v>
      </c>
      <c r="R620" s="182">
        <v>0</v>
      </c>
      <c r="S620" s="182">
        <f t="shared" si="83"/>
        <v>140867567.27816927</v>
      </c>
      <c r="T620" s="192">
        <f t="shared" si="85"/>
        <v>1.0776670339887273E-2</v>
      </c>
      <c r="Y620" s="192" t="e">
        <f t="shared" si="86"/>
        <v>#DIV/0!</v>
      </c>
    </row>
    <row r="621" spans="1:25" ht="14.4">
      <c r="A621" s="187">
        <f t="shared" si="87"/>
        <v>52770</v>
      </c>
      <c r="B621" s="182">
        <v>14436800.212217052</v>
      </c>
      <c r="C621" s="182">
        <v>670337.66568046506</v>
      </c>
      <c r="D621" s="182">
        <v>13766462.546536587</v>
      </c>
      <c r="E621" s="182">
        <v>0</v>
      </c>
      <c r="F621" s="189">
        <f t="shared" si="84"/>
        <v>0</v>
      </c>
      <c r="G621" s="182">
        <v>14436800.212217052</v>
      </c>
      <c r="H621" s="182"/>
      <c r="I621" s="182">
        <v>13766462.546536587</v>
      </c>
      <c r="J621" s="182"/>
      <c r="K621" s="182">
        <v>13128576.474215616</v>
      </c>
      <c r="L621" s="182"/>
      <c r="M621" s="182">
        <v>13128576.474215616</v>
      </c>
      <c r="N621" s="182">
        <v>0</v>
      </c>
      <c r="O621" s="182">
        <v>13798914.13989608</v>
      </c>
      <c r="P621" s="182">
        <v>670337.66568046506</v>
      </c>
      <c r="Q621" s="182">
        <v>1.0715709469057089E-2</v>
      </c>
      <c r="R621" s="182">
        <v>0</v>
      </c>
      <c r="S621" s="182">
        <f t="shared" si="83"/>
        <v>141006757.76459587</v>
      </c>
      <c r="T621" s="192">
        <f t="shared" si="85"/>
        <v>1.076661281527147E-2</v>
      </c>
      <c r="Y621" s="192" t="e">
        <f t="shared" si="86"/>
        <v>#DIV/0!</v>
      </c>
    </row>
    <row r="622" spans="1:25" ht="14.4">
      <c r="A622" s="187">
        <f t="shared" si="87"/>
        <v>52800</v>
      </c>
      <c r="B622" s="182">
        <v>15351738.741214776</v>
      </c>
      <c r="C622" s="182">
        <v>647573.32534644718</v>
      </c>
      <c r="D622" s="182">
        <v>14704165.415868329</v>
      </c>
      <c r="E622" s="182">
        <v>0</v>
      </c>
      <c r="F622" s="189">
        <f t="shared" si="84"/>
        <v>0</v>
      </c>
      <c r="G622" s="182">
        <v>15351738.741214776</v>
      </c>
      <c r="H622" s="182"/>
      <c r="I622" s="182">
        <v>14704165.415868329</v>
      </c>
      <c r="J622" s="182"/>
      <c r="K622" s="182">
        <v>13989742.520625522</v>
      </c>
      <c r="L622" s="182"/>
      <c r="M622" s="182">
        <v>13989742.520625522</v>
      </c>
      <c r="N622" s="182">
        <v>0</v>
      </c>
      <c r="O622" s="182">
        <v>14637315.84597197</v>
      </c>
      <c r="P622" s="182">
        <v>647573.32534644718</v>
      </c>
      <c r="Q622" s="182">
        <v>1.070902253464534E-2</v>
      </c>
      <c r="R622" s="182">
        <v>0</v>
      </c>
      <c r="S622" s="182">
        <f t="shared" si="83"/>
        <v>141154986.843952</v>
      </c>
      <c r="T622" s="192">
        <f t="shared" si="85"/>
        <v>1.0755925426326307E-2</v>
      </c>
      <c r="Y622" s="192" t="e">
        <f t="shared" si="86"/>
        <v>#DIV/0!</v>
      </c>
    </row>
    <row r="623" spans="1:25" ht="14.4">
      <c r="A623" s="187">
        <f t="shared" si="87"/>
        <v>52831</v>
      </c>
      <c r="B623" s="182">
        <v>15627888.519101098</v>
      </c>
      <c r="C623" s="182">
        <v>684860.02037259948</v>
      </c>
      <c r="D623" s="182">
        <v>14943028.498728499</v>
      </c>
      <c r="E623" s="182">
        <v>0</v>
      </c>
      <c r="F623" s="189">
        <f t="shared" si="84"/>
        <v>0</v>
      </c>
      <c r="G623" s="182">
        <v>15627888.519101098</v>
      </c>
      <c r="H623" s="182"/>
      <c r="I623" s="182">
        <v>14943028.498728499</v>
      </c>
      <c r="J623" s="182"/>
      <c r="K623" s="182">
        <v>14175910.180192117</v>
      </c>
      <c r="L623" s="182"/>
      <c r="M623" s="182">
        <v>14175910.180192117</v>
      </c>
      <c r="N623" s="182">
        <v>0</v>
      </c>
      <c r="O623" s="182">
        <v>14860770.200564716</v>
      </c>
      <c r="P623" s="182">
        <v>684860.02037259948</v>
      </c>
      <c r="Q623" s="182">
        <v>1.0701800119602201E-2</v>
      </c>
      <c r="R623" s="182">
        <v>0</v>
      </c>
      <c r="S623" s="182">
        <f t="shared" si="83"/>
        <v>141305088.24601135</v>
      </c>
      <c r="T623" s="192">
        <f t="shared" si="85"/>
        <v>1.0745123759581032E-2</v>
      </c>
      <c r="Y623" s="192" t="e">
        <f t="shared" si="86"/>
        <v>#DIV/0!</v>
      </c>
    </row>
    <row r="624" spans="1:25" ht="14.4">
      <c r="A624" s="187">
        <f t="shared" si="87"/>
        <v>52862</v>
      </c>
      <c r="B624" s="182">
        <v>14388677.460531186</v>
      </c>
      <c r="C624" s="182">
        <v>659727.77614487882</v>
      </c>
      <c r="D624" s="182">
        <v>13728949.684386307</v>
      </c>
      <c r="E624" s="182">
        <v>0</v>
      </c>
      <c r="F624" s="189">
        <f t="shared" si="84"/>
        <v>0</v>
      </c>
      <c r="G624" s="182">
        <v>14388677.460531186</v>
      </c>
      <c r="H624" s="182"/>
      <c r="I624" s="182">
        <v>13728949.684386307</v>
      </c>
      <c r="J624" s="182"/>
      <c r="K624" s="182">
        <v>13024092.553964419</v>
      </c>
      <c r="L624" s="182"/>
      <c r="M624" s="182">
        <v>13024092.553964419</v>
      </c>
      <c r="N624" s="182">
        <v>0</v>
      </c>
      <c r="O624" s="182">
        <v>13683820.330109298</v>
      </c>
      <c r="P624" s="182">
        <v>659727.77614487882</v>
      </c>
      <c r="Q624" s="182">
        <v>1.0690969485647628E-2</v>
      </c>
      <c r="R624" s="182">
        <v>0</v>
      </c>
      <c r="S624" s="182">
        <f t="shared" si="83"/>
        <v>141442855.55597705</v>
      </c>
      <c r="T624" s="192">
        <f t="shared" si="85"/>
        <v>1.0735233692380941E-2</v>
      </c>
      <c r="Y624" s="192" t="e">
        <f t="shared" si="86"/>
        <v>#DIV/0!</v>
      </c>
    </row>
    <row r="625" spans="1:25" ht="14.4">
      <c r="A625" s="187">
        <f t="shared" si="87"/>
        <v>52892</v>
      </c>
      <c r="B625" s="182">
        <v>13494081.709594544</v>
      </c>
      <c r="C625" s="182">
        <v>604285.31930132292</v>
      </c>
      <c r="D625" s="182">
        <v>12889796.390293222</v>
      </c>
      <c r="E625" s="182">
        <v>0</v>
      </c>
      <c r="F625" s="189">
        <f t="shared" si="84"/>
        <v>0</v>
      </c>
      <c r="G625" s="182">
        <v>13494081.709594544</v>
      </c>
      <c r="H625" s="182"/>
      <c r="I625" s="182">
        <v>12889796.390293222</v>
      </c>
      <c r="J625" s="182"/>
      <c r="K625" s="182">
        <v>12228377.906365104</v>
      </c>
      <c r="L625" s="182"/>
      <c r="M625" s="182">
        <v>12228377.906365104</v>
      </c>
      <c r="N625" s="182">
        <v>0</v>
      </c>
      <c r="O625" s="182">
        <v>12832663.225666426</v>
      </c>
      <c r="P625" s="182">
        <v>604285.31930132292</v>
      </c>
      <c r="Q625" s="182">
        <v>1.0679207463289986E-2</v>
      </c>
      <c r="R625" s="182">
        <v>0</v>
      </c>
      <c r="S625" s="182">
        <f t="shared" si="83"/>
        <v>141572065.08520973</v>
      </c>
      <c r="T625" s="192">
        <f t="shared" si="85"/>
        <v>1.0725977705197121E-2</v>
      </c>
      <c r="Y625" s="192" t="e">
        <f t="shared" si="86"/>
        <v>#DIV/0!</v>
      </c>
    </row>
    <row r="626" spans="1:25" ht="14.4">
      <c r="A626" s="187">
        <f t="shared" si="87"/>
        <v>52923</v>
      </c>
      <c r="B626" s="182">
        <v>11286457.19786836</v>
      </c>
      <c r="C626" s="182">
        <v>541859.98378052306</v>
      </c>
      <c r="D626" s="182">
        <v>10744597.214087836</v>
      </c>
      <c r="E626" s="182">
        <v>0</v>
      </c>
      <c r="F626" s="189">
        <f t="shared" si="84"/>
        <v>0</v>
      </c>
      <c r="G626" s="182">
        <v>11286457.19786836</v>
      </c>
      <c r="H626" s="182"/>
      <c r="I626" s="182">
        <v>10744597.214087836</v>
      </c>
      <c r="J626" s="182"/>
      <c r="K626" s="182">
        <v>10253035.081866341</v>
      </c>
      <c r="L626" s="182"/>
      <c r="M626" s="182">
        <v>10253035.081866341</v>
      </c>
      <c r="N626" s="182">
        <v>0</v>
      </c>
      <c r="O626" s="182">
        <v>10794895.065646864</v>
      </c>
      <c r="P626" s="182">
        <v>541859.98378052306</v>
      </c>
      <c r="Q626" s="182">
        <v>1.0664050378900836E-2</v>
      </c>
      <c r="R626" s="182">
        <v>0</v>
      </c>
      <c r="S626" s="182">
        <f t="shared" si="83"/>
        <v>141680250.27553949</v>
      </c>
      <c r="T626" s="192">
        <f t="shared" si="85"/>
        <v>1.0718240496018439E-2</v>
      </c>
      <c r="Y626" s="192" t="e">
        <f t="shared" si="86"/>
        <v>#DIV/0!</v>
      </c>
    </row>
    <row r="627" spans="1:25" ht="14.4">
      <c r="A627" s="187">
        <f t="shared" si="87"/>
        <v>52953</v>
      </c>
      <c r="B627" s="182">
        <v>11623489.41576511</v>
      </c>
      <c r="C627" s="182">
        <v>514907.64634733368</v>
      </c>
      <c r="D627" s="182">
        <v>11108581.769417778</v>
      </c>
      <c r="E627" s="182">
        <v>0</v>
      </c>
      <c r="F627" s="189">
        <f t="shared" si="84"/>
        <v>0</v>
      </c>
      <c r="G627" s="182">
        <v>11623489.41576511</v>
      </c>
      <c r="H627" s="182"/>
      <c r="I627" s="182">
        <v>11108581.769417778</v>
      </c>
      <c r="J627" s="182"/>
      <c r="K627" s="182">
        <v>10552648.280688968</v>
      </c>
      <c r="L627" s="182"/>
      <c r="M627" s="182">
        <v>10552648.280688968</v>
      </c>
      <c r="N627" s="182">
        <v>0</v>
      </c>
      <c r="O627" s="182">
        <v>11067555.9270363</v>
      </c>
      <c r="P627" s="182">
        <v>514907.64634733368</v>
      </c>
      <c r="Q627" s="182">
        <v>1.0655734762290425E-2</v>
      </c>
      <c r="R627" s="182">
        <v>0</v>
      </c>
      <c r="S627" s="182">
        <f t="shared" si="83"/>
        <v>141791510.93260702</v>
      </c>
      <c r="T627" s="192">
        <f t="shared" si="85"/>
        <v>1.0710296309349943E-2</v>
      </c>
      <c r="Y627" s="192" t="e">
        <f t="shared" si="86"/>
        <v>#DIV/0!</v>
      </c>
    </row>
    <row r="628" spans="1:25" ht="14.4">
      <c r="A628" s="187">
        <f t="shared" si="87"/>
        <v>52984</v>
      </c>
      <c r="B628" s="182">
        <v>11763595.040535791</v>
      </c>
      <c r="C628" s="182">
        <v>510967.05478699546</v>
      </c>
      <c r="D628" s="182">
        <v>11252627.985748796</v>
      </c>
      <c r="E628" s="182">
        <v>0</v>
      </c>
      <c r="F628" s="189">
        <f t="shared" si="84"/>
        <v>0</v>
      </c>
      <c r="G628" s="182">
        <v>11763595.040535791</v>
      </c>
      <c r="H628" s="182"/>
      <c r="I628" s="182">
        <v>11252627.985748796</v>
      </c>
      <c r="J628" s="182"/>
      <c r="K628" s="182">
        <v>10658534.298524447</v>
      </c>
      <c r="L628" s="182"/>
      <c r="M628" s="182">
        <v>10658534.298524447</v>
      </c>
      <c r="N628" s="182">
        <v>0</v>
      </c>
      <c r="O628" s="182">
        <v>11169501.353311442</v>
      </c>
      <c r="P628" s="182">
        <v>510967.05478699546</v>
      </c>
      <c r="Q628" s="182">
        <v>1.065712545668962E-2</v>
      </c>
      <c r="R628" s="182">
        <v>0</v>
      </c>
      <c r="S628" s="182">
        <f t="shared" si="83"/>
        <v>141903902.49878976</v>
      </c>
      <c r="T628" s="192">
        <f t="shared" si="85"/>
        <v>1.0702283440397808E-2</v>
      </c>
      <c r="Y628" s="192" t="e">
        <f t="shared" si="86"/>
        <v>#DIV/0!</v>
      </c>
    </row>
    <row r="629" spans="1:25" ht="14.4">
      <c r="A629" s="187">
        <f t="shared" si="87"/>
        <v>53015</v>
      </c>
      <c r="B629" s="182">
        <v>10861621.365836436</v>
      </c>
      <c r="C629" s="182">
        <v>493935.99835299514</v>
      </c>
      <c r="D629" s="182">
        <v>10367685.367483441</v>
      </c>
      <c r="E629" s="182">
        <v>0</v>
      </c>
      <c r="F629" s="189">
        <f t="shared" si="84"/>
        <v>0</v>
      </c>
      <c r="G629" s="182">
        <v>10861621.365836436</v>
      </c>
      <c r="H629" s="182"/>
      <c r="I629" s="182">
        <v>10367685.367483441</v>
      </c>
      <c r="J629" s="182"/>
      <c r="K629" s="182">
        <v>9822433.747210063</v>
      </c>
      <c r="L629" s="182"/>
      <c r="M629" s="182">
        <v>9822433.747210063</v>
      </c>
      <c r="N629" s="182">
        <v>0</v>
      </c>
      <c r="O629" s="182">
        <v>10316369.745563058</v>
      </c>
      <c r="P629" s="182">
        <v>493935.99835299514</v>
      </c>
      <c r="Q629" s="182">
        <v>1.0643897148307158E-2</v>
      </c>
      <c r="R629" s="182">
        <v>0</v>
      </c>
      <c r="S629" s="182">
        <f t="shared" si="83"/>
        <v>142007350.38468349</v>
      </c>
      <c r="T629" s="192">
        <f t="shared" si="85"/>
        <v>1.0694916359092144E-2</v>
      </c>
      <c r="Y629" s="192" t="e">
        <f t="shared" si="86"/>
        <v>#DIV/0!</v>
      </c>
    </row>
    <row r="630" spans="1:25" ht="14.4">
      <c r="A630" s="187">
        <f t="shared" si="87"/>
        <v>53044</v>
      </c>
      <c r="B630" s="182">
        <v>11929118.33320233</v>
      </c>
      <c r="C630" s="182">
        <v>582859.85185892205</v>
      </c>
      <c r="D630" s="182">
        <v>11346258.481343409</v>
      </c>
      <c r="E630" s="182">
        <v>0</v>
      </c>
      <c r="F630" s="189">
        <f t="shared" si="84"/>
        <v>0</v>
      </c>
      <c r="G630" s="182">
        <v>11929118.33320233</v>
      </c>
      <c r="H630" s="182"/>
      <c r="I630" s="182">
        <v>11346258.481343409</v>
      </c>
      <c r="J630" s="182"/>
      <c r="K630" s="182">
        <v>10758207.063074337</v>
      </c>
      <c r="L630" s="182"/>
      <c r="M630" s="182">
        <v>10758207.063074337</v>
      </c>
      <c r="N630" s="182">
        <v>0</v>
      </c>
      <c r="O630" s="182">
        <v>11341066.914933259</v>
      </c>
      <c r="P630" s="182">
        <v>582859.85185892205</v>
      </c>
      <c r="Q630" s="182">
        <v>1.063261312659125E-2</v>
      </c>
      <c r="R630" s="182">
        <v>0</v>
      </c>
      <c r="S630" s="182">
        <f t="shared" si="83"/>
        <v>142120534.79230273</v>
      </c>
      <c r="T630" s="192">
        <f t="shared" si="85"/>
        <v>1.0686863565553706E-2</v>
      </c>
      <c r="Y630" s="192" t="e">
        <f t="shared" si="86"/>
        <v>#DIV/0!</v>
      </c>
    </row>
    <row r="631" spans="1:25" ht="14.4">
      <c r="A631" s="187">
        <f t="shared" si="87"/>
        <v>53075</v>
      </c>
      <c r="B631" s="182">
        <v>12280945.121887501</v>
      </c>
      <c r="C631" s="182">
        <v>633699.66870993259</v>
      </c>
      <c r="D631" s="182">
        <v>11647245.453177569</v>
      </c>
      <c r="E631" s="182">
        <v>0</v>
      </c>
      <c r="F631" s="189">
        <f t="shared" si="84"/>
        <v>0</v>
      </c>
      <c r="G631" s="182">
        <v>12280945.121887501</v>
      </c>
      <c r="H631" s="182"/>
      <c r="I631" s="182">
        <v>11647245.453177569</v>
      </c>
      <c r="J631" s="182"/>
      <c r="K631" s="182">
        <v>11086527.876458343</v>
      </c>
      <c r="L631" s="182"/>
      <c r="M631" s="182">
        <v>11086527.876458343</v>
      </c>
      <c r="N631" s="182">
        <v>0</v>
      </c>
      <c r="O631" s="182">
        <v>11720227.545168275</v>
      </c>
      <c r="P631" s="182">
        <v>633699.66870993259</v>
      </c>
      <c r="Q631" s="182">
        <v>1.0626005753415102E-2</v>
      </c>
      <c r="R631" s="182">
        <v>0</v>
      </c>
      <c r="S631" s="182">
        <f t="shared" si="83"/>
        <v>142237101.66108501</v>
      </c>
      <c r="T631" s="192">
        <f t="shared" si="85"/>
        <v>1.0678583085342419E-2</v>
      </c>
      <c r="Y631" s="192" t="e">
        <f t="shared" si="86"/>
        <v>#DIV/0!</v>
      </c>
    </row>
    <row r="632" spans="1:25" ht="14.4">
      <c r="A632" s="187">
        <f t="shared" si="87"/>
        <v>53105</v>
      </c>
      <c r="B632" s="182">
        <v>13953575.636074653</v>
      </c>
      <c r="C632" s="182">
        <v>652995.66708541312</v>
      </c>
      <c r="D632" s="182">
        <v>13300579.96898924</v>
      </c>
      <c r="E632" s="182">
        <v>0</v>
      </c>
      <c r="F632" s="189">
        <f t="shared" si="84"/>
        <v>0</v>
      </c>
      <c r="G632" s="182">
        <v>13953575.636074653</v>
      </c>
      <c r="H632" s="182"/>
      <c r="I632" s="182">
        <v>13300579.96898924</v>
      </c>
      <c r="J632" s="182"/>
      <c r="K632" s="182">
        <v>12692416.146599466</v>
      </c>
      <c r="L632" s="182"/>
      <c r="M632" s="182">
        <v>12692416.146599466</v>
      </c>
      <c r="N632" s="182">
        <v>0</v>
      </c>
      <c r="O632" s="182">
        <v>13345411.813684879</v>
      </c>
      <c r="P632" s="182">
        <v>652995.66708541312</v>
      </c>
      <c r="Q632" s="182">
        <v>1.0621888858253881E-2</v>
      </c>
      <c r="R632" s="182">
        <v>0</v>
      </c>
      <c r="S632" s="182">
        <f t="shared" si="83"/>
        <v>142370502.12978473</v>
      </c>
      <c r="T632" s="192">
        <f t="shared" si="85"/>
        <v>1.0669133290615029E-2</v>
      </c>
      <c r="Y632" s="192" t="e">
        <f t="shared" si="86"/>
        <v>#DIV/0!</v>
      </c>
    </row>
    <row r="633" spans="1:25" ht="14.4">
      <c r="A633" s="187">
        <f t="shared" si="87"/>
        <v>53136</v>
      </c>
      <c r="B633" s="182">
        <v>14592732.951076444</v>
      </c>
      <c r="C633" s="182">
        <v>680094.37419401831</v>
      </c>
      <c r="D633" s="182">
        <v>13912638.576882426</v>
      </c>
      <c r="E633" s="182">
        <v>0</v>
      </c>
      <c r="F633" s="189">
        <f t="shared" si="84"/>
        <v>0</v>
      </c>
      <c r="G633" s="182">
        <v>14592732.951076444</v>
      </c>
      <c r="H633" s="182"/>
      <c r="I633" s="182">
        <v>13912638.576882426</v>
      </c>
      <c r="J633" s="182"/>
      <c r="K633" s="182">
        <v>13267862.659105735</v>
      </c>
      <c r="L633" s="182"/>
      <c r="M633" s="182">
        <v>13267862.659105735</v>
      </c>
      <c r="N633" s="182">
        <v>0</v>
      </c>
      <c r="O633" s="182">
        <v>13947957.033299753</v>
      </c>
      <c r="P633" s="182">
        <v>680094.37419401831</v>
      </c>
      <c r="Q633" s="182">
        <v>1.0609389766184973E-2</v>
      </c>
      <c r="R633" s="182">
        <v>0</v>
      </c>
      <c r="S633" s="182">
        <f t="shared" si="83"/>
        <v>142509788.31467485</v>
      </c>
      <c r="T633" s="192">
        <f t="shared" si="85"/>
        <v>1.065928026363272E-2</v>
      </c>
      <c r="Y633" s="192" t="e">
        <f t="shared" si="86"/>
        <v>#DIV/0!</v>
      </c>
    </row>
    <row r="634" spans="1:25" ht="14.4">
      <c r="A634" s="187">
        <f t="shared" si="87"/>
        <v>53166</v>
      </c>
      <c r="B634" s="182">
        <v>15517155.213068476</v>
      </c>
      <c r="C634" s="182">
        <v>656960.66133732593</v>
      </c>
      <c r="D634" s="182">
        <v>14860194.551731151</v>
      </c>
      <c r="E634" s="182">
        <v>0</v>
      </c>
      <c r="F634" s="189">
        <f t="shared" si="84"/>
        <v>0</v>
      </c>
      <c r="G634" s="182">
        <v>15517155.213068476</v>
      </c>
      <c r="H634" s="182"/>
      <c r="I634" s="182">
        <v>14860194.551731151</v>
      </c>
      <c r="J634" s="182"/>
      <c r="K634" s="182">
        <v>14138073.680595536</v>
      </c>
      <c r="L634" s="182"/>
      <c r="M634" s="182">
        <v>14138073.680595536</v>
      </c>
      <c r="N634" s="182">
        <v>0</v>
      </c>
      <c r="O634" s="182">
        <v>14795034.341932861</v>
      </c>
      <c r="P634" s="182">
        <v>656960.66133732593</v>
      </c>
      <c r="Q634" s="182">
        <v>1.0602851321339424E-2</v>
      </c>
      <c r="R634" s="182">
        <v>0</v>
      </c>
      <c r="S634" s="182">
        <f t="shared" si="83"/>
        <v>142658119.47464487</v>
      </c>
      <c r="T634" s="192">
        <f t="shared" si="85"/>
        <v>1.0648809966272044E-2</v>
      </c>
      <c r="Y634" s="192" t="e">
        <f t="shared" si="86"/>
        <v>#DIV/0!</v>
      </c>
    </row>
    <row r="635" spans="1:25" ht="14.4">
      <c r="A635" s="187">
        <f t="shared" si="87"/>
        <v>53197</v>
      </c>
      <c r="B635" s="182">
        <v>15796309.585728852</v>
      </c>
      <c r="C635" s="182">
        <v>694809.44606093853</v>
      </c>
      <c r="D635" s="182">
        <v>15101500.139667913</v>
      </c>
      <c r="E635" s="182">
        <v>0</v>
      </c>
      <c r="F635" s="189">
        <f t="shared" si="84"/>
        <v>0</v>
      </c>
      <c r="G635" s="182">
        <v>15796309.585728852</v>
      </c>
      <c r="H635" s="182"/>
      <c r="I635" s="182">
        <v>15101500.139667913</v>
      </c>
      <c r="J635" s="182"/>
      <c r="K635" s="182">
        <v>14326114.620781356</v>
      </c>
      <c r="L635" s="182"/>
      <c r="M635" s="182">
        <v>14326114.620781356</v>
      </c>
      <c r="N635" s="182">
        <v>0</v>
      </c>
      <c r="O635" s="182">
        <v>15020924.066842295</v>
      </c>
      <c r="P635" s="182">
        <v>694809.44606093853</v>
      </c>
      <c r="Q635" s="182">
        <v>1.0595752842672335E-2</v>
      </c>
      <c r="R635" s="182">
        <v>0</v>
      </c>
      <c r="S635" s="182">
        <f t="shared" si="83"/>
        <v>142808323.91523412</v>
      </c>
      <c r="T635" s="192">
        <f t="shared" si="85"/>
        <v>1.0638227454383253E-2</v>
      </c>
      <c r="Y635" s="192" t="e">
        <f t="shared" si="86"/>
        <v>#DIV/0!</v>
      </c>
    </row>
    <row r="636" spans="1:25" ht="14.4">
      <c r="A636" s="187">
        <f t="shared" si="87"/>
        <v>53228</v>
      </c>
      <c r="B636" s="182">
        <v>14543757.444231363</v>
      </c>
      <c r="C636" s="182">
        <v>669348.47541714041</v>
      </c>
      <c r="D636" s="182">
        <v>13874408.968814222</v>
      </c>
      <c r="E636" s="182">
        <v>0</v>
      </c>
      <c r="F636" s="189">
        <f t="shared" si="84"/>
        <v>0</v>
      </c>
      <c r="G636" s="182">
        <v>14543757.444231363</v>
      </c>
      <c r="H636" s="182"/>
      <c r="I636" s="182">
        <v>13874408.968814222</v>
      </c>
      <c r="J636" s="182"/>
      <c r="K636" s="182">
        <v>13161954.946141699</v>
      </c>
      <c r="L636" s="182"/>
      <c r="M636" s="182">
        <v>13161954.946141699</v>
      </c>
      <c r="N636" s="182">
        <v>0</v>
      </c>
      <c r="O636" s="182">
        <v>13831303.42155884</v>
      </c>
      <c r="P636" s="182">
        <v>669348.47541714041</v>
      </c>
      <c r="Q636" s="182">
        <v>1.0585182161909401E-2</v>
      </c>
      <c r="R636" s="182">
        <v>0</v>
      </c>
      <c r="S636" s="182">
        <f t="shared" si="83"/>
        <v>142946186.3074114</v>
      </c>
      <c r="T636" s="192">
        <f t="shared" si="85"/>
        <v>1.0628537903347057E-2</v>
      </c>
      <c r="Y636" s="192" t="e">
        <f t="shared" si="86"/>
        <v>#DIV/0!</v>
      </c>
    </row>
    <row r="637" spans="1:25" ht="14.4">
      <c r="A637" s="187">
        <f t="shared" si="87"/>
        <v>53258</v>
      </c>
      <c r="B637" s="182">
        <v>13639308.89072302</v>
      </c>
      <c r="C637" s="182">
        <v>613095.12905440514</v>
      </c>
      <c r="D637" s="182">
        <v>13026213.761668615</v>
      </c>
      <c r="E637" s="182">
        <v>0</v>
      </c>
      <c r="F637" s="189">
        <f t="shared" si="84"/>
        <v>0</v>
      </c>
      <c r="G637" s="182">
        <v>13639308.89072302</v>
      </c>
      <c r="H637" s="182"/>
      <c r="I637" s="182">
        <v>13026213.761668615</v>
      </c>
      <c r="J637" s="182"/>
      <c r="K637" s="182">
        <v>12357676.902141893</v>
      </c>
      <c r="L637" s="182"/>
      <c r="M637" s="182">
        <v>12357676.902141893</v>
      </c>
      <c r="N637" s="182">
        <v>0</v>
      </c>
      <c r="O637" s="182">
        <v>12970772.031196298</v>
      </c>
      <c r="P637" s="182">
        <v>613095.12905440514</v>
      </c>
      <c r="Q637" s="182">
        <v>1.0573683342701257E-2</v>
      </c>
      <c r="R637" s="182">
        <v>0</v>
      </c>
      <c r="S637" s="182">
        <f t="shared" si="83"/>
        <v>143075485.3031882</v>
      </c>
      <c r="T637" s="192">
        <f t="shared" si="85"/>
        <v>1.0619469434691053E-2</v>
      </c>
      <c r="Y637" s="192" t="e">
        <f t="shared" si="86"/>
        <v>#DIV/0!</v>
      </c>
    </row>
    <row r="638" spans="1:25" ht="14.4">
      <c r="A638" s="187">
        <f t="shared" si="87"/>
        <v>53289</v>
      </c>
      <c r="B638" s="182">
        <v>11407926.088801678</v>
      </c>
      <c r="C638" s="182">
        <v>549778.46244595805</v>
      </c>
      <c r="D638" s="182">
        <v>10858147.626355721</v>
      </c>
      <c r="E638" s="182">
        <v>0</v>
      </c>
      <c r="F638" s="189">
        <f t="shared" si="84"/>
        <v>0</v>
      </c>
      <c r="G638" s="182">
        <v>11407926.088801678</v>
      </c>
      <c r="H638" s="182"/>
      <c r="I638" s="182">
        <v>10858147.626355721</v>
      </c>
      <c r="J638" s="182"/>
      <c r="K638" s="182">
        <v>10361295.12657433</v>
      </c>
      <c r="L638" s="182"/>
      <c r="M638" s="182">
        <v>10361295.12657433</v>
      </c>
      <c r="N638" s="182">
        <v>0</v>
      </c>
      <c r="O638" s="182">
        <v>10911073.589020288</v>
      </c>
      <c r="P638" s="182">
        <v>549778.46244595805</v>
      </c>
      <c r="Q638" s="182">
        <v>1.0558829053404883E-2</v>
      </c>
      <c r="R638" s="182">
        <v>0</v>
      </c>
      <c r="S638" s="182">
        <f t="shared" si="83"/>
        <v>143183745.34789619</v>
      </c>
      <c r="T638" s="192">
        <f t="shared" si="85"/>
        <v>1.0611888879591191E-2</v>
      </c>
      <c r="Y638" s="192" t="e">
        <f t="shared" si="86"/>
        <v>#DIV/0!</v>
      </c>
    </row>
    <row r="639" spans="1:25" ht="14.4">
      <c r="A639" s="187">
        <f t="shared" si="87"/>
        <v>53319</v>
      </c>
      <c r="B639" s="182">
        <v>11748304.36234278</v>
      </c>
      <c r="C639" s="182">
        <v>522415.17404709215</v>
      </c>
      <c r="D639" s="182">
        <v>11225889.188295688</v>
      </c>
      <c r="E639" s="182">
        <v>0</v>
      </c>
      <c r="F639" s="189">
        <f t="shared" si="84"/>
        <v>0</v>
      </c>
      <c r="G639" s="182">
        <v>11748304.36234278</v>
      </c>
      <c r="H639" s="182"/>
      <c r="I639" s="182">
        <v>11225889.188295688</v>
      </c>
      <c r="J639" s="182"/>
      <c r="K639" s="182">
        <v>10663985.994066712</v>
      </c>
      <c r="L639" s="182"/>
      <c r="M639" s="182">
        <v>10663985.994066712</v>
      </c>
      <c r="N639" s="182">
        <v>0</v>
      </c>
      <c r="O639" s="182">
        <v>11186401.168113803</v>
      </c>
      <c r="P639" s="182">
        <v>522415.17404709215</v>
      </c>
      <c r="Q639" s="182">
        <v>1.0550689307203376E-2</v>
      </c>
      <c r="R639" s="182">
        <v>0</v>
      </c>
      <c r="S639" s="182">
        <f t="shared" si="83"/>
        <v>143295083.06127393</v>
      </c>
      <c r="T639" s="192">
        <f t="shared" si="85"/>
        <v>1.0604105413486664E-2</v>
      </c>
      <c r="Y639" s="192" t="e">
        <f t="shared" si="86"/>
        <v>#DIV/0!</v>
      </c>
    </row>
    <row r="640" spans="1:25" ht="14.4">
      <c r="A640" s="187">
        <f t="shared" si="87"/>
        <v>53350</v>
      </c>
      <c r="B640" s="182">
        <v>11889890.366935264</v>
      </c>
      <c r="C640" s="182">
        <v>518414.81620204443</v>
      </c>
      <c r="D640" s="182">
        <v>11371475.55073322</v>
      </c>
      <c r="E640" s="182">
        <v>0</v>
      </c>
      <c r="F640" s="189">
        <f t="shared" si="84"/>
        <v>0</v>
      </c>
      <c r="G640" s="182">
        <v>11889890.366935264</v>
      </c>
      <c r="H640" s="182"/>
      <c r="I640" s="182">
        <v>11371475.55073322</v>
      </c>
      <c r="J640" s="182"/>
      <c r="K640" s="182">
        <v>10771003.604491852</v>
      </c>
      <c r="L640" s="182"/>
      <c r="M640" s="182">
        <v>10771003.604491852</v>
      </c>
      <c r="N640" s="182">
        <v>0</v>
      </c>
      <c r="O640" s="182">
        <v>11289418.420693897</v>
      </c>
      <c r="P640" s="182">
        <v>518414.81620204443</v>
      </c>
      <c r="Q640" s="182">
        <v>1.055204241196428E-2</v>
      </c>
      <c r="R640" s="182">
        <v>0</v>
      </c>
      <c r="S640" s="182">
        <f t="shared" si="83"/>
        <v>143407552.36724135</v>
      </c>
      <c r="T640" s="192">
        <f t="shared" si="85"/>
        <v>1.0596254521361148E-2</v>
      </c>
      <c r="Y640" s="192" t="e">
        <f t="shared" si="86"/>
        <v>#DIV/0!</v>
      </c>
    </row>
    <row r="641" spans="1:25" ht="14.4">
      <c r="A641" s="187">
        <f t="shared" si="87"/>
        <v>53381</v>
      </c>
      <c r="B641" s="182">
        <v>10978197.105066281</v>
      </c>
      <c r="C641" s="182">
        <v>501140.66173387406</v>
      </c>
      <c r="D641" s="182">
        <v>10477056.443332408</v>
      </c>
      <c r="E641" s="182">
        <v>0</v>
      </c>
      <c r="F641" s="189">
        <f t="shared" si="84"/>
        <v>0</v>
      </c>
      <c r="G641" s="182">
        <v>10978197.105066281</v>
      </c>
      <c r="H641" s="182"/>
      <c r="I641" s="182">
        <v>10477056.443332408</v>
      </c>
      <c r="J641" s="182"/>
      <c r="K641" s="182">
        <v>9925952.7399713639</v>
      </c>
      <c r="L641" s="182"/>
      <c r="M641" s="182">
        <v>9925952.7399713639</v>
      </c>
      <c r="N641" s="182">
        <v>0</v>
      </c>
      <c r="O641" s="182">
        <v>10427093.401705237</v>
      </c>
      <c r="P641" s="182">
        <v>501140.66173387406</v>
      </c>
      <c r="Q641" s="182">
        <v>1.0539037007065932E-2</v>
      </c>
      <c r="R641" s="182">
        <v>0</v>
      </c>
      <c r="S641" s="182">
        <f t="shared" si="83"/>
        <v>143511071.36000267</v>
      </c>
      <c r="T641" s="192">
        <f t="shared" si="85"/>
        <v>1.0589036210067571E-2</v>
      </c>
      <c r="Y641" s="192" t="e">
        <f t="shared" si="86"/>
        <v>#DIV/0!</v>
      </c>
    </row>
    <row r="642" spans="1:25" ht="14.4">
      <c r="A642" s="187">
        <f t="shared" si="87"/>
        <v>53410</v>
      </c>
      <c r="B642" s="182">
        <v>12057203.222808734</v>
      </c>
      <c r="C642" s="182">
        <v>591369.20008104388</v>
      </c>
      <c r="D642" s="182">
        <v>11465834.022727691</v>
      </c>
      <c r="E642" s="182">
        <v>0</v>
      </c>
      <c r="F642" s="189">
        <f t="shared" si="84"/>
        <v>0</v>
      </c>
      <c r="G642" s="182">
        <v>12057203.222808734</v>
      </c>
      <c r="H642" s="182"/>
      <c r="I642" s="182">
        <v>11465834.022727691</v>
      </c>
      <c r="J642" s="182"/>
      <c r="K642" s="182">
        <v>10871468.600448593</v>
      </c>
      <c r="L642" s="182"/>
      <c r="M642" s="182">
        <v>10871468.600448593</v>
      </c>
      <c r="N642" s="182">
        <v>0</v>
      </c>
      <c r="O642" s="182">
        <v>11462837.800529638</v>
      </c>
      <c r="P642" s="182">
        <v>591369.20008104388</v>
      </c>
      <c r="Q642" s="182">
        <v>1.0527919448864997E-2</v>
      </c>
      <c r="R642" s="182">
        <v>0</v>
      </c>
      <c r="S642" s="182">
        <f t="shared" si="83"/>
        <v>143624332.89737689</v>
      </c>
      <c r="T642" s="192">
        <f t="shared" si="85"/>
        <v>1.0581145837030848E-2</v>
      </c>
      <c r="Y642" s="192" t="e">
        <f t="shared" si="86"/>
        <v>#DIV/0!</v>
      </c>
    </row>
    <row r="643" spans="1:25" ht="14.4">
      <c r="A643" s="187">
        <f t="shared" si="87"/>
        <v>53441</v>
      </c>
      <c r="B643" s="182">
        <v>12412875.227910722</v>
      </c>
      <c r="C643" s="182">
        <v>642959.94900442567</v>
      </c>
      <c r="D643" s="182">
        <v>11769915.278906297</v>
      </c>
      <c r="E643" s="182">
        <v>0</v>
      </c>
      <c r="F643" s="189">
        <f t="shared" si="84"/>
        <v>0</v>
      </c>
      <c r="G643" s="182">
        <v>12412875.227910722</v>
      </c>
      <c r="H643" s="182"/>
      <c r="I643" s="182">
        <v>11769915.278906297</v>
      </c>
      <c r="J643" s="182"/>
      <c r="K643" s="182">
        <v>11203174.099881917</v>
      </c>
      <c r="L643" s="182"/>
      <c r="M643" s="182">
        <v>11203174.099881917</v>
      </c>
      <c r="N643" s="182">
        <v>0</v>
      </c>
      <c r="O643" s="182">
        <v>11846134.048886344</v>
      </c>
      <c r="P643" s="182">
        <v>642959.94900442567</v>
      </c>
      <c r="Q643" s="182">
        <v>1.0521438697796981E-2</v>
      </c>
      <c r="R643" s="182">
        <v>0</v>
      </c>
      <c r="S643" s="182">
        <f t="shared" si="83"/>
        <v>143740979.1208005</v>
      </c>
      <c r="T643" s="192">
        <f t="shared" si="85"/>
        <v>1.0573032226843582E-2</v>
      </c>
      <c r="Y643" s="192" t="e">
        <f t="shared" si="86"/>
        <v>#DIV/0!</v>
      </c>
    </row>
    <row r="644" spans="1:25" ht="14.4">
      <c r="A644" s="187">
        <f t="shared" si="87"/>
        <v>53471</v>
      </c>
      <c r="B644" s="182">
        <v>14103102.815282213</v>
      </c>
      <c r="C644" s="182">
        <v>662513.08526688453</v>
      </c>
      <c r="D644" s="182">
        <v>13440589.730015328</v>
      </c>
      <c r="E644" s="182">
        <v>0</v>
      </c>
      <c r="F644" s="189">
        <f t="shared" si="84"/>
        <v>0</v>
      </c>
      <c r="G644" s="182">
        <v>14103102.815282213</v>
      </c>
      <c r="H644" s="182"/>
      <c r="I644" s="182">
        <v>13440589.730015328</v>
      </c>
      <c r="J644" s="182"/>
      <c r="K644" s="182">
        <v>12825908.795221552</v>
      </c>
      <c r="L644" s="182"/>
      <c r="M644" s="182">
        <v>12825908.795221552</v>
      </c>
      <c r="N644" s="182">
        <v>0</v>
      </c>
      <c r="O644" s="182">
        <v>13488421.880488437</v>
      </c>
      <c r="P644" s="182">
        <v>662513.08526688453</v>
      </c>
      <c r="Q644" s="182">
        <v>1.0517512747787672E-2</v>
      </c>
      <c r="R644" s="182">
        <v>0</v>
      </c>
      <c r="S644" s="182">
        <f t="shared" ref="S644:S707" si="88">SUM(M633:M644)</f>
        <v>143874471.76942256</v>
      </c>
      <c r="T644" s="192">
        <f t="shared" si="85"/>
        <v>1.0563772812059113E-2</v>
      </c>
      <c r="Y644" s="192" t="e">
        <f t="shared" si="86"/>
        <v>#DIV/0!</v>
      </c>
    </row>
    <row r="645" spans="1:25" ht="14.4">
      <c r="A645" s="187">
        <f t="shared" si="87"/>
        <v>53502</v>
      </c>
      <c r="B645" s="182">
        <v>14748914.871899394</v>
      </c>
      <c r="C645" s="182">
        <v>689993.7652029267</v>
      </c>
      <c r="D645" s="182">
        <v>14058921.106696468</v>
      </c>
      <c r="E645" s="182">
        <v>0</v>
      </c>
      <c r="F645" s="189">
        <f t="shared" si="84"/>
        <v>0</v>
      </c>
      <c r="G645" s="182">
        <v>14748914.871899394</v>
      </c>
      <c r="H645" s="182"/>
      <c r="I645" s="182">
        <v>14058921.106696468</v>
      </c>
      <c r="J645" s="182"/>
      <c r="K645" s="182">
        <v>13407244.33342709</v>
      </c>
      <c r="L645" s="182"/>
      <c r="M645" s="182">
        <v>13407244.33342709</v>
      </c>
      <c r="N645" s="182">
        <v>0</v>
      </c>
      <c r="O645" s="182">
        <v>14097238.098630017</v>
      </c>
      <c r="P645" s="182">
        <v>689993.7652029267</v>
      </c>
      <c r="Q645" s="182">
        <v>1.0505209309330521E-2</v>
      </c>
      <c r="R645" s="182">
        <v>0</v>
      </c>
      <c r="S645" s="182">
        <f t="shared" si="88"/>
        <v>144013853.44374391</v>
      </c>
      <c r="T645" s="192">
        <f t="shared" si="85"/>
        <v>1.0554118049406869E-2</v>
      </c>
      <c r="Y645" s="192" t="e">
        <f t="shared" si="86"/>
        <v>#DIV/0!</v>
      </c>
    </row>
    <row r="646" spans="1:25" ht="14.4">
      <c r="A646" s="187">
        <f t="shared" si="87"/>
        <v>53532</v>
      </c>
      <c r="B646" s="182">
        <v>15682821.990632808</v>
      </c>
      <c r="C646" s="182">
        <v>666484.79612902761</v>
      </c>
      <c r="D646" s="182">
        <v>15016337.19450378</v>
      </c>
      <c r="E646" s="182">
        <v>0</v>
      </c>
      <c r="F646" s="189">
        <f t="shared" si="84"/>
        <v>0</v>
      </c>
      <c r="G646" s="182">
        <v>15682821.990632808</v>
      </c>
      <c r="H646" s="182"/>
      <c r="I646" s="182">
        <v>15016337.19450378</v>
      </c>
      <c r="J646" s="182"/>
      <c r="K646" s="182">
        <v>14286506.699014325</v>
      </c>
      <c r="L646" s="182"/>
      <c r="M646" s="182">
        <v>14286506.699014325</v>
      </c>
      <c r="N646" s="182">
        <v>0</v>
      </c>
      <c r="O646" s="182">
        <v>14952991.495143352</v>
      </c>
      <c r="P646" s="182">
        <v>666484.79612902761</v>
      </c>
      <c r="Q646" s="182">
        <v>1.0498814886112262E-2</v>
      </c>
      <c r="R646" s="182">
        <v>0</v>
      </c>
      <c r="S646" s="182">
        <f t="shared" si="88"/>
        <v>144162286.46216267</v>
      </c>
      <c r="T646" s="192">
        <f t="shared" si="85"/>
        <v>1.0543858232935355E-2</v>
      </c>
      <c r="Y646" s="192" t="e">
        <f t="shared" si="86"/>
        <v>#DIV/0!</v>
      </c>
    </row>
    <row r="647" spans="1:25" ht="14.4">
      <c r="A647" s="187">
        <f t="shared" si="87"/>
        <v>53563</v>
      </c>
      <c r="B647" s="182">
        <v>15964991.530923124</v>
      </c>
      <c r="C647" s="182">
        <v>704904.13618816342</v>
      </c>
      <c r="D647" s="182">
        <v>15260087.39473496</v>
      </c>
      <c r="E647" s="182">
        <v>0</v>
      </c>
      <c r="F647" s="189">
        <f t="shared" si="84"/>
        <v>0</v>
      </c>
      <c r="G647" s="182">
        <v>15964991.530923124</v>
      </c>
      <c r="H647" s="182"/>
      <c r="I647" s="182">
        <v>15260087.39473496</v>
      </c>
      <c r="J647" s="182"/>
      <c r="K647" s="182">
        <v>14476421.869882997</v>
      </c>
      <c r="L647" s="182"/>
      <c r="M647" s="182">
        <v>14476421.869882997</v>
      </c>
      <c r="N647" s="182">
        <v>0</v>
      </c>
      <c r="O647" s="182">
        <v>15181326.006071161</v>
      </c>
      <c r="P647" s="182">
        <v>704904.13618816342</v>
      </c>
      <c r="Q647" s="182">
        <v>1.0491836278037736E-2</v>
      </c>
      <c r="R647" s="182">
        <v>0</v>
      </c>
      <c r="S647" s="182">
        <f t="shared" si="88"/>
        <v>144312593.71126431</v>
      </c>
      <c r="T647" s="192">
        <f t="shared" si="85"/>
        <v>1.0533488208454012E-2</v>
      </c>
      <c r="Y647" s="192" t="e">
        <f t="shared" si="86"/>
        <v>#DIV/0!</v>
      </c>
    </row>
    <row r="648" spans="1:25" ht="14.4">
      <c r="A648" s="187">
        <f t="shared" si="87"/>
        <v>53594</v>
      </c>
      <c r="B648" s="182">
        <v>14699085.380634304</v>
      </c>
      <c r="C648" s="182">
        <v>679110.10152894945</v>
      </c>
      <c r="D648" s="182">
        <v>14019975.279105354</v>
      </c>
      <c r="E648" s="182">
        <v>0</v>
      </c>
      <c r="F648" s="189">
        <f t="shared" si="84"/>
        <v>0</v>
      </c>
      <c r="G648" s="182">
        <v>14699085.380634304</v>
      </c>
      <c r="H648" s="182"/>
      <c r="I648" s="182">
        <v>14019975.279105354</v>
      </c>
      <c r="J648" s="182"/>
      <c r="K648" s="182">
        <v>13299912.217740592</v>
      </c>
      <c r="L648" s="182"/>
      <c r="M648" s="182">
        <v>13299912.217740592</v>
      </c>
      <c r="N648" s="182">
        <v>0</v>
      </c>
      <c r="O648" s="182">
        <v>13979022.319269542</v>
      </c>
      <c r="P648" s="182">
        <v>679110.10152894945</v>
      </c>
      <c r="Q648" s="182">
        <v>1.0481518297502879E-2</v>
      </c>
      <c r="R648" s="182">
        <v>0</v>
      </c>
      <c r="S648" s="182">
        <f t="shared" si="88"/>
        <v>144450550.98286319</v>
      </c>
      <c r="T648" s="192">
        <f t="shared" si="85"/>
        <v>1.0523993079581739E-2</v>
      </c>
      <c r="Y648" s="192" t="e">
        <f t="shared" si="86"/>
        <v>#DIV/0!</v>
      </c>
    </row>
    <row r="649" spans="1:25" ht="14.4">
      <c r="A649" s="187">
        <f t="shared" si="87"/>
        <v>53624</v>
      </c>
      <c r="B649" s="182">
        <v>13784765.622854644</v>
      </c>
      <c r="C649" s="182">
        <v>622033.95738155302</v>
      </c>
      <c r="D649" s="182">
        <v>13162731.665473092</v>
      </c>
      <c r="E649" s="182">
        <v>0</v>
      </c>
      <c r="F649" s="189">
        <f t="shared" si="84"/>
        <v>0</v>
      </c>
      <c r="G649" s="182">
        <v>13784765.622854644</v>
      </c>
      <c r="H649" s="182"/>
      <c r="I649" s="182">
        <v>13162731.665473092</v>
      </c>
      <c r="J649" s="182"/>
      <c r="K649" s="182">
        <v>12487065.178802107</v>
      </c>
      <c r="L649" s="182"/>
      <c r="M649" s="182">
        <v>12487065.178802107</v>
      </c>
      <c r="N649" s="182">
        <v>0</v>
      </c>
      <c r="O649" s="182">
        <v>13109099.136183659</v>
      </c>
      <c r="P649" s="182">
        <v>622033.95738155302</v>
      </c>
      <c r="Q649" s="182">
        <v>1.0470275091735592E-2</v>
      </c>
      <c r="R649" s="182">
        <v>0</v>
      </c>
      <c r="S649" s="182">
        <f t="shared" si="88"/>
        <v>144579939.25952342</v>
      </c>
      <c r="T649" s="192">
        <f t="shared" si="85"/>
        <v>1.0515106435929011E-2</v>
      </c>
      <c r="Y649" s="192" t="e">
        <f t="shared" si="86"/>
        <v>#DIV/0!</v>
      </c>
    </row>
    <row r="650" spans="1:25" ht="14.4">
      <c r="A650" s="187">
        <f t="shared" si="87"/>
        <v>53655</v>
      </c>
      <c r="B650" s="182">
        <v>11529594.578889227</v>
      </c>
      <c r="C650" s="182">
        <v>557813.14357169624</v>
      </c>
      <c r="D650" s="182">
        <v>10971781.435317531</v>
      </c>
      <c r="E650" s="182">
        <v>0</v>
      </c>
      <c r="F650" s="189">
        <f t="shared" si="84"/>
        <v>0</v>
      </c>
      <c r="G650" s="182">
        <v>11529594.578889227</v>
      </c>
      <c r="H650" s="182"/>
      <c r="I650" s="182">
        <v>10971781.435317531</v>
      </c>
      <c r="J650" s="182"/>
      <c r="K650" s="182">
        <v>10469629.87478013</v>
      </c>
      <c r="L650" s="182"/>
      <c r="M650" s="182">
        <v>10469629.87478013</v>
      </c>
      <c r="N650" s="182">
        <v>0</v>
      </c>
      <c r="O650" s="182">
        <v>11027443.018351825</v>
      </c>
      <c r="P650" s="182">
        <v>557813.14357169624</v>
      </c>
      <c r="Q650" s="182">
        <v>1.0455714935476257E-2</v>
      </c>
      <c r="R650" s="182">
        <v>0</v>
      </c>
      <c r="S650" s="182">
        <f t="shared" si="88"/>
        <v>144688274.00772923</v>
      </c>
      <c r="T650" s="192">
        <f t="shared" si="85"/>
        <v>1.0507677782680247E-2</v>
      </c>
      <c r="Y650" s="192" t="e">
        <f t="shared" si="86"/>
        <v>#DIV/0!</v>
      </c>
    </row>
    <row r="651" spans="1:25" ht="14.4">
      <c r="A651" s="187">
        <f t="shared" si="87"/>
        <v>53685</v>
      </c>
      <c r="B651" s="182">
        <v>11873315.551877121</v>
      </c>
      <c r="C651" s="182">
        <v>530032.65798896097</v>
      </c>
      <c r="D651" s="182">
        <v>11343282.893888159</v>
      </c>
      <c r="E651" s="182">
        <v>0</v>
      </c>
      <c r="F651" s="189">
        <f t="shared" si="84"/>
        <v>0</v>
      </c>
      <c r="G651" s="182">
        <v>11873315.551877121</v>
      </c>
      <c r="H651" s="182"/>
      <c r="I651" s="182">
        <v>11343282.893888159</v>
      </c>
      <c r="J651" s="182"/>
      <c r="K651" s="182">
        <v>10775400.608162466</v>
      </c>
      <c r="L651" s="182"/>
      <c r="M651" s="182">
        <v>10775400.608162466</v>
      </c>
      <c r="N651" s="182">
        <v>0</v>
      </c>
      <c r="O651" s="182">
        <v>11305433.266151428</v>
      </c>
      <c r="P651" s="182">
        <v>530032.65798896097</v>
      </c>
      <c r="Q651" s="182">
        <v>1.0447745726386293E-2</v>
      </c>
      <c r="R651" s="182">
        <v>0</v>
      </c>
      <c r="S651" s="182">
        <f t="shared" si="88"/>
        <v>144799688.62182498</v>
      </c>
      <c r="T651" s="192">
        <f t="shared" si="85"/>
        <v>1.0500050165068497E-2</v>
      </c>
      <c r="Y651" s="192" t="e">
        <f t="shared" si="86"/>
        <v>#DIV/0!</v>
      </c>
    </row>
    <row r="652" spans="1:25" ht="14.4">
      <c r="A652" s="187">
        <f t="shared" si="87"/>
        <v>53716</v>
      </c>
      <c r="B652" s="182">
        <v>12016382.252978494</v>
      </c>
      <c r="C652" s="182">
        <v>525971.62928241456</v>
      </c>
      <c r="D652" s="182">
        <v>11490410.623696079</v>
      </c>
      <c r="E652" s="182">
        <v>0</v>
      </c>
      <c r="F652" s="189">
        <f t="shared" si="84"/>
        <v>0</v>
      </c>
      <c r="G652" s="182">
        <v>12016382.252978494</v>
      </c>
      <c r="H652" s="182"/>
      <c r="I652" s="182">
        <v>11490410.623696079</v>
      </c>
      <c r="J652" s="182"/>
      <c r="K652" s="182">
        <v>10883550.491638688</v>
      </c>
      <c r="L652" s="182"/>
      <c r="M652" s="182">
        <v>10883550.491638688</v>
      </c>
      <c r="N652" s="182">
        <v>0</v>
      </c>
      <c r="O652" s="182">
        <v>11409522.120921103</v>
      </c>
      <c r="P652" s="182">
        <v>525971.62928241456</v>
      </c>
      <c r="Q652" s="182">
        <v>1.0449062248934826E-2</v>
      </c>
      <c r="R652" s="182">
        <v>0</v>
      </c>
      <c r="S652" s="182">
        <f t="shared" si="88"/>
        <v>144912235.50897181</v>
      </c>
      <c r="T652" s="192">
        <f t="shared" si="85"/>
        <v>1.0492356343110965E-2</v>
      </c>
      <c r="Y652" s="192" t="e">
        <f t="shared" si="86"/>
        <v>#DIV/0!</v>
      </c>
    </row>
    <row r="653" spans="1:25" ht="14.4">
      <c r="A653" s="187">
        <f t="shared" si="87"/>
        <v>53747</v>
      </c>
      <c r="B653" s="182">
        <v>11094958.685076615</v>
      </c>
      <c r="C653" s="182">
        <v>508450.88236516254</v>
      </c>
      <c r="D653" s="182">
        <v>10586507.802711451</v>
      </c>
      <c r="E653" s="182">
        <v>0</v>
      </c>
      <c r="F653" s="189">
        <f t="shared" si="84"/>
        <v>0</v>
      </c>
      <c r="G653" s="182">
        <v>11094958.685076615</v>
      </c>
      <c r="H653" s="182"/>
      <c r="I653" s="182">
        <v>10586507.802711451</v>
      </c>
      <c r="J653" s="182"/>
      <c r="K653" s="182">
        <v>10029542.687085886</v>
      </c>
      <c r="L653" s="182"/>
      <c r="M653" s="182">
        <v>10029542.687085886</v>
      </c>
      <c r="N653" s="182">
        <v>0</v>
      </c>
      <c r="O653" s="182">
        <v>10537993.569451049</v>
      </c>
      <c r="P653" s="182">
        <v>508450.88236516254</v>
      </c>
      <c r="Q653" s="182">
        <v>1.043627244943135E-2</v>
      </c>
      <c r="R653" s="182">
        <v>0</v>
      </c>
      <c r="S653" s="182">
        <f t="shared" si="88"/>
        <v>145015825.45608634</v>
      </c>
      <c r="T653" s="192">
        <f t="shared" si="85"/>
        <v>1.0485282297899801E-2</v>
      </c>
      <c r="Y653" s="192" t="e">
        <f t="shared" si="86"/>
        <v>#DIV/0!</v>
      </c>
    </row>
    <row r="654" spans="1:25" ht="14.4">
      <c r="A654" s="187">
        <f t="shared" si="87"/>
        <v>53776</v>
      </c>
      <c r="B654" s="182">
        <v>12185500.292068115</v>
      </c>
      <c r="C654" s="182">
        <v>600003.31716032559</v>
      </c>
      <c r="D654" s="182">
        <v>11585496.974907789</v>
      </c>
      <c r="E654" s="182">
        <v>0</v>
      </c>
      <c r="F654" s="189">
        <f t="shared" si="84"/>
        <v>0</v>
      </c>
      <c r="G654" s="182">
        <v>12185500.292068115</v>
      </c>
      <c r="H654" s="182"/>
      <c r="I654" s="182">
        <v>11585496.974907789</v>
      </c>
      <c r="J654" s="182"/>
      <c r="K654" s="182">
        <v>10984807.089124316</v>
      </c>
      <c r="L654" s="182"/>
      <c r="M654" s="182">
        <v>10984807.089124316</v>
      </c>
      <c r="N654" s="182">
        <v>0</v>
      </c>
      <c r="O654" s="182">
        <v>11584810.406284641</v>
      </c>
      <c r="P654" s="182">
        <v>600003.31716032559</v>
      </c>
      <c r="Q654" s="182">
        <v>1.0425315368251642E-2</v>
      </c>
      <c r="R654" s="182">
        <v>0</v>
      </c>
      <c r="S654" s="182">
        <f t="shared" si="88"/>
        <v>145129163.94476205</v>
      </c>
      <c r="T654" s="192">
        <f t="shared" si="85"/>
        <v>1.0477549430710997E-2</v>
      </c>
      <c r="Y654" s="192" t="e">
        <f t="shared" si="86"/>
        <v>#DIV/0!</v>
      </c>
    </row>
    <row r="655" spans="1:25" ht="14.4">
      <c r="A655" s="187">
        <f t="shared" si="87"/>
        <v>53807</v>
      </c>
      <c r="B655" s="182">
        <v>12545030.681262387</v>
      </c>
      <c r="C655" s="182">
        <v>652356.11872004578</v>
      </c>
      <c r="D655" s="182">
        <v>11892674.562542342</v>
      </c>
      <c r="E655" s="182">
        <v>0</v>
      </c>
      <c r="F655" s="189">
        <f t="shared" si="84"/>
        <v>0</v>
      </c>
      <c r="G655" s="182">
        <v>12545030.681262387</v>
      </c>
      <c r="H655" s="182"/>
      <c r="I655" s="182">
        <v>11892674.562542342</v>
      </c>
      <c r="J655" s="182"/>
      <c r="K655" s="182">
        <v>11319899.492411202</v>
      </c>
      <c r="L655" s="182"/>
      <c r="M655" s="182">
        <v>11319899.492411202</v>
      </c>
      <c r="N655" s="182">
        <v>0</v>
      </c>
      <c r="O655" s="182">
        <v>11972255.611131247</v>
      </c>
      <c r="P655" s="182">
        <v>652356.11872004578</v>
      </c>
      <c r="Q655" s="182">
        <v>1.0418957296264297E-2</v>
      </c>
      <c r="R655" s="182">
        <v>0</v>
      </c>
      <c r="S655" s="182">
        <f t="shared" si="88"/>
        <v>145245889.33729136</v>
      </c>
      <c r="T655" s="192">
        <f t="shared" si="85"/>
        <v>1.046959764498423E-2</v>
      </c>
      <c r="Y655" s="192" t="e">
        <f t="shared" si="86"/>
        <v>#DIV/0!</v>
      </c>
    </row>
    <row r="656" spans="1:25" ht="14.4">
      <c r="A656" s="187">
        <f t="shared" si="87"/>
        <v>53837</v>
      </c>
      <c r="B656" s="182">
        <v>14252871.870383617</v>
      </c>
      <c r="C656" s="182">
        <v>672169.85280097998</v>
      </c>
      <c r="D656" s="182">
        <v>13580702.017582636</v>
      </c>
      <c r="E656" s="182">
        <v>0</v>
      </c>
      <c r="F656" s="189">
        <f t="shared" ref="F656:F719" si="89">SUM(E645:E655)</f>
        <v>0</v>
      </c>
      <c r="G656" s="182">
        <v>14252871.870383617</v>
      </c>
      <c r="H656" s="182"/>
      <c r="I656" s="182">
        <v>13580702.017582636</v>
      </c>
      <c r="J656" s="182"/>
      <c r="K656" s="182">
        <v>12959493.428272072</v>
      </c>
      <c r="L656" s="182"/>
      <c r="M656" s="182">
        <v>12959493.428272072</v>
      </c>
      <c r="N656" s="182">
        <v>0</v>
      </c>
      <c r="O656" s="182">
        <v>13631663.281073052</v>
      </c>
      <c r="P656" s="182">
        <v>672169.85280097998</v>
      </c>
      <c r="Q656" s="182">
        <v>1.0415217758314999E-2</v>
      </c>
      <c r="R656" s="182">
        <v>0</v>
      </c>
      <c r="S656" s="182">
        <f t="shared" si="88"/>
        <v>145379473.97034186</v>
      </c>
      <c r="T656" s="192">
        <f t="shared" si="85"/>
        <v>1.0460522860033628E-2</v>
      </c>
      <c r="Y656" s="192" t="e">
        <f t="shared" si="86"/>
        <v>#DIV/0!</v>
      </c>
    </row>
    <row r="657" spans="1:25" ht="14.4">
      <c r="A657" s="187">
        <f t="shared" si="87"/>
        <v>53868</v>
      </c>
      <c r="B657" s="182">
        <v>14905347.944133045</v>
      </c>
      <c r="C657" s="182">
        <v>700037.93384690653</v>
      </c>
      <c r="D657" s="182">
        <v>14205310.010286139</v>
      </c>
      <c r="E657" s="182">
        <v>0</v>
      </c>
      <c r="F657" s="189">
        <f t="shared" si="89"/>
        <v>0</v>
      </c>
      <c r="G657" s="182">
        <v>14905347.944133045</v>
      </c>
      <c r="H657" s="182"/>
      <c r="I657" s="182">
        <v>14205310.010286139</v>
      </c>
      <c r="J657" s="182"/>
      <c r="K657" s="182">
        <v>13546721.284467625</v>
      </c>
      <c r="L657" s="182"/>
      <c r="M657" s="182">
        <v>13546721.284467625</v>
      </c>
      <c r="N657" s="182">
        <v>0</v>
      </c>
      <c r="O657" s="182">
        <v>14246759.21831453</v>
      </c>
      <c r="P657" s="182">
        <v>700037.93384690653</v>
      </c>
      <c r="Q657" s="182">
        <v>1.0403103544013748E-2</v>
      </c>
      <c r="R657" s="182">
        <v>0</v>
      </c>
      <c r="S657" s="182">
        <f t="shared" si="88"/>
        <v>145518950.9213824</v>
      </c>
      <c r="T657" s="192">
        <f t="shared" si="85"/>
        <v>1.0451060378204646E-2</v>
      </c>
      <c r="Y657" s="192" t="e">
        <f t="shared" si="86"/>
        <v>#DIV/0!</v>
      </c>
    </row>
    <row r="658" spans="1:25" ht="14.4">
      <c r="A658" s="187">
        <f t="shared" si="87"/>
        <v>53898</v>
      </c>
      <c r="B658" s="182">
        <v>15848740.937223084</v>
      </c>
      <c r="C658" s="182">
        <v>676147.73238753784</v>
      </c>
      <c r="D658" s="182">
        <v>15172593.204835547</v>
      </c>
      <c r="E658" s="182">
        <v>0</v>
      </c>
      <c r="F658" s="189">
        <f t="shared" si="89"/>
        <v>0</v>
      </c>
      <c r="G658" s="182">
        <v>15848740.937223084</v>
      </c>
      <c r="H658" s="182"/>
      <c r="I658" s="182">
        <v>15172593.204835547</v>
      </c>
      <c r="J658" s="182"/>
      <c r="K658" s="182">
        <v>14435041.349818235</v>
      </c>
      <c r="L658" s="182"/>
      <c r="M658" s="182">
        <v>14435041.349818235</v>
      </c>
      <c r="N658" s="182">
        <v>0</v>
      </c>
      <c r="O658" s="182">
        <v>15111189.082205772</v>
      </c>
      <c r="P658" s="182">
        <v>676147.73238753784</v>
      </c>
      <c r="Q658" s="182">
        <v>1.0396848854181906E-2</v>
      </c>
      <c r="R658" s="182">
        <v>0</v>
      </c>
      <c r="S658" s="182">
        <f t="shared" si="88"/>
        <v>145667485.57218632</v>
      </c>
      <c r="T658" s="192">
        <f t="shared" si="85"/>
        <v>1.0441004696597256E-2</v>
      </c>
      <c r="Y658" s="192" t="e">
        <f t="shared" si="86"/>
        <v>#DIV/0!</v>
      </c>
    </row>
    <row r="659" spans="1:25" ht="14.4">
      <c r="A659" s="187">
        <f t="shared" si="87"/>
        <v>53929</v>
      </c>
      <c r="B659" s="182">
        <v>16133936.348576184</v>
      </c>
      <c r="C659" s="182">
        <v>715146.22082643968</v>
      </c>
      <c r="D659" s="182">
        <v>15418790.127749745</v>
      </c>
      <c r="E659" s="182">
        <v>0</v>
      </c>
      <c r="F659" s="189">
        <f t="shared" si="89"/>
        <v>0</v>
      </c>
      <c r="G659" s="182">
        <v>16133936.348576184</v>
      </c>
      <c r="H659" s="182"/>
      <c r="I659" s="182">
        <v>15418790.127749745</v>
      </c>
      <c r="J659" s="182"/>
      <c r="K659" s="182">
        <v>14626831.69344395</v>
      </c>
      <c r="L659" s="182"/>
      <c r="M659" s="182">
        <v>14626831.69344395</v>
      </c>
      <c r="N659" s="182">
        <v>0</v>
      </c>
      <c r="O659" s="182">
        <v>15341977.91427039</v>
      </c>
      <c r="P659" s="182">
        <v>715146.22082643968</v>
      </c>
      <c r="Q659" s="182">
        <v>1.0389986207425261E-2</v>
      </c>
      <c r="R659" s="182">
        <v>0</v>
      </c>
      <c r="S659" s="182">
        <f t="shared" si="88"/>
        <v>145817895.39574724</v>
      </c>
      <c r="T659" s="192">
        <f t="shared" si="85"/>
        <v>1.0430840758739901E-2</v>
      </c>
      <c r="Y659" s="192" t="e">
        <f t="shared" si="86"/>
        <v>#DIV/0!</v>
      </c>
    </row>
    <row r="660" spans="1:25" ht="14.4">
      <c r="A660" s="187">
        <f t="shared" si="87"/>
        <v>53960</v>
      </c>
      <c r="B660" s="182">
        <v>14854663.231748961</v>
      </c>
      <c r="C660" s="182">
        <v>689014.72678274813</v>
      </c>
      <c r="D660" s="182">
        <v>14165648.504966212</v>
      </c>
      <c r="E660" s="182">
        <v>0</v>
      </c>
      <c r="F660" s="189">
        <f t="shared" si="89"/>
        <v>0</v>
      </c>
      <c r="G660" s="182">
        <v>14854663.231748961</v>
      </c>
      <c r="H660" s="182"/>
      <c r="I660" s="182">
        <v>14165648.504966212</v>
      </c>
      <c r="J660" s="182"/>
      <c r="K660" s="182">
        <v>13437964.162354812</v>
      </c>
      <c r="L660" s="182"/>
      <c r="M660" s="182">
        <v>13437964.162354812</v>
      </c>
      <c r="N660" s="182">
        <v>0</v>
      </c>
      <c r="O660" s="182">
        <v>14126978.889137561</v>
      </c>
      <c r="P660" s="182">
        <v>689014.72678274813</v>
      </c>
      <c r="Q660" s="182">
        <v>1.0379913968911358E-2</v>
      </c>
      <c r="R660" s="182">
        <v>0</v>
      </c>
      <c r="S660" s="182">
        <f t="shared" si="88"/>
        <v>145955947.34036148</v>
      </c>
      <c r="T660" s="192">
        <f t="shared" si="85"/>
        <v>1.0421534201533689E-2</v>
      </c>
      <c r="Y660" s="192" t="e">
        <f t="shared" si="86"/>
        <v>#DIV/0!</v>
      </c>
    </row>
    <row r="661" spans="1:25" ht="14.4">
      <c r="A661" s="187">
        <f t="shared" si="87"/>
        <v>53990</v>
      </c>
      <c r="B661" s="182">
        <v>13930453.701837583</v>
      </c>
      <c r="C661" s="182">
        <v>631103.70109726477</v>
      </c>
      <c r="D661" s="182">
        <v>13299350.000740318</v>
      </c>
      <c r="E661" s="182">
        <v>0</v>
      </c>
      <c r="F661" s="189">
        <f t="shared" si="89"/>
        <v>0</v>
      </c>
      <c r="G661" s="182">
        <v>13930453.701837583</v>
      </c>
      <c r="H661" s="182"/>
      <c r="I661" s="182">
        <v>13299350.000740318</v>
      </c>
      <c r="J661" s="182"/>
      <c r="K661" s="182">
        <v>12616542.547355102</v>
      </c>
      <c r="L661" s="182"/>
      <c r="M661" s="182">
        <v>12616542.547355102</v>
      </c>
      <c r="N661" s="182">
        <v>0</v>
      </c>
      <c r="O661" s="182">
        <v>13247646.248452367</v>
      </c>
      <c r="P661" s="182">
        <v>631103.70109726477</v>
      </c>
      <c r="Q661" s="182">
        <v>1.0368919093398654E-2</v>
      </c>
      <c r="R661" s="182">
        <v>0</v>
      </c>
      <c r="S661" s="182">
        <f t="shared" si="88"/>
        <v>146085424.70891449</v>
      </c>
      <c r="T661" s="192">
        <f t="shared" si="85"/>
        <v>1.0412823916661651E-2</v>
      </c>
      <c r="Y661" s="192" t="e">
        <f t="shared" si="86"/>
        <v>#DIV/0!</v>
      </c>
    </row>
    <row r="662" spans="1:25" ht="14.4">
      <c r="A662" s="187">
        <f t="shared" si="87"/>
        <v>54021</v>
      </c>
      <c r="B662" s="182">
        <v>11651464.296846153</v>
      </c>
      <c r="C662" s="182">
        <v>565965.73853984859</v>
      </c>
      <c r="D662" s="182">
        <v>11085498.558306305</v>
      </c>
      <c r="E662" s="182">
        <v>0</v>
      </c>
      <c r="F662" s="189">
        <f t="shared" si="89"/>
        <v>0</v>
      </c>
      <c r="G662" s="182">
        <v>11651464.296846153</v>
      </c>
      <c r="H662" s="182"/>
      <c r="I662" s="182">
        <v>11085498.558306305</v>
      </c>
      <c r="J662" s="182"/>
      <c r="K662" s="182">
        <v>10578039.172880908</v>
      </c>
      <c r="L662" s="182"/>
      <c r="M662" s="182">
        <v>10578039.172880908</v>
      </c>
      <c r="N662" s="182">
        <v>0</v>
      </c>
      <c r="O662" s="182">
        <v>11144004.911420757</v>
      </c>
      <c r="P662" s="182">
        <v>565965.73853984859</v>
      </c>
      <c r="Q662" s="182">
        <v>1.03546447579701E-2</v>
      </c>
      <c r="R662" s="182">
        <v>0</v>
      </c>
      <c r="S662" s="182">
        <f t="shared" si="88"/>
        <v>146193834.00701529</v>
      </c>
      <c r="T662" s="192">
        <f t="shared" si="85"/>
        <v>1.0405542602613504E-2</v>
      </c>
      <c r="Y662" s="192" t="e">
        <f t="shared" si="86"/>
        <v>#DIV/0!</v>
      </c>
    </row>
    <row r="663" spans="1:25" ht="14.4">
      <c r="A663" s="187">
        <f t="shared" si="87"/>
        <v>54051</v>
      </c>
      <c r="B663" s="182">
        <v>11998524.515902258</v>
      </c>
      <c r="C663" s="182">
        <v>537761.71485420142</v>
      </c>
      <c r="D663" s="182">
        <v>11460762.801048057</v>
      </c>
      <c r="E663" s="182">
        <v>0</v>
      </c>
      <c r="F663" s="189">
        <f t="shared" si="89"/>
        <v>0</v>
      </c>
      <c r="G663" s="182">
        <v>11998524.515902258</v>
      </c>
      <c r="H663" s="182"/>
      <c r="I663" s="182">
        <v>11460762.801048057</v>
      </c>
      <c r="J663" s="182"/>
      <c r="K663" s="182">
        <v>10886891.964578195</v>
      </c>
      <c r="L663" s="182"/>
      <c r="M663" s="182">
        <v>10886891.964578195</v>
      </c>
      <c r="N663" s="182">
        <v>0</v>
      </c>
      <c r="O663" s="182">
        <v>11424653.679432396</v>
      </c>
      <c r="P663" s="182">
        <v>537761.71485420142</v>
      </c>
      <c r="Q663" s="182">
        <v>1.0346840963970427E-2</v>
      </c>
      <c r="R663" s="182">
        <v>0</v>
      </c>
      <c r="S663" s="182">
        <f t="shared" si="88"/>
        <v>146305325.36343098</v>
      </c>
      <c r="T663" s="192">
        <f t="shared" si="85"/>
        <v>1.0398066155641317E-2</v>
      </c>
      <c r="Y663" s="192" t="e">
        <f t="shared" si="86"/>
        <v>#DIV/0!</v>
      </c>
    </row>
    <row r="664" spans="1:25" ht="14.4">
      <c r="A664" s="187">
        <f t="shared" si="87"/>
        <v>54082</v>
      </c>
      <c r="B664" s="182">
        <v>12143072.216889419</v>
      </c>
      <c r="C664" s="182">
        <v>533639.09704134509</v>
      </c>
      <c r="D664" s="182">
        <v>11609433.119848074</v>
      </c>
      <c r="E664" s="182">
        <v>0</v>
      </c>
      <c r="F664" s="189">
        <f t="shared" si="89"/>
        <v>0</v>
      </c>
      <c r="G664" s="182">
        <v>12143072.216889419</v>
      </c>
      <c r="H664" s="182"/>
      <c r="I664" s="182">
        <v>11609433.119848074</v>
      </c>
      <c r="J664" s="182"/>
      <c r="K664" s="182">
        <v>10996174.798501201</v>
      </c>
      <c r="L664" s="182"/>
      <c r="M664" s="182">
        <v>10996174.798501201</v>
      </c>
      <c r="N664" s="182">
        <v>0</v>
      </c>
      <c r="O664" s="182">
        <v>11529813.895542545</v>
      </c>
      <c r="P664" s="182">
        <v>533639.09704134509</v>
      </c>
      <c r="Q664" s="182">
        <v>1.0348121869700133E-2</v>
      </c>
      <c r="R664" s="182">
        <v>0</v>
      </c>
      <c r="S664" s="182">
        <f t="shared" si="88"/>
        <v>146417949.67029348</v>
      </c>
      <c r="T664" s="192">
        <f t="shared" si="85"/>
        <v>1.0390524692640346E-2</v>
      </c>
      <c r="Y664" s="192" t="e">
        <f t="shared" si="86"/>
        <v>#DIV/0!</v>
      </c>
    </row>
    <row r="665" spans="1:25" ht="14.4">
      <c r="A665" s="187">
        <f t="shared" si="87"/>
        <v>54113</v>
      </c>
      <c r="B665" s="182">
        <v>11211907.576947091</v>
      </c>
      <c r="C665" s="182">
        <v>515868.21271331806</v>
      </c>
      <c r="D665" s="182">
        <v>10696039.364233773</v>
      </c>
      <c r="E665" s="182">
        <v>0</v>
      </c>
      <c r="F665" s="189">
        <f t="shared" si="89"/>
        <v>0</v>
      </c>
      <c r="G665" s="182">
        <v>11211907.576947091</v>
      </c>
      <c r="H665" s="182"/>
      <c r="I665" s="182">
        <v>10696039.364233773</v>
      </c>
      <c r="J665" s="182"/>
      <c r="K665" s="182">
        <v>10133203.43331887</v>
      </c>
      <c r="L665" s="182"/>
      <c r="M665" s="182">
        <v>10133203.43331887</v>
      </c>
      <c r="N665" s="182">
        <v>0</v>
      </c>
      <c r="O665" s="182">
        <v>10649071.646032188</v>
      </c>
      <c r="P665" s="182">
        <v>515868.21271331806</v>
      </c>
      <c r="Q665" s="182">
        <v>1.0335540658943376E-2</v>
      </c>
      <c r="R665" s="182">
        <v>0</v>
      </c>
      <c r="S665" s="182">
        <f t="shared" si="88"/>
        <v>146521610.4165265</v>
      </c>
      <c r="T665" s="192">
        <f t="shared" si="85"/>
        <v>1.0383590588850078E-2</v>
      </c>
      <c r="Y665" s="192" t="e">
        <f t="shared" si="86"/>
        <v>#DIV/0!</v>
      </c>
    </row>
    <row r="666" spans="1:25" ht="14.4">
      <c r="A666" s="187">
        <f t="shared" si="87"/>
        <v>54142</v>
      </c>
      <c r="B666" s="182">
        <v>12314011.281419743</v>
      </c>
      <c r="C666" s="182">
        <v>608764.03932772169</v>
      </c>
      <c r="D666" s="182">
        <v>11705247.242092021</v>
      </c>
      <c r="E666" s="182">
        <v>0</v>
      </c>
      <c r="F666" s="189">
        <f t="shared" si="89"/>
        <v>0</v>
      </c>
      <c r="G666" s="182">
        <v>12314011.281419743</v>
      </c>
      <c r="H666" s="182"/>
      <c r="I666" s="182">
        <v>11705247.242092021</v>
      </c>
      <c r="J666" s="182"/>
      <c r="K666" s="182">
        <v>11098222.347514054</v>
      </c>
      <c r="L666" s="182"/>
      <c r="M666" s="182">
        <v>11098222.347514054</v>
      </c>
      <c r="N666" s="182">
        <v>0</v>
      </c>
      <c r="O666" s="182">
        <v>11706986.386841776</v>
      </c>
      <c r="P666" s="182">
        <v>608764.03932772169</v>
      </c>
      <c r="Q666" s="182">
        <v>1.0324738292584623E-2</v>
      </c>
      <c r="R666" s="182">
        <v>0</v>
      </c>
      <c r="S666" s="182">
        <f t="shared" si="88"/>
        <v>146635025.67491624</v>
      </c>
      <c r="T666" s="192">
        <f t="shared" si="85"/>
        <v>1.037601050831749E-2</v>
      </c>
      <c r="Y666" s="192" t="e">
        <f t="shared" si="86"/>
        <v>#DIV/0!</v>
      </c>
    </row>
    <row r="667" spans="1:25" ht="14.4">
      <c r="A667" s="187">
        <f t="shared" si="87"/>
        <v>54173</v>
      </c>
      <c r="B667" s="182">
        <v>12677413.381150244</v>
      </c>
      <c r="C667" s="182">
        <v>661890.17913297086</v>
      </c>
      <c r="D667" s="182">
        <v>12015523.202017274</v>
      </c>
      <c r="E667" s="182">
        <v>0</v>
      </c>
      <c r="F667" s="189">
        <f t="shared" si="89"/>
        <v>0</v>
      </c>
      <c r="G667" s="182">
        <v>12677413.381150244</v>
      </c>
      <c r="H667" s="182"/>
      <c r="I667" s="182">
        <v>12015523.202017274</v>
      </c>
      <c r="J667" s="182"/>
      <c r="K667" s="182">
        <v>11436703.865264637</v>
      </c>
      <c r="L667" s="182"/>
      <c r="M667" s="182">
        <v>11436703.865264637</v>
      </c>
      <c r="N667" s="182">
        <v>0</v>
      </c>
      <c r="O667" s="182">
        <v>12098594.044397607</v>
      </c>
      <c r="P667" s="182">
        <v>661890.17913297086</v>
      </c>
      <c r="Q667" s="182">
        <v>1.0318499111386936E-2</v>
      </c>
      <c r="R667" s="182">
        <v>0</v>
      </c>
      <c r="S667" s="182">
        <f t="shared" si="88"/>
        <v>146751830.04776964</v>
      </c>
      <c r="T667" s="192">
        <f t="shared" si="85"/>
        <v>1.0368215702002859E-2</v>
      </c>
      <c r="Y667" s="192" t="e">
        <f t="shared" si="86"/>
        <v>#DIV/0!</v>
      </c>
    </row>
    <row r="668" spans="1:25" ht="14.4">
      <c r="A668" s="187">
        <f t="shared" si="87"/>
        <v>54203</v>
      </c>
      <c r="B668" s="182">
        <v>14402884.73498325</v>
      </c>
      <c r="C668" s="182">
        <v>681968.01798026648</v>
      </c>
      <c r="D668" s="182">
        <v>13720916.717002984</v>
      </c>
      <c r="E668" s="182">
        <v>0</v>
      </c>
      <c r="F668" s="189">
        <f t="shared" si="89"/>
        <v>0</v>
      </c>
      <c r="G668" s="182">
        <v>14402884.73498325</v>
      </c>
      <c r="H668" s="182"/>
      <c r="I668" s="182">
        <v>13720916.717002984</v>
      </c>
      <c r="J668" s="182"/>
      <c r="K668" s="182">
        <v>13093169.84678708</v>
      </c>
      <c r="L668" s="182"/>
      <c r="M668" s="182">
        <v>13093169.84678708</v>
      </c>
      <c r="N668" s="182">
        <v>0</v>
      </c>
      <c r="O668" s="182">
        <v>13775137.864767347</v>
      </c>
      <c r="P668" s="182">
        <v>681968.01798026648</v>
      </c>
      <c r="Q668" s="182">
        <v>1.0314941649137488E-2</v>
      </c>
      <c r="R668" s="182">
        <v>0</v>
      </c>
      <c r="S668" s="182">
        <f t="shared" si="88"/>
        <v>146885506.46628466</v>
      </c>
      <c r="T668" s="192">
        <f t="shared" si="85"/>
        <v>1.0359320025122853E-2</v>
      </c>
      <c r="Y668" s="192" t="e">
        <f t="shared" si="86"/>
        <v>#DIV/0!</v>
      </c>
    </row>
    <row r="669" spans="1:25" ht="14.4">
      <c r="A669" s="187">
        <f t="shared" si="87"/>
        <v>54234</v>
      </c>
      <c r="B669" s="182">
        <v>15062034.165623127</v>
      </c>
      <c r="C669" s="182">
        <v>710229.00613831717</v>
      </c>
      <c r="D669" s="182">
        <v>14351805.159484809</v>
      </c>
      <c r="E669" s="182">
        <v>0</v>
      </c>
      <c r="F669" s="189">
        <f t="shared" si="89"/>
        <v>0</v>
      </c>
      <c r="G669" s="182">
        <v>15062034.165623127</v>
      </c>
      <c r="H669" s="182"/>
      <c r="I669" s="182">
        <v>14351805.159484809</v>
      </c>
      <c r="J669" s="182"/>
      <c r="K669" s="182">
        <v>13686293.295786439</v>
      </c>
      <c r="L669" s="182"/>
      <c r="M669" s="182">
        <v>13686293.295786439</v>
      </c>
      <c r="N669" s="182">
        <v>0</v>
      </c>
      <c r="O669" s="182">
        <v>14396522.301924756</v>
      </c>
      <c r="P669" s="182">
        <v>710229.00613831717</v>
      </c>
      <c r="Q669" s="182">
        <v>1.0303010476700569E-2</v>
      </c>
      <c r="R669" s="182">
        <v>0</v>
      </c>
      <c r="S669" s="182">
        <f t="shared" si="88"/>
        <v>147025078.47760347</v>
      </c>
      <c r="T669" s="192">
        <f t="shared" si="85"/>
        <v>1.0350044078003107E-2</v>
      </c>
      <c r="Y669" s="192" t="e">
        <f t="shared" si="86"/>
        <v>#DIV/0!</v>
      </c>
    </row>
    <row r="670" spans="1:25" ht="14.4">
      <c r="A670" s="187">
        <f t="shared" si="87"/>
        <v>54264</v>
      </c>
      <c r="B670" s="182">
        <v>16014913.942881728</v>
      </c>
      <c r="C670" s="182">
        <v>685951.50221251824</v>
      </c>
      <c r="D670" s="182">
        <v>15328962.440669209</v>
      </c>
      <c r="E670" s="182">
        <v>0</v>
      </c>
      <c r="F670" s="189">
        <f t="shared" si="89"/>
        <v>0</v>
      </c>
      <c r="G670" s="182">
        <v>16014913.942881728</v>
      </c>
      <c r="H670" s="182"/>
      <c r="I670" s="182">
        <v>15328962.440669209</v>
      </c>
      <c r="J670" s="182"/>
      <c r="K670" s="182">
        <v>14583677.402993236</v>
      </c>
      <c r="L670" s="182"/>
      <c r="M670" s="182">
        <v>14583677.402993236</v>
      </c>
      <c r="N670" s="182">
        <v>0</v>
      </c>
      <c r="O670" s="182">
        <v>15269628.905205755</v>
      </c>
      <c r="P670" s="182">
        <v>685951.50221251824</v>
      </c>
      <c r="Q670" s="182">
        <v>1.0296891402868935E-2</v>
      </c>
      <c r="R670" s="182">
        <v>0</v>
      </c>
      <c r="S670" s="182">
        <f t="shared" si="88"/>
        <v>147173714.5307785</v>
      </c>
      <c r="T670" s="192">
        <f t="shared" si="85"/>
        <v>1.0340186436771814E-2</v>
      </c>
      <c r="Y670" s="192" t="e">
        <f t="shared" si="86"/>
        <v>#DIV/0!</v>
      </c>
    </row>
    <row r="671" spans="1:25" ht="14.4">
      <c r="A671" s="187">
        <f t="shared" si="87"/>
        <v>54295</v>
      </c>
      <c r="B671" s="182">
        <v>16303146.061247965</v>
      </c>
      <c r="C671" s="182">
        <v>725537.86139788525</v>
      </c>
      <c r="D671" s="182">
        <v>15577608.199850081</v>
      </c>
      <c r="E671" s="182">
        <v>0</v>
      </c>
      <c r="F671" s="189">
        <f t="shared" si="89"/>
        <v>0</v>
      </c>
      <c r="G671" s="182">
        <v>16303146.061247965</v>
      </c>
      <c r="H671" s="182"/>
      <c r="I671" s="182">
        <v>15577608.199850081</v>
      </c>
      <c r="J671" s="182"/>
      <c r="K671" s="182">
        <v>14777343.853321651</v>
      </c>
      <c r="L671" s="182"/>
      <c r="M671" s="182">
        <v>14777343.853321651</v>
      </c>
      <c r="N671" s="182">
        <v>0</v>
      </c>
      <c r="O671" s="182">
        <v>15502881.714719536</v>
      </c>
      <c r="P671" s="182">
        <v>725537.86139788525</v>
      </c>
      <c r="Q671" s="182">
        <v>1.0290140956852767E-2</v>
      </c>
      <c r="R671" s="182">
        <v>0</v>
      </c>
      <c r="S671" s="182">
        <f t="shared" si="88"/>
        <v>147324226.69065619</v>
      </c>
      <c r="T671" s="192">
        <f t="shared" si="85"/>
        <v>1.0330222438204695E-2</v>
      </c>
      <c r="Y671" s="192" t="e">
        <f t="shared" si="86"/>
        <v>#DIV/0!</v>
      </c>
    </row>
    <row r="672" spans="1:25" ht="14.4">
      <c r="A672" s="187">
        <f t="shared" si="87"/>
        <v>54326</v>
      </c>
      <c r="B672" s="182">
        <v>15010492.987878434</v>
      </c>
      <c r="C672" s="182">
        <v>699064.45405406354</v>
      </c>
      <c r="D672" s="182">
        <v>14311428.533824371</v>
      </c>
      <c r="E672" s="182">
        <v>0</v>
      </c>
      <c r="F672" s="189">
        <f t="shared" si="89"/>
        <v>0</v>
      </c>
      <c r="G672" s="182">
        <v>15010492.987878434</v>
      </c>
      <c r="H672" s="182"/>
      <c r="I672" s="182">
        <v>14311428.533824371</v>
      </c>
      <c r="J672" s="182"/>
      <c r="K672" s="182">
        <v>13576110.569913095</v>
      </c>
      <c r="L672" s="182"/>
      <c r="M672" s="182">
        <v>13576110.569913095</v>
      </c>
      <c r="N672" s="182">
        <v>0</v>
      </c>
      <c r="O672" s="182">
        <v>14275175.023967158</v>
      </c>
      <c r="P672" s="182">
        <v>699064.45405406354</v>
      </c>
      <c r="Q672" s="182">
        <v>1.0280307782430942E-2</v>
      </c>
      <c r="R672" s="182">
        <v>0</v>
      </c>
      <c r="S672" s="182">
        <f t="shared" si="88"/>
        <v>147462373.09821448</v>
      </c>
      <c r="T672" s="192">
        <f t="shared" si="85"/>
        <v>1.0321098833609765E-2</v>
      </c>
      <c r="Y672" s="192" t="e">
        <f t="shared" si="86"/>
        <v>#DIV/0!</v>
      </c>
    </row>
    <row r="673" spans="1:25" ht="14.4">
      <c r="A673" s="187">
        <f t="shared" si="87"/>
        <v>54356</v>
      </c>
      <c r="B673" s="182">
        <v>14076374.949392762</v>
      </c>
      <c r="C673" s="182">
        <v>640306.28499536042</v>
      </c>
      <c r="D673" s="182">
        <v>13436068.664397402</v>
      </c>
      <c r="E673" s="182">
        <v>0</v>
      </c>
      <c r="F673" s="189">
        <f t="shared" si="89"/>
        <v>0</v>
      </c>
      <c r="G673" s="182">
        <v>14076374.949392762</v>
      </c>
      <c r="H673" s="182"/>
      <c r="I673" s="182">
        <v>13436068.664397402</v>
      </c>
      <c r="J673" s="182"/>
      <c r="K673" s="182">
        <v>12746108.815435523</v>
      </c>
      <c r="L673" s="182"/>
      <c r="M673" s="182">
        <v>12746108.815435523</v>
      </c>
      <c r="N673" s="182">
        <v>0</v>
      </c>
      <c r="O673" s="182">
        <v>13386415.100430883</v>
      </c>
      <c r="P673" s="182">
        <v>640306.28499536042</v>
      </c>
      <c r="Q673" s="182">
        <v>1.0269554245476042E-2</v>
      </c>
      <c r="R673" s="182">
        <v>0</v>
      </c>
      <c r="S673" s="182">
        <f t="shared" si="88"/>
        <v>147591939.36629492</v>
      </c>
      <c r="T673" s="192">
        <f t="shared" si="85"/>
        <v>1.0312559657353004E-2</v>
      </c>
      <c r="Y673" s="192" t="e">
        <f t="shared" si="86"/>
        <v>#DIV/0!</v>
      </c>
    </row>
    <row r="674" spans="1:25" ht="14.4">
      <c r="A674" s="187">
        <f t="shared" si="87"/>
        <v>54387</v>
      </c>
      <c r="B674" s="182">
        <v>11773536.894935766</v>
      </c>
      <c r="C674" s="182">
        <v>574237.98401407909</v>
      </c>
      <c r="D674" s="182">
        <v>11199298.910921687</v>
      </c>
      <c r="E674" s="182">
        <v>0</v>
      </c>
      <c r="F674" s="189">
        <f t="shared" si="89"/>
        <v>0</v>
      </c>
      <c r="G674" s="182">
        <v>11773536.894935766</v>
      </c>
      <c r="H674" s="182"/>
      <c r="I674" s="182">
        <v>11199298.910921687</v>
      </c>
      <c r="J674" s="182"/>
      <c r="K674" s="182">
        <v>10686522.864514837</v>
      </c>
      <c r="L674" s="182"/>
      <c r="M674" s="182">
        <v>10686522.864514837</v>
      </c>
      <c r="N674" s="182">
        <v>0</v>
      </c>
      <c r="O674" s="182">
        <v>11260760.848528916</v>
      </c>
      <c r="P674" s="182">
        <v>574237.98401407909</v>
      </c>
      <c r="Q674" s="182">
        <v>1.0255557751388311E-2</v>
      </c>
      <c r="R674" s="182">
        <v>0</v>
      </c>
      <c r="S674" s="182">
        <f t="shared" si="88"/>
        <v>147700423.0579288</v>
      </c>
      <c r="T674" s="192">
        <f t="shared" si="85"/>
        <v>1.030542130006129E-2</v>
      </c>
      <c r="Y674" s="192" t="e">
        <f t="shared" si="86"/>
        <v>#DIV/0!</v>
      </c>
    </row>
    <row r="675" spans="1:25" ht="14.4">
      <c r="A675" s="187">
        <f t="shared" si="87"/>
        <v>54417</v>
      </c>
      <c r="B675" s="182">
        <v>12123932.808012497</v>
      </c>
      <c r="C675" s="182">
        <v>545603.98517272749</v>
      </c>
      <c r="D675" s="182">
        <v>11578328.822839769</v>
      </c>
      <c r="E675" s="182">
        <v>0</v>
      </c>
      <c r="F675" s="189">
        <f t="shared" si="89"/>
        <v>0</v>
      </c>
      <c r="G675" s="182">
        <v>12123932.808012497</v>
      </c>
      <c r="H675" s="182"/>
      <c r="I675" s="182">
        <v>11578328.822839769</v>
      </c>
      <c r="J675" s="182"/>
      <c r="K675" s="182">
        <v>10998459.902072277</v>
      </c>
      <c r="L675" s="182"/>
      <c r="M675" s="182">
        <v>10998459.902072277</v>
      </c>
      <c r="N675" s="182">
        <v>0</v>
      </c>
      <c r="O675" s="182">
        <v>11544063.887245005</v>
      </c>
      <c r="P675" s="182">
        <v>545603.98517272749</v>
      </c>
      <c r="Q675" s="182">
        <v>1.0247914451349649E-2</v>
      </c>
      <c r="R675" s="182">
        <v>0</v>
      </c>
      <c r="S675" s="182">
        <f t="shared" si="88"/>
        <v>147811990.9954229</v>
      </c>
      <c r="T675" s="192">
        <f t="shared" si="85"/>
        <v>1.029809153049821E-2</v>
      </c>
      <c r="Y675" s="192" t="e">
        <f t="shared" si="86"/>
        <v>#DIV/0!</v>
      </c>
    </row>
    <row r="676" spans="1:25" ht="14.4">
      <c r="A676" s="187">
        <f t="shared" si="87"/>
        <v>54448</v>
      </c>
      <c r="B676" s="182">
        <v>12269961.798740819</v>
      </c>
      <c r="C676" s="182">
        <v>541418.84613448591</v>
      </c>
      <c r="D676" s="182">
        <v>11728542.952606333</v>
      </c>
      <c r="E676" s="182">
        <v>0</v>
      </c>
      <c r="F676" s="189">
        <f t="shared" si="89"/>
        <v>0</v>
      </c>
      <c r="G676" s="182">
        <v>12269961.798740819</v>
      </c>
      <c r="H676" s="182"/>
      <c r="I676" s="182">
        <v>11728542.952606333</v>
      </c>
      <c r="J676" s="182"/>
      <c r="K676" s="182">
        <v>11108876.360718636</v>
      </c>
      <c r="L676" s="182"/>
      <c r="M676" s="182">
        <v>11108876.360718636</v>
      </c>
      <c r="N676" s="182">
        <v>0</v>
      </c>
      <c r="O676" s="182">
        <v>11650295.206853122</v>
      </c>
      <c r="P676" s="182">
        <v>541418.84613448591</v>
      </c>
      <c r="Q676" s="182">
        <v>1.024916066565229E-2</v>
      </c>
      <c r="R676" s="182">
        <v>0</v>
      </c>
      <c r="S676" s="182">
        <f t="shared" si="88"/>
        <v>147924692.55764034</v>
      </c>
      <c r="T676" s="192">
        <f t="shared" ref="T676:T739" si="90">S676/S664-1</f>
        <v>1.0290697901041312E-2</v>
      </c>
      <c r="Y676" s="192" t="e">
        <f t="shared" ref="Y676:Y739" si="91">X676/X664-1</f>
        <v>#DIV/0!</v>
      </c>
    </row>
    <row r="677" spans="1:25" ht="14.4">
      <c r="A677" s="187">
        <f t="shared" ref="A677:A735" si="92">+A665+366</f>
        <v>54479</v>
      </c>
      <c r="B677" s="182">
        <v>11329045.272972511</v>
      </c>
      <c r="C677" s="182">
        <v>523394.22815199062</v>
      </c>
      <c r="D677" s="182">
        <v>10805651.044820521</v>
      </c>
      <c r="E677" s="182">
        <v>0</v>
      </c>
      <c r="F677" s="189">
        <f t="shared" si="89"/>
        <v>0</v>
      </c>
      <c r="G677" s="182">
        <v>11329045.272972511</v>
      </c>
      <c r="H677" s="182"/>
      <c r="I677" s="182">
        <v>10805651.044820521</v>
      </c>
      <c r="J677" s="182"/>
      <c r="K677" s="182">
        <v>10236934.820678508</v>
      </c>
      <c r="L677" s="182"/>
      <c r="M677" s="182">
        <v>10236934.820678508</v>
      </c>
      <c r="N677" s="182">
        <v>0</v>
      </c>
      <c r="O677" s="182">
        <v>10760329.048830498</v>
      </c>
      <c r="P677" s="182">
        <v>523394.22815199062</v>
      </c>
      <c r="Q677" s="182">
        <v>1.0236781294507447E-2</v>
      </c>
      <c r="R677" s="182">
        <v>0</v>
      </c>
      <c r="S677" s="182">
        <f t="shared" si="88"/>
        <v>148028423.94499996</v>
      </c>
      <c r="T677" s="192">
        <f t="shared" si="90"/>
        <v>1.0283899584436318E-2</v>
      </c>
      <c r="Y677" s="192" t="e">
        <f t="shared" si="91"/>
        <v>#DIV/0!</v>
      </c>
    </row>
    <row r="678" spans="1:25" ht="14.4">
      <c r="A678" s="187">
        <f t="shared" si="92"/>
        <v>54508</v>
      </c>
      <c r="B678" s="182">
        <v>12442737.956477156</v>
      </c>
      <c r="C678" s="182">
        <v>617653.22992363351</v>
      </c>
      <c r="D678" s="182">
        <v>11825084.726553522</v>
      </c>
      <c r="E678" s="182">
        <v>0</v>
      </c>
      <c r="F678" s="189">
        <f t="shared" si="89"/>
        <v>0</v>
      </c>
      <c r="G678" s="182">
        <v>12442737.956477156</v>
      </c>
      <c r="H678" s="182"/>
      <c r="I678" s="182">
        <v>11825084.726553522</v>
      </c>
      <c r="J678" s="182"/>
      <c r="K678" s="182">
        <v>11211714.190854209</v>
      </c>
      <c r="L678" s="182"/>
      <c r="M678" s="182">
        <v>11211714.190854209</v>
      </c>
      <c r="N678" s="182">
        <v>0</v>
      </c>
      <c r="O678" s="182">
        <v>11829367.420777842</v>
      </c>
      <c r="P678" s="182">
        <v>617653.22992363351</v>
      </c>
      <c r="Q678" s="182">
        <v>1.022612809389023E-2</v>
      </c>
      <c r="R678" s="182">
        <v>0</v>
      </c>
      <c r="S678" s="182">
        <f t="shared" si="88"/>
        <v>148141915.78834015</v>
      </c>
      <c r="T678" s="192">
        <f t="shared" si="90"/>
        <v>1.0276467757196261E-2</v>
      </c>
      <c r="Y678" s="192" t="e">
        <f t="shared" si="91"/>
        <v>#DIV/0!</v>
      </c>
    </row>
    <row r="679" spans="1:25" ht="14.4">
      <c r="A679" s="187">
        <f t="shared" si="92"/>
        <v>54539</v>
      </c>
      <c r="B679" s="182">
        <v>12810025.254312806</v>
      </c>
      <c r="C679" s="182">
        <v>671564.16108282562</v>
      </c>
      <c r="D679" s="182">
        <v>12138461.093229979</v>
      </c>
      <c r="E679" s="182">
        <v>0</v>
      </c>
      <c r="F679" s="189">
        <f t="shared" si="89"/>
        <v>0</v>
      </c>
      <c r="G679" s="182">
        <v>12810025.254312806</v>
      </c>
      <c r="H679" s="182"/>
      <c r="I679" s="182">
        <v>12138461.093229979</v>
      </c>
      <c r="J679" s="182"/>
      <c r="K679" s="182">
        <v>11553587.026370995</v>
      </c>
      <c r="L679" s="182"/>
      <c r="M679" s="182">
        <v>11553587.026370995</v>
      </c>
      <c r="N679" s="182">
        <v>0</v>
      </c>
      <c r="O679" s="182">
        <v>12225151.187453819</v>
      </c>
      <c r="P679" s="182">
        <v>671564.16108282562</v>
      </c>
      <c r="Q679" s="182">
        <v>1.0220004162331486E-2</v>
      </c>
      <c r="R679" s="182">
        <v>0</v>
      </c>
      <c r="S679" s="182">
        <f t="shared" si="88"/>
        <v>148258798.9494465</v>
      </c>
      <c r="T679" s="192">
        <f t="shared" si="90"/>
        <v>1.0268825275884685E-2</v>
      </c>
      <c r="Y679" s="192" t="e">
        <f t="shared" si="91"/>
        <v>#DIV/0!</v>
      </c>
    </row>
    <row r="680" spans="1:25" ht="14.4">
      <c r="A680" s="187">
        <f t="shared" si="92"/>
        <v>54569</v>
      </c>
      <c r="B680" s="182">
        <v>14553143.370594207</v>
      </c>
      <c r="C680" s="182">
        <v>691909.65930597472</v>
      </c>
      <c r="D680" s="182">
        <v>13861233.711288232</v>
      </c>
      <c r="E680" s="182">
        <v>0</v>
      </c>
      <c r="F680" s="189">
        <f t="shared" si="89"/>
        <v>0</v>
      </c>
      <c r="G680" s="182">
        <v>14553143.370594207</v>
      </c>
      <c r="H680" s="182"/>
      <c r="I680" s="182">
        <v>13861233.711288232</v>
      </c>
      <c r="J680" s="182"/>
      <c r="K680" s="182">
        <v>13226937.84828628</v>
      </c>
      <c r="L680" s="182"/>
      <c r="M680" s="182">
        <v>13226937.84828628</v>
      </c>
      <c r="N680" s="182">
        <v>0</v>
      </c>
      <c r="O680" s="182">
        <v>13918847.507592255</v>
      </c>
      <c r="P680" s="182">
        <v>691909.65930597472</v>
      </c>
      <c r="Q680" s="182">
        <v>1.021662462677253E-2</v>
      </c>
      <c r="R680" s="182">
        <v>0</v>
      </c>
      <c r="S680" s="182">
        <f t="shared" si="88"/>
        <v>148392566.95094568</v>
      </c>
      <c r="T680" s="192">
        <f t="shared" si="90"/>
        <v>1.0260103402420784E-2</v>
      </c>
      <c r="Y680" s="192" t="e">
        <f t="shared" si="91"/>
        <v>#DIV/0!</v>
      </c>
    </row>
    <row r="681" spans="1:25" ht="14.4">
      <c r="A681" s="187">
        <f t="shared" si="92"/>
        <v>54600</v>
      </c>
      <c r="B681" s="182">
        <v>15218975.563039267</v>
      </c>
      <c r="C681" s="182">
        <v>720569.13941843517</v>
      </c>
      <c r="D681" s="182">
        <v>14498406.423620833</v>
      </c>
      <c r="E681" s="182">
        <v>0</v>
      </c>
      <c r="F681" s="189">
        <f t="shared" si="89"/>
        <v>0</v>
      </c>
      <c r="G681" s="182">
        <v>15218975.563039267</v>
      </c>
      <c r="H681" s="182"/>
      <c r="I681" s="182">
        <v>14498406.423620833</v>
      </c>
      <c r="J681" s="182"/>
      <c r="K681" s="182">
        <v>13825960.147164043</v>
      </c>
      <c r="L681" s="182"/>
      <c r="M681" s="182">
        <v>13825960.147164043</v>
      </c>
      <c r="N681" s="182">
        <v>0</v>
      </c>
      <c r="O681" s="182">
        <v>14546529.286582477</v>
      </c>
      <c r="P681" s="182">
        <v>720569.13941843517</v>
      </c>
      <c r="Q681" s="182">
        <v>1.0204870548887301E-2</v>
      </c>
      <c r="R681" s="182">
        <v>0</v>
      </c>
      <c r="S681" s="182">
        <f t="shared" si="88"/>
        <v>148532233.80232328</v>
      </c>
      <c r="T681" s="192">
        <f t="shared" si="90"/>
        <v>1.0251008469615686E-2</v>
      </c>
      <c r="Y681" s="192" t="e">
        <f t="shared" si="91"/>
        <v>#DIV/0!</v>
      </c>
    </row>
    <row r="682" spans="1:25" ht="14.4">
      <c r="A682" s="187">
        <f t="shared" si="92"/>
        <v>54630</v>
      </c>
      <c r="B682" s="182">
        <v>16181342.924778465</v>
      </c>
      <c r="C682" s="182">
        <v>695898.16757135699</v>
      </c>
      <c r="D682" s="182">
        <v>15485444.757207109</v>
      </c>
      <c r="E682" s="182">
        <v>0</v>
      </c>
      <c r="F682" s="189">
        <f t="shared" si="89"/>
        <v>0</v>
      </c>
      <c r="G682" s="182">
        <v>16181342.924778465</v>
      </c>
      <c r="H682" s="182"/>
      <c r="I682" s="182">
        <v>15485444.757207109</v>
      </c>
      <c r="J682" s="182"/>
      <c r="K682" s="182">
        <v>14732414.624522466</v>
      </c>
      <c r="L682" s="182"/>
      <c r="M682" s="182">
        <v>14732414.624522466</v>
      </c>
      <c r="N682" s="182">
        <v>0</v>
      </c>
      <c r="O682" s="182">
        <v>15428312.792093823</v>
      </c>
      <c r="P682" s="182">
        <v>695898.16757135699</v>
      </c>
      <c r="Q682" s="182">
        <v>1.0198883136204318E-2</v>
      </c>
      <c r="R682" s="182">
        <v>0</v>
      </c>
      <c r="S682" s="182">
        <f t="shared" si="88"/>
        <v>148680971.02385253</v>
      </c>
      <c r="T682" s="192">
        <f t="shared" si="90"/>
        <v>1.024134301345514E-2</v>
      </c>
      <c r="Y682" s="192" t="e">
        <f t="shared" si="91"/>
        <v>#DIV/0!</v>
      </c>
    </row>
    <row r="683" spans="1:25" ht="14.4">
      <c r="A683" s="187">
        <f t="shared" si="92"/>
        <v>54661</v>
      </c>
      <c r="B683" s="182">
        <v>16472622.720595347</v>
      </c>
      <c r="C683" s="182">
        <v>736081.25113742857</v>
      </c>
      <c r="D683" s="182">
        <v>15736541.469457919</v>
      </c>
      <c r="E683" s="182">
        <v>0</v>
      </c>
      <c r="F683" s="189">
        <f t="shared" si="89"/>
        <v>0</v>
      </c>
      <c r="G683" s="182">
        <v>16472622.720595347</v>
      </c>
      <c r="H683" s="182"/>
      <c r="I683" s="182">
        <v>15736541.469457919</v>
      </c>
      <c r="J683" s="182"/>
      <c r="K683" s="182">
        <v>14927958.107229395</v>
      </c>
      <c r="L683" s="182"/>
      <c r="M683" s="182">
        <v>14927958.107229395</v>
      </c>
      <c r="N683" s="182">
        <v>0</v>
      </c>
      <c r="O683" s="182">
        <v>15664039.358366823</v>
      </c>
      <c r="P683" s="182">
        <v>736081.25113742857</v>
      </c>
      <c r="Q683" s="182">
        <v>1.0192241271687497E-2</v>
      </c>
      <c r="R683" s="182">
        <v>0</v>
      </c>
      <c r="S683" s="182">
        <f t="shared" si="88"/>
        <v>148831585.27776024</v>
      </c>
      <c r="T683" s="192">
        <f t="shared" si="90"/>
        <v>1.0231573047853937E-2</v>
      </c>
      <c r="Y683" s="192" t="e">
        <f t="shared" si="91"/>
        <v>#DIV/0!</v>
      </c>
    </row>
    <row r="684" spans="1:25" ht="14.4">
      <c r="A684" s="187">
        <f t="shared" si="92"/>
        <v>54692</v>
      </c>
      <c r="B684" s="182">
        <v>15166576.668043714</v>
      </c>
      <c r="C684" s="182">
        <v>709261.41724381666</v>
      </c>
      <c r="D684" s="182">
        <v>14457315.250799898</v>
      </c>
      <c r="E684" s="182">
        <v>0</v>
      </c>
      <c r="F684" s="189">
        <f t="shared" si="89"/>
        <v>0</v>
      </c>
      <c r="G684" s="182">
        <v>15166576.668043714</v>
      </c>
      <c r="H684" s="182"/>
      <c r="I684" s="182">
        <v>14457315.250799898</v>
      </c>
      <c r="J684" s="182"/>
      <c r="K684" s="182">
        <v>13714351.226629868</v>
      </c>
      <c r="L684" s="182"/>
      <c r="M684" s="182">
        <v>13714351.226629868</v>
      </c>
      <c r="N684" s="182">
        <v>0</v>
      </c>
      <c r="O684" s="182">
        <v>14423612.643873684</v>
      </c>
      <c r="P684" s="182">
        <v>709261.41724381666</v>
      </c>
      <c r="Q684" s="182">
        <v>1.0182640750078908E-2</v>
      </c>
      <c r="R684" s="182">
        <v>0</v>
      </c>
      <c r="S684" s="182">
        <f t="shared" si="88"/>
        <v>148969825.93447703</v>
      </c>
      <c r="T684" s="192">
        <f t="shared" si="90"/>
        <v>1.0222626996912343E-2</v>
      </c>
      <c r="Y684" s="192" t="e">
        <f t="shared" si="91"/>
        <v>#DIV/0!</v>
      </c>
    </row>
    <row r="685" spans="1:25" ht="14.4">
      <c r="A685" s="187">
        <f t="shared" si="92"/>
        <v>54722</v>
      </c>
      <c r="B685" s="182">
        <v>14222531.213501353</v>
      </c>
      <c r="C685" s="182">
        <v>649643.66226285766</v>
      </c>
      <c r="D685" s="182">
        <v>13572887.551238496</v>
      </c>
      <c r="E685" s="182">
        <v>0</v>
      </c>
      <c r="F685" s="189">
        <f t="shared" si="89"/>
        <v>0</v>
      </c>
      <c r="G685" s="182">
        <v>14222531.213501353</v>
      </c>
      <c r="H685" s="182"/>
      <c r="I685" s="182">
        <v>13572887.551238496</v>
      </c>
      <c r="J685" s="182"/>
      <c r="K685" s="182">
        <v>12875763.787257889</v>
      </c>
      <c r="L685" s="182"/>
      <c r="M685" s="182">
        <v>12875763.787257889</v>
      </c>
      <c r="N685" s="182">
        <v>0</v>
      </c>
      <c r="O685" s="182">
        <v>13525407.449520746</v>
      </c>
      <c r="P685" s="182">
        <v>649643.66226285766</v>
      </c>
      <c r="Q685" s="182">
        <v>1.0172121837321413E-2</v>
      </c>
      <c r="R685" s="182">
        <v>0</v>
      </c>
      <c r="S685" s="182">
        <f t="shared" si="88"/>
        <v>149099480.90629938</v>
      </c>
      <c r="T685" s="192">
        <f t="shared" si="90"/>
        <v>1.0214253884577307E-2</v>
      </c>
      <c r="Y685" s="192" t="e">
        <f t="shared" si="91"/>
        <v>#DIV/0!</v>
      </c>
    </row>
    <row r="686" spans="1:25" ht="14.4">
      <c r="A686" s="187">
        <f t="shared" si="92"/>
        <v>54753</v>
      </c>
      <c r="B686" s="182">
        <v>11895814.049322251</v>
      </c>
      <c r="C686" s="182">
        <v>582631.64231404325</v>
      </c>
      <c r="D686" s="182">
        <v>11313182.407008208</v>
      </c>
      <c r="E686" s="182">
        <v>0</v>
      </c>
      <c r="F686" s="189">
        <f t="shared" si="89"/>
        <v>0</v>
      </c>
      <c r="G686" s="182">
        <v>11895814.049322251</v>
      </c>
      <c r="H686" s="182"/>
      <c r="I686" s="182">
        <v>11313182.407008208</v>
      </c>
      <c r="J686" s="182"/>
      <c r="K686" s="182">
        <v>10795080.790524015</v>
      </c>
      <c r="L686" s="182"/>
      <c r="M686" s="182">
        <v>10795080.790524015</v>
      </c>
      <c r="N686" s="182">
        <v>0</v>
      </c>
      <c r="O686" s="182">
        <v>11377712.432838058</v>
      </c>
      <c r="P686" s="182">
        <v>582631.64231404325</v>
      </c>
      <c r="Q686" s="182">
        <v>1.0158395521676189E-2</v>
      </c>
      <c r="R686" s="182">
        <v>0</v>
      </c>
      <c r="S686" s="182">
        <f t="shared" si="88"/>
        <v>149208038.83230856</v>
      </c>
      <c r="T686" s="192">
        <f t="shared" si="90"/>
        <v>1.0207254272985189E-2</v>
      </c>
      <c r="Y686" s="192" t="e">
        <f t="shared" si="91"/>
        <v>#DIV/0!</v>
      </c>
    </row>
    <row r="687" spans="1:25" ht="14.4">
      <c r="A687" s="187">
        <f t="shared" si="92"/>
        <v>54783</v>
      </c>
      <c r="B687" s="182">
        <v>12249542.004192684</v>
      </c>
      <c r="C687" s="182">
        <v>553561.13367589854</v>
      </c>
      <c r="D687" s="182">
        <v>11695980.870516784</v>
      </c>
      <c r="E687" s="182">
        <v>0</v>
      </c>
      <c r="F687" s="189">
        <f t="shared" si="89"/>
        <v>0</v>
      </c>
      <c r="G687" s="182">
        <v>12249542.004192684</v>
      </c>
      <c r="H687" s="182"/>
      <c r="I687" s="182">
        <v>11695980.870516784</v>
      </c>
      <c r="J687" s="182"/>
      <c r="K687" s="182">
        <v>11110104.256521288</v>
      </c>
      <c r="L687" s="182"/>
      <c r="M687" s="182">
        <v>11110104.256521288</v>
      </c>
      <c r="N687" s="182">
        <v>0</v>
      </c>
      <c r="O687" s="182">
        <v>11663665.390197188</v>
      </c>
      <c r="P687" s="182">
        <v>553561.13367589854</v>
      </c>
      <c r="Q687" s="182">
        <v>1.0150907985578606E-2</v>
      </c>
      <c r="R687" s="182">
        <v>0</v>
      </c>
      <c r="S687" s="182">
        <f t="shared" si="88"/>
        <v>149319683.18675759</v>
      </c>
      <c r="T687" s="192">
        <f t="shared" si="90"/>
        <v>1.0200066863190971E-2</v>
      </c>
      <c r="Y687" s="192" t="e">
        <f t="shared" si="91"/>
        <v>#DIV/0!</v>
      </c>
    </row>
    <row r="688" spans="1:25" ht="14.4">
      <c r="A688" s="187">
        <f t="shared" si="92"/>
        <v>54814</v>
      </c>
      <c r="B688" s="182">
        <v>12397052.560781522</v>
      </c>
      <c r="C688" s="182">
        <v>549312.52720958169</v>
      </c>
      <c r="D688" s="182">
        <v>11847740.03357194</v>
      </c>
      <c r="E688" s="182">
        <v>0</v>
      </c>
      <c r="F688" s="189">
        <f t="shared" si="89"/>
        <v>0</v>
      </c>
      <c r="G688" s="182">
        <v>12397052.560781522</v>
      </c>
      <c r="H688" s="182"/>
      <c r="I688" s="182">
        <v>11847740.03357194</v>
      </c>
      <c r="J688" s="182"/>
      <c r="K688" s="182">
        <v>11221655.010994243</v>
      </c>
      <c r="L688" s="182"/>
      <c r="M688" s="182">
        <v>11221655.010994243</v>
      </c>
      <c r="N688" s="182">
        <v>0</v>
      </c>
      <c r="O688" s="182">
        <v>11770967.538203824</v>
      </c>
      <c r="P688" s="182">
        <v>549312.52720958169</v>
      </c>
      <c r="Q688" s="182">
        <v>1.0152120395758191E-2</v>
      </c>
      <c r="R688" s="182">
        <v>0</v>
      </c>
      <c r="S688" s="182">
        <f t="shared" si="88"/>
        <v>149432461.83703321</v>
      </c>
      <c r="T688" s="192">
        <f t="shared" si="90"/>
        <v>1.019281671858363E-2</v>
      </c>
      <c r="Y688" s="192" t="e">
        <f t="shared" si="91"/>
        <v>#DIV/0!</v>
      </c>
    </row>
    <row r="689" spans="1:25" ht="14.4">
      <c r="A689" s="187">
        <f t="shared" si="92"/>
        <v>54845</v>
      </c>
      <c r="B689" s="182">
        <v>11446373.286980556</v>
      </c>
      <c r="C689" s="182">
        <v>531030.52730096143</v>
      </c>
      <c r="D689" s="182">
        <v>10915342.759679595</v>
      </c>
      <c r="E689" s="182">
        <v>0</v>
      </c>
      <c r="F689" s="189">
        <f t="shared" si="89"/>
        <v>0</v>
      </c>
      <c r="G689" s="182">
        <v>11446373.286980556</v>
      </c>
      <c r="H689" s="182"/>
      <c r="I689" s="182">
        <v>10915342.759679595</v>
      </c>
      <c r="J689" s="182"/>
      <c r="K689" s="182">
        <v>10340736.6883788</v>
      </c>
      <c r="L689" s="182"/>
      <c r="M689" s="182">
        <v>10340736.6883788</v>
      </c>
      <c r="N689" s="182">
        <v>0</v>
      </c>
      <c r="O689" s="182">
        <v>10871767.215679761</v>
      </c>
      <c r="P689" s="182">
        <v>531030.52730096143</v>
      </c>
      <c r="Q689" s="182">
        <v>1.0139936369489622E-2</v>
      </c>
      <c r="R689" s="182">
        <v>0</v>
      </c>
      <c r="S689" s="182">
        <f t="shared" si="88"/>
        <v>149536263.70473352</v>
      </c>
      <c r="T689" s="192">
        <f t="shared" si="90"/>
        <v>1.0186150197031063E-2</v>
      </c>
      <c r="Y689" s="192" t="e">
        <f t="shared" si="91"/>
        <v>#DIV/0!</v>
      </c>
    </row>
    <row r="690" spans="1:25" ht="14.4">
      <c r="A690" s="187">
        <f t="shared" si="92"/>
        <v>54874</v>
      </c>
      <c r="B690" s="182">
        <v>12571682.108405247</v>
      </c>
      <c r="C690" s="182">
        <v>626672.7797992141</v>
      </c>
      <c r="D690" s="182">
        <v>11945009.328606034</v>
      </c>
      <c r="E690" s="182">
        <v>0</v>
      </c>
      <c r="F690" s="189">
        <f t="shared" si="89"/>
        <v>0</v>
      </c>
      <c r="G690" s="182">
        <v>12571682.108405247</v>
      </c>
      <c r="H690" s="182"/>
      <c r="I690" s="182">
        <v>11945009.328606034</v>
      </c>
      <c r="J690" s="182"/>
      <c r="K690" s="182">
        <v>11325282.431162218</v>
      </c>
      <c r="L690" s="182"/>
      <c r="M690" s="182">
        <v>11325282.431162218</v>
      </c>
      <c r="N690" s="182">
        <v>0</v>
      </c>
      <c r="O690" s="182">
        <v>11951955.210961431</v>
      </c>
      <c r="P690" s="182">
        <v>626672.7797992141</v>
      </c>
      <c r="Q690" s="182">
        <v>1.0129426988127355E-2</v>
      </c>
      <c r="R690" s="182">
        <v>0</v>
      </c>
      <c r="S690" s="182">
        <f t="shared" si="88"/>
        <v>149649831.94504151</v>
      </c>
      <c r="T690" s="192">
        <f t="shared" si="90"/>
        <v>1.0178862266475797E-2</v>
      </c>
      <c r="Y690" s="192" t="e">
        <f t="shared" si="91"/>
        <v>#DIV/0!</v>
      </c>
    </row>
    <row r="691" spans="1:25" ht="14.4">
      <c r="A691" s="187">
        <f t="shared" si="92"/>
        <v>54905</v>
      </c>
      <c r="B691" s="182">
        <v>12942868.255431755</v>
      </c>
      <c r="C691" s="182">
        <v>681380.1254105306</v>
      </c>
      <c r="D691" s="182">
        <v>12261488.130021224</v>
      </c>
      <c r="E691" s="182">
        <v>0</v>
      </c>
      <c r="F691" s="189">
        <f t="shared" si="89"/>
        <v>0</v>
      </c>
      <c r="G691" s="182">
        <v>12942868.255431755</v>
      </c>
      <c r="H691" s="182"/>
      <c r="I691" s="182">
        <v>12261488.130021224</v>
      </c>
      <c r="J691" s="182"/>
      <c r="K691" s="182">
        <v>11670548.780325107</v>
      </c>
      <c r="L691" s="182"/>
      <c r="M691" s="182">
        <v>11670548.780325107</v>
      </c>
      <c r="N691" s="182">
        <v>0</v>
      </c>
      <c r="O691" s="182">
        <v>12351928.905735638</v>
      </c>
      <c r="P691" s="182">
        <v>681380.1254105306</v>
      </c>
      <c r="Q691" s="182">
        <v>1.0123414805042641E-2</v>
      </c>
      <c r="R691" s="182">
        <v>0</v>
      </c>
      <c r="S691" s="182">
        <f t="shared" si="88"/>
        <v>149766793.69899562</v>
      </c>
      <c r="T691" s="192">
        <f t="shared" si="90"/>
        <v>1.0171367637096029E-2</v>
      </c>
      <c r="Y691" s="192" t="e">
        <f t="shared" si="91"/>
        <v>#DIV/0!</v>
      </c>
    </row>
    <row r="692" spans="1:25" ht="14.4">
      <c r="A692" s="187">
        <f t="shared" si="92"/>
        <v>54935</v>
      </c>
      <c r="B692" s="182">
        <v>14703649.767056249</v>
      </c>
      <c r="C692" s="182">
        <v>701996.88593478862</v>
      </c>
      <c r="D692" s="182">
        <v>14001652.88112146</v>
      </c>
      <c r="E692" s="182">
        <v>0</v>
      </c>
      <c r="F692" s="189">
        <f t="shared" si="89"/>
        <v>0</v>
      </c>
      <c r="G692" s="182">
        <v>14703649.767056249</v>
      </c>
      <c r="H692" s="182"/>
      <c r="I692" s="182">
        <v>14001652.88112146</v>
      </c>
      <c r="J692" s="182"/>
      <c r="K692" s="182">
        <v>13360797.226725981</v>
      </c>
      <c r="L692" s="182"/>
      <c r="M692" s="182">
        <v>13360797.226725981</v>
      </c>
      <c r="N692" s="182">
        <v>0</v>
      </c>
      <c r="O692" s="182">
        <v>14062794.112660769</v>
      </c>
      <c r="P692" s="182">
        <v>701996.88593478862</v>
      </c>
      <c r="Q692" s="182">
        <v>1.0120209225678245E-2</v>
      </c>
      <c r="R692" s="182">
        <v>0</v>
      </c>
      <c r="S692" s="182">
        <f t="shared" si="88"/>
        <v>149900653.07743531</v>
      </c>
      <c r="T692" s="192">
        <f t="shared" si="90"/>
        <v>1.0162814468922532E-2</v>
      </c>
      <c r="Y692" s="192" t="e">
        <f t="shared" si="91"/>
        <v>#DIV/0!</v>
      </c>
    </row>
    <row r="693" spans="1:25" ht="14.4">
      <c r="A693" s="187">
        <f t="shared" si="92"/>
        <v>54966</v>
      </c>
      <c r="B693" s="182">
        <v>15376174.192306703</v>
      </c>
      <c r="C693" s="182">
        <v>731060.52282048634</v>
      </c>
      <c r="D693" s="182">
        <v>14645113.669486217</v>
      </c>
      <c r="E693" s="182">
        <v>0</v>
      </c>
      <c r="F693" s="189">
        <f t="shared" si="89"/>
        <v>0</v>
      </c>
      <c r="G693" s="182">
        <v>15376174.192306703</v>
      </c>
      <c r="H693" s="182"/>
      <c r="I693" s="182">
        <v>14645113.669486217</v>
      </c>
      <c r="J693" s="182"/>
      <c r="K693" s="182">
        <v>13965721.61455195</v>
      </c>
      <c r="L693" s="182"/>
      <c r="M693" s="182">
        <v>13965721.61455195</v>
      </c>
      <c r="N693" s="182">
        <v>0</v>
      </c>
      <c r="O693" s="182">
        <v>14696782.137372436</v>
      </c>
      <c r="P693" s="182">
        <v>731060.52282048634</v>
      </c>
      <c r="Q693" s="182">
        <v>1.0108626518540609E-2</v>
      </c>
      <c r="R693" s="182">
        <v>0</v>
      </c>
      <c r="S693" s="182">
        <f t="shared" si="88"/>
        <v>150040414.54482323</v>
      </c>
      <c r="T693" s="192">
        <f t="shared" si="90"/>
        <v>1.0153895244766398E-2</v>
      </c>
      <c r="Y693" s="192" t="e">
        <f t="shared" si="91"/>
        <v>#DIV/0!</v>
      </c>
    </row>
    <row r="694" spans="1:25" ht="14.4">
      <c r="A694" s="187">
        <f t="shared" si="92"/>
        <v>54996</v>
      </c>
      <c r="B694" s="182">
        <v>16348029.827616539</v>
      </c>
      <c r="C694" s="182">
        <v>705989.82073963888</v>
      </c>
      <c r="D694" s="182">
        <v>15642040.006876901</v>
      </c>
      <c r="E694" s="182">
        <v>0</v>
      </c>
      <c r="F694" s="189">
        <f t="shared" si="89"/>
        <v>0</v>
      </c>
      <c r="G694" s="182">
        <v>16348029.827616539</v>
      </c>
      <c r="H694" s="182"/>
      <c r="I694" s="182">
        <v>15642040.006876901</v>
      </c>
      <c r="J694" s="182"/>
      <c r="K694" s="182">
        <v>14881252.776333047</v>
      </c>
      <c r="L694" s="182"/>
      <c r="M694" s="182">
        <v>14881252.776333047</v>
      </c>
      <c r="N694" s="182">
        <v>0</v>
      </c>
      <c r="O694" s="182">
        <v>15587242.597072685</v>
      </c>
      <c r="P694" s="182">
        <v>705989.82073963888</v>
      </c>
      <c r="Q694" s="182">
        <v>1.0102766966851195E-2</v>
      </c>
      <c r="R694" s="182">
        <v>0</v>
      </c>
      <c r="S694" s="182">
        <f t="shared" si="88"/>
        <v>150189252.69663379</v>
      </c>
      <c r="T694" s="192">
        <f t="shared" si="90"/>
        <v>1.0144416345917451E-2</v>
      </c>
      <c r="Y694" s="192" t="e">
        <f t="shared" si="91"/>
        <v>#DIV/0!</v>
      </c>
    </row>
    <row r="695" spans="1:25" ht="14.4">
      <c r="A695" s="187">
        <f t="shared" si="92"/>
        <v>55027</v>
      </c>
      <c r="B695" s="182">
        <v>16642368.40780792</v>
      </c>
      <c r="C695" s="182">
        <v>746778.61556251918</v>
      </c>
      <c r="D695" s="182">
        <v>15895589.792245401</v>
      </c>
      <c r="E695" s="182">
        <v>0</v>
      </c>
      <c r="F695" s="189">
        <f t="shared" si="89"/>
        <v>0</v>
      </c>
      <c r="G695" s="182">
        <v>16642368.40780792</v>
      </c>
      <c r="H695" s="182"/>
      <c r="I695" s="182">
        <v>15895589.792245401</v>
      </c>
      <c r="J695" s="182"/>
      <c r="K695" s="182">
        <v>15078674.208681015</v>
      </c>
      <c r="L695" s="182"/>
      <c r="M695" s="182">
        <v>15078674.208681015</v>
      </c>
      <c r="N695" s="182">
        <v>0</v>
      </c>
      <c r="O695" s="182">
        <v>15825452.824243534</v>
      </c>
      <c r="P695" s="182">
        <v>746778.61556251918</v>
      </c>
      <c r="Q695" s="182">
        <v>1.0096230199000189E-2</v>
      </c>
      <c r="R695" s="182">
        <v>0</v>
      </c>
      <c r="S695" s="182">
        <f t="shared" si="88"/>
        <v>150339968.79808539</v>
      </c>
      <c r="T695" s="192">
        <f t="shared" si="90"/>
        <v>1.0134834736256426E-2</v>
      </c>
      <c r="Y695" s="192" t="e">
        <f t="shared" si="91"/>
        <v>#DIV/0!</v>
      </c>
    </row>
    <row r="696" spans="1:25" ht="14.4">
      <c r="A696" s="187">
        <f t="shared" si="92"/>
        <v>55058</v>
      </c>
      <c r="B696" s="182">
        <v>15322916.320413815</v>
      </c>
      <c r="C696" s="182">
        <v>719607.78173733677</v>
      </c>
      <c r="D696" s="182">
        <v>14603308.538676478</v>
      </c>
      <c r="E696" s="182">
        <v>0</v>
      </c>
      <c r="F696" s="189">
        <f t="shared" si="89"/>
        <v>0</v>
      </c>
      <c r="G696" s="182">
        <v>15322916.320413815</v>
      </c>
      <c r="H696" s="182"/>
      <c r="I696" s="182">
        <v>14603308.538676478</v>
      </c>
      <c r="J696" s="182"/>
      <c r="K696" s="182">
        <v>13852685.914955305</v>
      </c>
      <c r="L696" s="182"/>
      <c r="M696" s="182">
        <v>13852685.914955305</v>
      </c>
      <c r="N696" s="182">
        <v>0</v>
      </c>
      <c r="O696" s="182">
        <v>14572293.696692642</v>
      </c>
      <c r="P696" s="182">
        <v>719607.78173733677</v>
      </c>
      <c r="Q696" s="182">
        <v>1.0086856172738523E-2</v>
      </c>
      <c r="R696" s="182">
        <v>0</v>
      </c>
      <c r="S696" s="182">
        <f t="shared" si="88"/>
        <v>150478303.48641086</v>
      </c>
      <c r="T696" s="192">
        <f t="shared" si="90"/>
        <v>1.0126061049418933E-2</v>
      </c>
      <c r="Y696" s="192" t="e">
        <f t="shared" si="91"/>
        <v>#DIV/0!</v>
      </c>
    </row>
    <row r="697" spans="1:25" ht="14.4">
      <c r="A697" s="187">
        <f t="shared" si="92"/>
        <v>55088</v>
      </c>
      <c r="B697" s="182">
        <v>14368924.368798044</v>
      </c>
      <c r="C697" s="182">
        <v>659117.81489998475</v>
      </c>
      <c r="D697" s="182">
        <v>13709806.553898059</v>
      </c>
      <c r="E697" s="182">
        <v>0</v>
      </c>
      <c r="F697" s="189">
        <f t="shared" si="89"/>
        <v>0</v>
      </c>
      <c r="G697" s="182">
        <v>14368924.368798044</v>
      </c>
      <c r="H697" s="182"/>
      <c r="I697" s="182">
        <v>13709806.553898059</v>
      </c>
      <c r="J697" s="182"/>
      <c r="K697" s="182">
        <v>13005507.263570599</v>
      </c>
      <c r="L697" s="182"/>
      <c r="M697" s="182">
        <v>13005507.263570599</v>
      </c>
      <c r="N697" s="182">
        <v>0</v>
      </c>
      <c r="O697" s="182">
        <v>13664625.078470584</v>
      </c>
      <c r="P697" s="182">
        <v>659117.81489998475</v>
      </c>
      <c r="Q697" s="182">
        <v>1.007656543381974E-2</v>
      </c>
      <c r="R697" s="182">
        <v>0</v>
      </c>
      <c r="S697" s="182">
        <f t="shared" si="88"/>
        <v>150608046.96272358</v>
      </c>
      <c r="T697" s="192">
        <f t="shared" si="90"/>
        <v>1.0117849151817238E-2</v>
      </c>
      <c r="Y697" s="192" t="e">
        <f t="shared" si="91"/>
        <v>#DIV/0!</v>
      </c>
    </row>
    <row r="698" spans="1:25" ht="14.4">
      <c r="A698" s="187">
        <f t="shared" si="92"/>
        <v>55119</v>
      </c>
      <c r="B698" s="182">
        <v>12018297.460428664</v>
      </c>
      <c r="C698" s="182">
        <v>591148.50179538445</v>
      </c>
      <c r="D698" s="182">
        <v>11427148.958633279</v>
      </c>
      <c r="E698" s="182">
        <v>0</v>
      </c>
      <c r="F698" s="189">
        <f t="shared" si="89"/>
        <v>0</v>
      </c>
      <c r="G698" s="182">
        <v>12018297.460428664</v>
      </c>
      <c r="H698" s="182"/>
      <c r="I698" s="182">
        <v>11427148.958633279</v>
      </c>
      <c r="J698" s="182"/>
      <c r="K698" s="182">
        <v>10903712.788916864</v>
      </c>
      <c r="L698" s="182"/>
      <c r="M698" s="182">
        <v>10903712.788916864</v>
      </c>
      <c r="N698" s="182">
        <v>0</v>
      </c>
      <c r="O698" s="182">
        <v>11494861.290712249</v>
      </c>
      <c r="P698" s="182">
        <v>591148.50179538445</v>
      </c>
      <c r="Q698" s="182">
        <v>1.0063101935115393E-2</v>
      </c>
      <c r="R698" s="182">
        <v>0</v>
      </c>
      <c r="S698" s="182">
        <f t="shared" si="88"/>
        <v>150716678.9611164</v>
      </c>
      <c r="T698" s="192">
        <f t="shared" si="90"/>
        <v>1.0110984237942988E-2</v>
      </c>
      <c r="Y698" s="192" t="e">
        <f t="shared" si="91"/>
        <v>#DIV/0!</v>
      </c>
    </row>
    <row r="699" spans="1:25" ht="14.4">
      <c r="A699" s="187">
        <f t="shared" si="92"/>
        <v>55149</v>
      </c>
      <c r="B699" s="182">
        <v>12375353.703153551</v>
      </c>
      <c r="C699" s="182">
        <v>561634.84965454321</v>
      </c>
      <c r="D699" s="182">
        <v>11813718.853499006</v>
      </c>
      <c r="E699" s="182">
        <v>0</v>
      </c>
      <c r="F699" s="189">
        <f t="shared" si="89"/>
        <v>0</v>
      </c>
      <c r="G699" s="182">
        <v>12375353.703153551</v>
      </c>
      <c r="H699" s="182"/>
      <c r="I699" s="182">
        <v>11813718.853499006</v>
      </c>
      <c r="J699" s="182"/>
      <c r="K699" s="182">
        <v>11221824.860881276</v>
      </c>
      <c r="L699" s="182"/>
      <c r="M699" s="182">
        <v>11221824.860881276</v>
      </c>
      <c r="N699" s="182">
        <v>0</v>
      </c>
      <c r="O699" s="182">
        <v>11783459.710535819</v>
      </c>
      <c r="P699" s="182">
        <v>561634.84965454321</v>
      </c>
      <c r="Q699" s="182">
        <v>1.0055765614837675E-2</v>
      </c>
      <c r="R699" s="182">
        <v>0</v>
      </c>
      <c r="S699" s="182">
        <f t="shared" si="88"/>
        <v>150828399.56547639</v>
      </c>
      <c r="T699" s="192">
        <f t="shared" si="90"/>
        <v>1.0103935037364176E-2</v>
      </c>
      <c r="Y699" s="192" t="e">
        <f t="shared" si="91"/>
        <v>#DIV/0!</v>
      </c>
    </row>
    <row r="700" spans="1:25" ht="14.4">
      <c r="A700" s="187">
        <f t="shared" si="92"/>
        <v>55180</v>
      </c>
      <c r="B700" s="182">
        <v>12524346.087768503</v>
      </c>
      <c r="C700" s="182">
        <v>557321.81526134</v>
      </c>
      <c r="D700" s="182">
        <v>11967024.272507163</v>
      </c>
      <c r="E700" s="182">
        <v>0</v>
      </c>
      <c r="F700" s="189">
        <f t="shared" si="89"/>
        <v>0</v>
      </c>
      <c r="G700" s="182">
        <v>12524346.087768503</v>
      </c>
      <c r="H700" s="182"/>
      <c r="I700" s="182">
        <v>11967024.272507163</v>
      </c>
      <c r="J700" s="182"/>
      <c r="K700" s="182">
        <v>11334510.579055732</v>
      </c>
      <c r="L700" s="182"/>
      <c r="M700" s="182">
        <v>11334510.579055732</v>
      </c>
      <c r="N700" s="182">
        <v>0</v>
      </c>
      <c r="O700" s="182">
        <v>11891832.394317072</v>
      </c>
      <c r="P700" s="182">
        <v>557321.81526134</v>
      </c>
      <c r="Q700" s="182">
        <v>1.0056945071909684E-2</v>
      </c>
      <c r="R700" s="182">
        <v>0</v>
      </c>
      <c r="S700" s="182">
        <f t="shared" si="88"/>
        <v>150941255.13353789</v>
      </c>
      <c r="T700" s="192">
        <f t="shared" si="90"/>
        <v>1.0096824197075138E-2</v>
      </c>
      <c r="Y700" s="192" t="e">
        <f t="shared" si="91"/>
        <v>#DIV/0!</v>
      </c>
    </row>
    <row r="701" spans="1:25" ht="14.4">
      <c r="A701" s="187">
        <f t="shared" si="92"/>
        <v>55211</v>
      </c>
      <c r="B701" s="182">
        <v>11563893.154654294</v>
      </c>
      <c r="C701" s="182">
        <v>538778.73237010767</v>
      </c>
      <c r="D701" s="182">
        <v>11025114.422284186</v>
      </c>
      <c r="E701" s="182">
        <v>0</v>
      </c>
      <c r="F701" s="189">
        <f t="shared" si="89"/>
        <v>0</v>
      </c>
      <c r="G701" s="182">
        <v>11563893.154654294</v>
      </c>
      <c r="H701" s="182"/>
      <c r="I701" s="182">
        <v>11025114.422284186</v>
      </c>
      <c r="J701" s="182"/>
      <c r="K701" s="182">
        <v>10444608.872801894</v>
      </c>
      <c r="L701" s="182"/>
      <c r="M701" s="182">
        <v>10444608.872801894</v>
      </c>
      <c r="N701" s="182">
        <v>0</v>
      </c>
      <c r="O701" s="182">
        <v>10983387.605172003</v>
      </c>
      <c r="P701" s="182">
        <v>538778.73237010767</v>
      </c>
      <c r="Q701" s="182">
        <v>1.0044950137820363E-2</v>
      </c>
      <c r="R701" s="182">
        <v>0</v>
      </c>
      <c r="S701" s="182">
        <f t="shared" si="88"/>
        <v>151045127.31796098</v>
      </c>
      <c r="T701" s="192">
        <f t="shared" si="90"/>
        <v>1.0090285632699647E-2</v>
      </c>
      <c r="Y701" s="192" t="e">
        <f t="shared" si="91"/>
        <v>#DIV/0!</v>
      </c>
    </row>
    <row r="702" spans="1:25" ht="14.4">
      <c r="A702" s="187">
        <f t="shared" si="92"/>
        <v>55240</v>
      </c>
      <c r="B702" s="182">
        <v>12700845.554302992</v>
      </c>
      <c r="C702" s="182">
        <v>635824.60772362852</v>
      </c>
      <c r="D702" s="182">
        <v>12065020.946579363</v>
      </c>
      <c r="E702" s="182">
        <v>0</v>
      </c>
      <c r="F702" s="189">
        <f t="shared" si="89"/>
        <v>0</v>
      </c>
      <c r="G702" s="182">
        <v>12700845.554302992</v>
      </c>
      <c r="H702" s="182"/>
      <c r="I702" s="182">
        <v>12065020.946579363</v>
      </c>
      <c r="J702" s="182"/>
      <c r="K702" s="182">
        <v>11438926.877193151</v>
      </c>
      <c r="L702" s="182"/>
      <c r="M702" s="182">
        <v>11438926.877193151</v>
      </c>
      <c r="N702" s="182">
        <v>0</v>
      </c>
      <c r="O702" s="182">
        <v>12074751.48491678</v>
      </c>
      <c r="P702" s="182">
        <v>635824.60772362852</v>
      </c>
      <c r="Q702" s="182">
        <v>1.0034579421898782E-2</v>
      </c>
      <c r="R702" s="182">
        <v>0</v>
      </c>
      <c r="S702" s="182">
        <f t="shared" si="88"/>
        <v>151158771.76399192</v>
      </c>
      <c r="T702" s="192">
        <f t="shared" si="90"/>
        <v>1.0083137410435317E-2</v>
      </c>
      <c r="Y702" s="192" t="e">
        <f t="shared" si="91"/>
        <v>#DIV/0!</v>
      </c>
    </row>
    <row r="703" spans="1:25" ht="14.4">
      <c r="A703" s="187">
        <f t="shared" si="92"/>
        <v>55271</v>
      </c>
      <c r="B703" s="182">
        <v>13075944.367550539</v>
      </c>
      <c r="C703" s="182">
        <v>691340.16340265016</v>
      </c>
      <c r="D703" s="182">
        <v>12384604.204147888</v>
      </c>
      <c r="E703" s="182">
        <v>0</v>
      </c>
      <c r="F703" s="189">
        <f t="shared" si="89"/>
        <v>0</v>
      </c>
      <c r="G703" s="182">
        <v>13075944.367550539</v>
      </c>
      <c r="H703" s="182"/>
      <c r="I703" s="182">
        <v>12384604.204147888</v>
      </c>
      <c r="J703" s="182"/>
      <c r="K703" s="182">
        <v>11787588.928343002</v>
      </c>
      <c r="L703" s="182"/>
      <c r="M703" s="182">
        <v>11787588.928343002</v>
      </c>
      <c r="N703" s="182">
        <v>0</v>
      </c>
      <c r="O703" s="182">
        <v>12478929.091745652</v>
      </c>
      <c r="P703" s="182">
        <v>691340.16340265016</v>
      </c>
      <c r="Q703" s="182">
        <v>1.0028675619368377E-2</v>
      </c>
      <c r="R703" s="182">
        <v>0</v>
      </c>
      <c r="S703" s="182">
        <f t="shared" si="88"/>
        <v>151275811.91200981</v>
      </c>
      <c r="T703" s="192">
        <f t="shared" si="90"/>
        <v>1.0075786332496728E-2</v>
      </c>
      <c r="Y703" s="192" t="e">
        <f t="shared" si="91"/>
        <v>#DIV/0!</v>
      </c>
    </row>
    <row r="704" spans="1:25" ht="14.4">
      <c r="A704" s="187">
        <f t="shared" si="92"/>
        <v>55301</v>
      </c>
      <c r="B704" s="182">
        <v>14854405.942960106</v>
      </c>
      <c r="C704" s="182">
        <v>712231.83813225862</v>
      </c>
      <c r="D704" s="182">
        <v>14142174.104827847</v>
      </c>
      <c r="E704" s="182">
        <v>0</v>
      </c>
      <c r="F704" s="189">
        <f t="shared" si="89"/>
        <v>0</v>
      </c>
      <c r="G704" s="182">
        <v>14854405.942960106</v>
      </c>
      <c r="H704" s="182"/>
      <c r="I704" s="182">
        <v>14142174.104827847</v>
      </c>
      <c r="J704" s="182"/>
      <c r="K704" s="182">
        <v>13494747.772451483</v>
      </c>
      <c r="L704" s="182"/>
      <c r="M704" s="182">
        <v>13494747.772451483</v>
      </c>
      <c r="N704" s="182">
        <v>0</v>
      </c>
      <c r="O704" s="182">
        <v>14206979.610583741</v>
      </c>
      <c r="P704" s="182">
        <v>712231.83813225862</v>
      </c>
      <c r="Q704" s="182">
        <v>1.0025640195897578E-2</v>
      </c>
      <c r="R704" s="182">
        <v>0</v>
      </c>
      <c r="S704" s="182">
        <f t="shared" si="88"/>
        <v>151409762.4577353</v>
      </c>
      <c r="T704" s="192">
        <f t="shared" si="90"/>
        <v>1.0067396968046705E-2</v>
      </c>
      <c r="Y704" s="192" t="e">
        <f t="shared" si="91"/>
        <v>#DIV/0!</v>
      </c>
    </row>
    <row r="705" spans="1:25" ht="14.4">
      <c r="A705" s="187">
        <f t="shared" si="92"/>
        <v>55332</v>
      </c>
      <c r="B705" s="182">
        <v>15533632.139044451</v>
      </c>
      <c r="C705" s="182">
        <v>741705.37773954042</v>
      </c>
      <c r="D705" s="182">
        <v>14791926.761304909</v>
      </c>
      <c r="E705" s="182">
        <v>0</v>
      </c>
      <c r="F705" s="189">
        <f t="shared" si="89"/>
        <v>0</v>
      </c>
      <c r="G705" s="182">
        <v>15533632.139044451</v>
      </c>
      <c r="H705" s="182"/>
      <c r="I705" s="182">
        <v>14791926.761304909</v>
      </c>
      <c r="J705" s="182"/>
      <c r="K705" s="182">
        <v>14105577.470021602</v>
      </c>
      <c r="L705" s="182"/>
      <c r="M705" s="182">
        <v>14105577.470021602</v>
      </c>
      <c r="N705" s="182">
        <v>0</v>
      </c>
      <c r="O705" s="182">
        <v>14847282.847761143</v>
      </c>
      <c r="P705" s="182">
        <v>741705.37773954042</v>
      </c>
      <c r="Q705" s="182">
        <v>1.0014223348396412E-2</v>
      </c>
      <c r="R705" s="182">
        <v>0</v>
      </c>
      <c r="S705" s="182">
        <f t="shared" si="88"/>
        <v>151549618.31320497</v>
      </c>
      <c r="T705" s="192">
        <f t="shared" si="90"/>
        <v>1.0058648351247257E-2</v>
      </c>
      <c r="Y705" s="192" t="e">
        <f t="shared" si="91"/>
        <v>#DIV/0!</v>
      </c>
    </row>
    <row r="706" spans="1:25" ht="14.4">
      <c r="A706" s="187">
        <f t="shared" si="92"/>
        <v>55362</v>
      </c>
      <c r="B706" s="182">
        <v>16514976.624045007</v>
      </c>
      <c r="C706" s="182">
        <v>716228.58474812913</v>
      </c>
      <c r="D706" s="182">
        <v>15798748.039296879</v>
      </c>
      <c r="E706" s="182">
        <v>0</v>
      </c>
      <c r="F706" s="189">
        <f t="shared" si="89"/>
        <v>0</v>
      </c>
      <c r="G706" s="182">
        <v>16514976.624045007</v>
      </c>
      <c r="H706" s="182"/>
      <c r="I706" s="182">
        <v>15798748.039296879</v>
      </c>
      <c r="J706" s="182"/>
      <c r="K706" s="182">
        <v>15030191.61624223</v>
      </c>
      <c r="L706" s="182"/>
      <c r="M706" s="182">
        <v>15030191.61624223</v>
      </c>
      <c r="N706" s="182">
        <v>0</v>
      </c>
      <c r="O706" s="182">
        <v>15746420.200990358</v>
      </c>
      <c r="P706" s="182">
        <v>716228.58474812913</v>
      </c>
      <c r="Q706" s="182">
        <v>1.0008488004857652E-2</v>
      </c>
      <c r="R706" s="182">
        <v>0</v>
      </c>
      <c r="S706" s="182">
        <f t="shared" si="88"/>
        <v>151698557.15311417</v>
      </c>
      <c r="T706" s="192">
        <f t="shared" si="90"/>
        <v>1.0049350598534623E-2</v>
      </c>
      <c r="Y706" s="192" t="e">
        <f t="shared" si="91"/>
        <v>#DIV/0!</v>
      </c>
    </row>
    <row r="707" spans="1:25" ht="14.4">
      <c r="A707" s="187">
        <f t="shared" si="92"/>
        <v>55393</v>
      </c>
      <c r="B707" s="182">
        <v>16812385.23405024</v>
      </c>
      <c r="C707" s="182">
        <v>757632.21294979274</v>
      </c>
      <c r="D707" s="182">
        <v>16054753.021100448</v>
      </c>
      <c r="E707" s="182">
        <v>0</v>
      </c>
      <c r="F707" s="189">
        <f t="shared" si="89"/>
        <v>0</v>
      </c>
      <c r="G707" s="182">
        <v>16812385.23405024</v>
      </c>
      <c r="H707" s="182"/>
      <c r="I707" s="182">
        <v>16054753.021100448</v>
      </c>
      <c r="J707" s="182"/>
      <c r="K707" s="182">
        <v>15229491.906934761</v>
      </c>
      <c r="L707" s="182"/>
      <c r="M707" s="182">
        <v>15229491.906934761</v>
      </c>
      <c r="N707" s="182">
        <v>0</v>
      </c>
      <c r="O707" s="182">
        <v>15987124.119884552</v>
      </c>
      <c r="P707" s="182">
        <v>757632.21294979274</v>
      </c>
      <c r="Q707" s="182">
        <v>1.0002052976707754E-2</v>
      </c>
      <c r="R707" s="182">
        <v>0</v>
      </c>
      <c r="S707" s="182">
        <f t="shared" si="88"/>
        <v>151849374.85136792</v>
      </c>
      <c r="T707" s="192">
        <f t="shared" si="90"/>
        <v>1.0039951886046561E-2</v>
      </c>
      <c r="Y707" s="192" t="e">
        <f t="shared" si="91"/>
        <v>#DIV/0!</v>
      </c>
    </row>
    <row r="708" spans="1:25" ht="14.4">
      <c r="A708" s="187">
        <f t="shared" si="92"/>
        <v>55424</v>
      </c>
      <c r="B708" s="182">
        <v>15479514.022742331</v>
      </c>
      <c r="C708" s="182">
        <v>730105.74487018539</v>
      </c>
      <c r="D708" s="182">
        <v>14749408.277872145</v>
      </c>
      <c r="E708" s="182">
        <v>0</v>
      </c>
      <c r="F708" s="189">
        <f t="shared" si="89"/>
        <v>0</v>
      </c>
      <c r="G708" s="182">
        <v>15479514.022742331</v>
      </c>
      <c r="H708" s="182"/>
      <c r="I708" s="182">
        <v>14749408.277872145</v>
      </c>
      <c r="J708" s="182"/>
      <c r="K708" s="182">
        <v>13991114.413524674</v>
      </c>
      <c r="L708" s="182"/>
      <c r="M708" s="182">
        <v>13991114.413524674</v>
      </c>
      <c r="N708" s="182">
        <v>0</v>
      </c>
      <c r="O708" s="182">
        <v>14721220.15839486</v>
      </c>
      <c r="P708" s="182">
        <v>730105.74487018539</v>
      </c>
      <c r="Q708" s="182">
        <v>9.9928995300415657E-3</v>
      </c>
      <c r="R708" s="182">
        <v>0</v>
      </c>
      <c r="S708" s="182">
        <f t="shared" ref="S708:S771" si="93">SUM(M697:M708)</f>
        <v>151987803.34993729</v>
      </c>
      <c r="T708" s="192">
        <f t="shared" si="90"/>
        <v>1.0031345573102923E-2</v>
      </c>
      <c r="Y708" s="192" t="e">
        <f t="shared" si="91"/>
        <v>#DIV/0!</v>
      </c>
    </row>
    <row r="709" spans="1:25" ht="14.4">
      <c r="A709" s="187">
        <f t="shared" si="92"/>
        <v>55454</v>
      </c>
      <c r="B709" s="182">
        <v>14515556.316970246</v>
      </c>
      <c r="C709" s="182">
        <v>668730.75414641993</v>
      </c>
      <c r="D709" s="182">
        <v>13846825.562823826</v>
      </c>
      <c r="E709" s="182">
        <v>0</v>
      </c>
      <c r="F709" s="189">
        <f t="shared" si="89"/>
        <v>0</v>
      </c>
      <c r="G709" s="182">
        <v>14515556.316970246</v>
      </c>
      <c r="H709" s="182"/>
      <c r="I709" s="182">
        <v>13846825.562823826</v>
      </c>
      <c r="J709" s="182"/>
      <c r="K709" s="182">
        <v>13135339.041609325</v>
      </c>
      <c r="L709" s="182"/>
      <c r="M709" s="182">
        <v>13135339.041609325</v>
      </c>
      <c r="N709" s="182">
        <v>0</v>
      </c>
      <c r="O709" s="182">
        <v>13804069.795755744</v>
      </c>
      <c r="P709" s="182">
        <v>668730.75414641993</v>
      </c>
      <c r="Q709" s="182">
        <v>9.9828307660396742E-3</v>
      </c>
      <c r="R709" s="182">
        <v>0</v>
      </c>
      <c r="S709" s="182">
        <f t="shared" si="93"/>
        <v>152117635.127976</v>
      </c>
      <c r="T709" s="192">
        <f t="shared" si="90"/>
        <v>1.0023290227155313E-2</v>
      </c>
      <c r="Y709" s="192" t="e">
        <f t="shared" si="91"/>
        <v>#DIV/0!</v>
      </c>
    </row>
    <row r="710" spans="1:25" ht="14.4">
      <c r="A710" s="187">
        <f t="shared" si="92"/>
        <v>55485</v>
      </c>
      <c r="B710" s="182">
        <v>12140988.85330032</v>
      </c>
      <c r="C710" s="182">
        <v>599790.37723537057</v>
      </c>
      <c r="D710" s="182">
        <v>11541198.47606495</v>
      </c>
      <c r="E710" s="182">
        <v>0</v>
      </c>
      <c r="F710" s="189">
        <f t="shared" si="89"/>
        <v>0</v>
      </c>
      <c r="G710" s="182">
        <v>12140988.85330032</v>
      </c>
      <c r="H710" s="182"/>
      <c r="I710" s="182">
        <v>11541198.47606495</v>
      </c>
      <c r="J710" s="182"/>
      <c r="K710" s="182">
        <v>11012418.694830066</v>
      </c>
      <c r="L710" s="182"/>
      <c r="M710" s="182">
        <v>11012418.694830066</v>
      </c>
      <c r="N710" s="182">
        <v>0</v>
      </c>
      <c r="O710" s="182">
        <v>11612209.072065435</v>
      </c>
      <c r="P710" s="182">
        <v>599790.37723537057</v>
      </c>
      <c r="Q710" s="182">
        <v>9.9696230098518246E-3</v>
      </c>
      <c r="R710" s="182">
        <v>0</v>
      </c>
      <c r="S710" s="182">
        <f t="shared" si="93"/>
        <v>152226341.0338892</v>
      </c>
      <c r="T710" s="192">
        <f t="shared" si="90"/>
        <v>1.0016556118266573E-2</v>
      </c>
      <c r="Y710" s="192" t="e">
        <f t="shared" si="91"/>
        <v>#DIV/0!</v>
      </c>
    </row>
    <row r="711" spans="1:25" ht="14.4">
      <c r="A711" s="187">
        <f t="shared" si="92"/>
        <v>55515</v>
      </c>
      <c r="B711" s="182">
        <v>12501369.526672073</v>
      </c>
      <c r="C711" s="182">
        <v>569826.84732229239</v>
      </c>
      <c r="D711" s="182">
        <v>11931542.67934978</v>
      </c>
      <c r="E711" s="182">
        <v>0</v>
      </c>
      <c r="F711" s="189">
        <f t="shared" si="89"/>
        <v>0</v>
      </c>
      <c r="G711" s="182">
        <v>12501369.526672073</v>
      </c>
      <c r="H711" s="182"/>
      <c r="I711" s="182">
        <v>11931542.67934978</v>
      </c>
      <c r="J711" s="182"/>
      <c r="K711" s="182">
        <v>11333621.545148499</v>
      </c>
      <c r="L711" s="182"/>
      <c r="M711" s="182">
        <v>11333621.545148499</v>
      </c>
      <c r="N711" s="182">
        <v>0</v>
      </c>
      <c r="O711" s="182">
        <v>11903448.392470792</v>
      </c>
      <c r="P711" s="182">
        <v>569826.84732229239</v>
      </c>
      <c r="Q711" s="182">
        <v>9.9624335304804301E-3</v>
      </c>
      <c r="R711" s="182">
        <v>0</v>
      </c>
      <c r="S711" s="182">
        <f t="shared" si="93"/>
        <v>152338137.7181564</v>
      </c>
      <c r="T711" s="192">
        <f t="shared" si="90"/>
        <v>1.0009641135419134E-2</v>
      </c>
      <c r="Y711" s="192" t="e">
        <f t="shared" si="91"/>
        <v>#DIV/0!</v>
      </c>
    </row>
    <row r="712" spans="1:25" ht="14.4">
      <c r="A712" s="187">
        <f t="shared" si="92"/>
        <v>55546</v>
      </c>
      <c r="B712" s="182">
        <v>12651843.987303978</v>
      </c>
      <c r="C712" s="182">
        <v>565448.40999156178</v>
      </c>
      <c r="D712" s="182">
        <v>12086395.577312415</v>
      </c>
      <c r="E712" s="182">
        <v>0</v>
      </c>
      <c r="F712" s="189">
        <f t="shared" si="89"/>
        <v>0</v>
      </c>
      <c r="G712" s="182">
        <v>12651843.987303978</v>
      </c>
      <c r="H712" s="182"/>
      <c r="I712" s="182">
        <v>12086395.577312415</v>
      </c>
      <c r="J712" s="182"/>
      <c r="K712" s="182">
        <v>11447442.891615214</v>
      </c>
      <c r="L712" s="182"/>
      <c r="M712" s="182">
        <v>11447442.891615214</v>
      </c>
      <c r="N712" s="182">
        <v>0</v>
      </c>
      <c r="O712" s="182">
        <v>12012891.301606776</v>
      </c>
      <c r="P712" s="182">
        <v>565448.40999156178</v>
      </c>
      <c r="Q712" s="182">
        <v>9.9635808508715673E-3</v>
      </c>
      <c r="R712" s="182">
        <v>0</v>
      </c>
      <c r="S712" s="182">
        <f t="shared" si="93"/>
        <v>152451070.03071588</v>
      </c>
      <c r="T712" s="192">
        <f t="shared" si="90"/>
        <v>1.0002665579017966E-2</v>
      </c>
      <c r="Y712" s="192" t="e">
        <f t="shared" si="91"/>
        <v>#DIV/0!</v>
      </c>
    </row>
    <row r="713" spans="1:25" ht="14.4">
      <c r="A713" s="187">
        <f t="shared" si="92"/>
        <v>55577</v>
      </c>
      <c r="B713" s="182">
        <v>11681606.433859518</v>
      </c>
      <c r="C713" s="182">
        <v>546640.48950846936</v>
      </c>
      <c r="D713" s="182">
        <v>11134965.944351049</v>
      </c>
      <c r="E713" s="182">
        <v>0</v>
      </c>
      <c r="F713" s="189">
        <f t="shared" si="89"/>
        <v>0</v>
      </c>
      <c r="G713" s="182">
        <v>11681606.433859518</v>
      </c>
      <c r="H713" s="182"/>
      <c r="I713" s="182">
        <v>11134965.944351049</v>
      </c>
      <c r="J713" s="182"/>
      <c r="K713" s="182">
        <v>10548551.207459942</v>
      </c>
      <c r="L713" s="182"/>
      <c r="M713" s="182">
        <v>10548551.207459942</v>
      </c>
      <c r="N713" s="182">
        <v>0</v>
      </c>
      <c r="O713" s="182">
        <v>11095191.69696841</v>
      </c>
      <c r="P713" s="182">
        <v>546640.48950846936</v>
      </c>
      <c r="Q713" s="182">
        <v>9.9517689866508441E-3</v>
      </c>
      <c r="R713" s="182">
        <v>0</v>
      </c>
      <c r="S713" s="182">
        <f t="shared" si="93"/>
        <v>152555012.36537391</v>
      </c>
      <c r="T713" s="192">
        <f t="shared" si="90"/>
        <v>9.9962512808142723E-3</v>
      </c>
      <c r="Y713" s="192" t="e">
        <f t="shared" si="91"/>
        <v>#DIV/0!</v>
      </c>
    </row>
    <row r="714" spans="1:25" ht="14.4">
      <c r="A714" s="187">
        <f t="shared" si="92"/>
        <v>55606</v>
      </c>
      <c r="B714" s="182">
        <v>12830230.137591926</v>
      </c>
      <c r="C714" s="182">
        <v>645110.66079735581</v>
      </c>
      <c r="D714" s="182">
        <v>12185119.476794571</v>
      </c>
      <c r="E714" s="182">
        <v>0</v>
      </c>
      <c r="F714" s="189">
        <f t="shared" si="89"/>
        <v>0</v>
      </c>
      <c r="G714" s="182">
        <v>12830230.137591926</v>
      </c>
      <c r="H714" s="182"/>
      <c r="I714" s="182">
        <v>12185119.476794571</v>
      </c>
      <c r="J714" s="182"/>
      <c r="K714" s="182">
        <v>11552647.334395749</v>
      </c>
      <c r="L714" s="182"/>
      <c r="M714" s="182">
        <v>11552647.334395749</v>
      </c>
      <c r="N714" s="182">
        <v>0</v>
      </c>
      <c r="O714" s="182">
        <v>12197757.995193105</v>
      </c>
      <c r="P714" s="182">
        <v>645110.66079735581</v>
      </c>
      <c r="Q714" s="182">
        <v>9.9415319656719348E-3</v>
      </c>
      <c r="R714" s="182">
        <v>0</v>
      </c>
      <c r="S714" s="182">
        <f t="shared" si="93"/>
        <v>152668732.82257649</v>
      </c>
      <c r="T714" s="192">
        <f t="shared" si="90"/>
        <v>9.9892387386033565E-3</v>
      </c>
      <c r="Y714" s="192" t="e">
        <f t="shared" si="91"/>
        <v>#DIV/0!</v>
      </c>
    </row>
    <row r="715" spans="1:25" ht="14.4">
      <c r="A715" s="187">
        <f t="shared" si="92"/>
        <v>55637</v>
      </c>
      <c r="B715" s="182">
        <v>13209255.602499252</v>
      </c>
      <c r="C715" s="182">
        <v>701446.39724233618</v>
      </c>
      <c r="D715" s="182">
        <v>12507809.205256917</v>
      </c>
      <c r="E715" s="182">
        <v>0</v>
      </c>
      <c r="F715" s="189">
        <f t="shared" si="89"/>
        <v>0</v>
      </c>
      <c r="G715" s="182">
        <v>13209255.602499252</v>
      </c>
      <c r="H715" s="182"/>
      <c r="I715" s="182">
        <v>12507809.205256917</v>
      </c>
      <c r="J715" s="182"/>
      <c r="K715" s="182">
        <v>11904707.268216433</v>
      </c>
      <c r="L715" s="182"/>
      <c r="M715" s="182">
        <v>11904707.268216433</v>
      </c>
      <c r="N715" s="182">
        <v>0</v>
      </c>
      <c r="O715" s="182">
        <v>12606153.665458769</v>
      </c>
      <c r="P715" s="182">
        <v>701446.39724233618</v>
      </c>
      <c r="Q715" s="182">
        <v>9.9357333026623973E-3</v>
      </c>
      <c r="R715" s="182">
        <v>0</v>
      </c>
      <c r="S715" s="182">
        <f t="shared" si="93"/>
        <v>152785851.16244996</v>
      </c>
      <c r="T715" s="192">
        <f t="shared" si="90"/>
        <v>9.9820270759378715E-3</v>
      </c>
      <c r="Y715" s="192" t="e">
        <f t="shared" si="91"/>
        <v>#DIV/0!</v>
      </c>
    </row>
    <row r="716" spans="1:25" ht="14.4">
      <c r="A716" s="187">
        <f t="shared" si="92"/>
        <v>55667</v>
      </c>
      <c r="B716" s="182">
        <v>15005413.946078094</v>
      </c>
      <c r="C716" s="182">
        <v>722616.68773293728</v>
      </c>
      <c r="D716" s="182">
        <v>14282797.258345157</v>
      </c>
      <c r="E716" s="182">
        <v>0</v>
      </c>
      <c r="F716" s="189">
        <f t="shared" si="89"/>
        <v>0</v>
      </c>
      <c r="G716" s="182">
        <v>15005413.946078094</v>
      </c>
      <c r="H716" s="182"/>
      <c r="I716" s="182">
        <v>14282797.258345157</v>
      </c>
      <c r="J716" s="182"/>
      <c r="K716" s="182">
        <v>13628789.272148803</v>
      </c>
      <c r="L716" s="182"/>
      <c r="M716" s="182">
        <v>13628789.272148803</v>
      </c>
      <c r="N716" s="182">
        <v>0</v>
      </c>
      <c r="O716" s="182">
        <v>14351405.95988174</v>
      </c>
      <c r="P716" s="182">
        <v>722616.68773293728</v>
      </c>
      <c r="Q716" s="182">
        <v>9.9328643971365871E-3</v>
      </c>
      <c r="R716" s="182">
        <v>0</v>
      </c>
      <c r="S716" s="182">
        <f t="shared" si="93"/>
        <v>152919892.66214728</v>
      </c>
      <c r="T716" s="192">
        <f t="shared" si="90"/>
        <v>9.9737968008075661E-3</v>
      </c>
      <c r="Y716" s="192" t="e">
        <f t="shared" si="91"/>
        <v>#DIV/0!</v>
      </c>
    </row>
    <row r="717" spans="1:25" ht="14.4">
      <c r="A717" s="187">
        <f t="shared" si="92"/>
        <v>55698</v>
      </c>
      <c r="B717" s="182">
        <v>15691351.519010045</v>
      </c>
      <c r="C717" s="182">
        <v>752505.95830936753</v>
      </c>
      <c r="D717" s="182">
        <v>14938845.560700677</v>
      </c>
      <c r="E717" s="182">
        <v>0</v>
      </c>
      <c r="F717" s="189">
        <f t="shared" si="89"/>
        <v>0</v>
      </c>
      <c r="G717" s="182">
        <v>15691351.519010045</v>
      </c>
      <c r="H717" s="182"/>
      <c r="I717" s="182">
        <v>14938845.560700677</v>
      </c>
      <c r="J717" s="182"/>
      <c r="K717" s="182">
        <v>14245527.481712598</v>
      </c>
      <c r="L717" s="182"/>
      <c r="M717" s="182">
        <v>14245527.481712598</v>
      </c>
      <c r="N717" s="182">
        <v>0</v>
      </c>
      <c r="O717" s="182">
        <v>14998033.440021966</v>
      </c>
      <c r="P717" s="182">
        <v>752505.95830936753</v>
      </c>
      <c r="Q717" s="182">
        <v>9.9216081006558987E-3</v>
      </c>
      <c r="R717" s="182">
        <v>0</v>
      </c>
      <c r="S717" s="182">
        <f t="shared" si="93"/>
        <v>153059842.67383829</v>
      </c>
      <c r="T717" s="192">
        <f t="shared" si="90"/>
        <v>9.9652138846839655E-3</v>
      </c>
      <c r="Y717" s="192" t="e">
        <f t="shared" si="91"/>
        <v>#DIV/0!</v>
      </c>
    </row>
    <row r="718" spans="1:25" ht="14.4">
      <c r="A718" s="187">
        <f t="shared" si="92"/>
        <v>55728</v>
      </c>
      <c r="B718" s="182">
        <v>16682185.315077225</v>
      </c>
      <c r="C718" s="182">
        <v>726616.61383636936</v>
      </c>
      <c r="D718" s="182">
        <v>15955568.701240856</v>
      </c>
      <c r="E718" s="182">
        <v>0</v>
      </c>
      <c r="F718" s="189">
        <f t="shared" si="89"/>
        <v>0</v>
      </c>
      <c r="G718" s="182">
        <v>16682185.315077225</v>
      </c>
      <c r="H718" s="182"/>
      <c r="I718" s="182">
        <v>15955568.701240856</v>
      </c>
      <c r="J718" s="182"/>
      <c r="K718" s="182">
        <v>15179230.897902794</v>
      </c>
      <c r="L718" s="182"/>
      <c r="M718" s="182">
        <v>15179230.897902794</v>
      </c>
      <c r="N718" s="182">
        <v>0</v>
      </c>
      <c r="O718" s="182">
        <v>15905847.511739163</v>
      </c>
      <c r="P718" s="182">
        <v>726616.61383636936</v>
      </c>
      <c r="Q718" s="182">
        <v>9.9159934527719429E-3</v>
      </c>
      <c r="R718" s="182">
        <v>0</v>
      </c>
      <c r="S718" s="182">
        <f t="shared" si="93"/>
        <v>153208881.95549884</v>
      </c>
      <c r="T718" s="192">
        <f t="shared" si="90"/>
        <v>9.9560920731780467E-3</v>
      </c>
      <c r="Y718" s="192" t="e">
        <f t="shared" si="91"/>
        <v>#DIV/0!</v>
      </c>
    </row>
    <row r="719" spans="1:25" ht="14.4">
      <c r="A719" s="187">
        <f t="shared" si="92"/>
        <v>55759</v>
      </c>
      <c r="B719" s="182">
        <v>16982675.340910759</v>
      </c>
      <c r="C719" s="182">
        <v>768644.33481879171</v>
      </c>
      <c r="D719" s="182">
        <v>16214031.006091967</v>
      </c>
      <c r="E719" s="182">
        <v>0</v>
      </c>
      <c r="F719" s="189">
        <f t="shared" si="89"/>
        <v>0</v>
      </c>
      <c r="G719" s="182">
        <v>16982675.340910759</v>
      </c>
      <c r="H719" s="182"/>
      <c r="I719" s="182">
        <v>16214031.006091967</v>
      </c>
      <c r="J719" s="182"/>
      <c r="K719" s="182">
        <v>15380410.946936458</v>
      </c>
      <c r="L719" s="182"/>
      <c r="M719" s="182">
        <v>15380410.946936458</v>
      </c>
      <c r="N719" s="182">
        <v>0</v>
      </c>
      <c r="O719" s="182">
        <v>16149055.28175525</v>
      </c>
      <c r="P719" s="182">
        <v>768644.33481879171</v>
      </c>
      <c r="Q719" s="182">
        <v>9.9096569290650915E-3</v>
      </c>
      <c r="R719" s="182">
        <v>0</v>
      </c>
      <c r="S719" s="182">
        <f t="shared" si="93"/>
        <v>153359800.99550056</v>
      </c>
      <c r="T719" s="192">
        <f t="shared" si="90"/>
        <v>9.946871006950575E-3</v>
      </c>
      <c r="Y719" s="192" t="e">
        <f t="shared" si="91"/>
        <v>#DIV/0!</v>
      </c>
    </row>
    <row r="720" spans="1:25" ht="14.4">
      <c r="A720" s="187">
        <f t="shared" si="92"/>
        <v>55790</v>
      </c>
      <c r="B720" s="182">
        <v>15636371.882810554</v>
      </c>
      <c r="C720" s="182">
        <v>740757.53640088555</v>
      </c>
      <c r="D720" s="182">
        <v>14895614.346409667</v>
      </c>
      <c r="E720" s="182">
        <v>0</v>
      </c>
      <c r="F720" s="189">
        <f t="shared" ref="F720:F783" si="94">SUM(E709:E719)</f>
        <v>0</v>
      </c>
      <c r="G720" s="182">
        <v>15636371.882810554</v>
      </c>
      <c r="H720" s="182"/>
      <c r="I720" s="182">
        <v>14895614.346409667</v>
      </c>
      <c r="J720" s="182"/>
      <c r="K720" s="182">
        <v>14129636.497107007</v>
      </c>
      <c r="L720" s="182"/>
      <c r="M720" s="182">
        <v>14129636.497107007</v>
      </c>
      <c r="N720" s="182">
        <v>0</v>
      </c>
      <c r="O720" s="182">
        <v>14870394.033507893</v>
      </c>
      <c r="P720" s="182">
        <v>740757.53640088555</v>
      </c>
      <c r="Q720" s="182">
        <v>9.900718376545381E-3</v>
      </c>
      <c r="R720" s="182">
        <v>0</v>
      </c>
      <c r="S720" s="182">
        <f t="shared" si="93"/>
        <v>153498323.07908288</v>
      </c>
      <c r="T720" s="192">
        <f t="shared" si="90"/>
        <v>9.9384272675338003E-3</v>
      </c>
      <c r="Y720" s="192" t="e">
        <f t="shared" si="91"/>
        <v>#DIV/0!</v>
      </c>
    </row>
    <row r="721" spans="1:25" ht="14.4">
      <c r="A721" s="187">
        <f t="shared" si="92"/>
        <v>55820</v>
      </c>
      <c r="B721" s="182">
        <v>14662428.987163268</v>
      </c>
      <c r="C721" s="182">
        <v>678484.52091385308</v>
      </c>
      <c r="D721" s="182">
        <v>13983944.466249416</v>
      </c>
      <c r="E721" s="182">
        <v>0</v>
      </c>
      <c r="F721" s="189">
        <f t="shared" si="94"/>
        <v>0</v>
      </c>
      <c r="G721" s="182">
        <v>14662428.987163268</v>
      </c>
      <c r="H721" s="182"/>
      <c r="I721" s="182">
        <v>13983944.466249416</v>
      </c>
      <c r="J721" s="182"/>
      <c r="K721" s="182">
        <v>13265258.915049754</v>
      </c>
      <c r="L721" s="182"/>
      <c r="M721" s="182">
        <v>13265258.915049754</v>
      </c>
      <c r="N721" s="182">
        <v>0</v>
      </c>
      <c r="O721" s="182">
        <v>13943743.435963606</v>
      </c>
      <c r="P721" s="182">
        <v>678484.52091385308</v>
      </c>
      <c r="Q721" s="182">
        <v>9.890865628125578E-3</v>
      </c>
      <c r="R721" s="182">
        <v>0</v>
      </c>
      <c r="S721" s="182">
        <f t="shared" si="93"/>
        <v>153628242.95252332</v>
      </c>
      <c r="T721" s="192">
        <f t="shared" si="90"/>
        <v>9.9305239874156737E-3</v>
      </c>
      <c r="Y721" s="192" t="e">
        <f t="shared" si="91"/>
        <v>#DIV/0!</v>
      </c>
    </row>
    <row r="722" spans="1:25" ht="14.4">
      <c r="A722" s="187">
        <f t="shared" si="92"/>
        <v>55851</v>
      </c>
      <c r="B722" s="182">
        <v>12263889.977973616</v>
      </c>
      <c r="C722" s="182">
        <v>608559.11022425524</v>
      </c>
      <c r="D722" s="182">
        <v>11655330.867749361</v>
      </c>
      <c r="E722" s="182">
        <v>0</v>
      </c>
      <c r="F722" s="189">
        <f t="shared" si="94"/>
        <v>0</v>
      </c>
      <c r="G722" s="182">
        <v>12263889.977973616</v>
      </c>
      <c r="H722" s="182"/>
      <c r="I722" s="182">
        <v>11655330.867749361</v>
      </c>
      <c r="J722" s="182"/>
      <c r="K722" s="182">
        <v>11121198.340489956</v>
      </c>
      <c r="L722" s="182"/>
      <c r="M722" s="182">
        <v>11121198.340489956</v>
      </c>
      <c r="N722" s="182">
        <v>0</v>
      </c>
      <c r="O722" s="182">
        <v>11729757.45071421</v>
      </c>
      <c r="P722" s="182">
        <v>608559.11022425524</v>
      </c>
      <c r="Q722" s="182">
        <v>9.8779068136010117E-3</v>
      </c>
      <c r="R722" s="182">
        <v>0</v>
      </c>
      <c r="S722" s="182">
        <f t="shared" si="93"/>
        <v>153737022.59818321</v>
      </c>
      <c r="T722" s="192">
        <f t="shared" si="90"/>
        <v>9.9239169386440285E-3</v>
      </c>
      <c r="Y722" s="192" t="e">
        <f t="shared" si="91"/>
        <v>#DIV/0!</v>
      </c>
    </row>
    <row r="723" spans="1:25" ht="14.4">
      <c r="A723" s="187">
        <f t="shared" si="92"/>
        <v>55881</v>
      </c>
      <c r="B723" s="182">
        <v>12627591.119936939</v>
      </c>
      <c r="C723" s="182">
        <v>578138.86618429981</v>
      </c>
      <c r="D723" s="182">
        <v>12049452.25375264</v>
      </c>
      <c r="E723" s="182">
        <v>0</v>
      </c>
      <c r="F723" s="189">
        <f t="shared" si="94"/>
        <v>0</v>
      </c>
      <c r="G723" s="182">
        <v>12627591.119936939</v>
      </c>
      <c r="H723" s="182"/>
      <c r="I723" s="182">
        <v>12049452.25375264</v>
      </c>
      <c r="J723" s="182"/>
      <c r="K723" s="182">
        <v>11445494.136319675</v>
      </c>
      <c r="L723" s="182"/>
      <c r="M723" s="182">
        <v>11445494.136319675</v>
      </c>
      <c r="N723" s="182">
        <v>0</v>
      </c>
      <c r="O723" s="182">
        <v>12023633.002503974</v>
      </c>
      <c r="P723" s="182">
        <v>578138.86618429981</v>
      </c>
      <c r="Q723" s="182">
        <v>9.8708599652388429E-3</v>
      </c>
      <c r="R723" s="182">
        <v>0</v>
      </c>
      <c r="S723" s="182">
        <f t="shared" si="93"/>
        <v>153848895.18935436</v>
      </c>
      <c r="T723" s="192">
        <f t="shared" si="90"/>
        <v>9.9171323335529582E-3</v>
      </c>
      <c r="Y723" s="192" t="e">
        <f t="shared" si="91"/>
        <v>#DIV/0!</v>
      </c>
    </row>
    <row r="724" spans="1:25" ht="14.4">
      <c r="A724" s="187">
        <f t="shared" si="92"/>
        <v>55912</v>
      </c>
      <c r="B724" s="182">
        <v>12779547.890177555</v>
      </c>
      <c r="C724" s="182">
        <v>573694.03617461026</v>
      </c>
      <c r="D724" s="182">
        <v>12205853.854002945</v>
      </c>
      <c r="E724" s="182">
        <v>0</v>
      </c>
      <c r="F724" s="189">
        <f t="shared" si="94"/>
        <v>0</v>
      </c>
      <c r="G724" s="182">
        <v>12779547.890177555</v>
      </c>
      <c r="H724" s="182"/>
      <c r="I724" s="182">
        <v>12205853.854002945</v>
      </c>
      <c r="J724" s="182"/>
      <c r="K724" s="182">
        <v>11560451.772328606</v>
      </c>
      <c r="L724" s="182"/>
      <c r="M724" s="182">
        <v>11560451.772328606</v>
      </c>
      <c r="N724" s="182">
        <v>0</v>
      </c>
      <c r="O724" s="182">
        <v>12134145.808503216</v>
      </c>
      <c r="P724" s="182">
        <v>573694.03617461026</v>
      </c>
      <c r="Q724" s="182">
        <v>9.8719759323862011E-3</v>
      </c>
      <c r="R724" s="182">
        <v>0</v>
      </c>
      <c r="S724" s="182">
        <f t="shared" si="93"/>
        <v>153961904.07006776</v>
      </c>
      <c r="T724" s="192">
        <f t="shared" si="90"/>
        <v>9.9102881931065756E-3</v>
      </c>
      <c r="Y724" s="192" t="e">
        <f t="shared" si="91"/>
        <v>#DIV/0!</v>
      </c>
    </row>
    <row r="725" spans="1:25" ht="14.4">
      <c r="A725" s="187">
        <f t="shared" si="92"/>
        <v>55943</v>
      </c>
      <c r="B725" s="182">
        <v>11799514.704976998</v>
      </c>
      <c r="C725" s="182">
        <v>554617.46915849228</v>
      </c>
      <c r="D725" s="182">
        <v>11244897.235818505</v>
      </c>
      <c r="E725" s="182">
        <v>0</v>
      </c>
      <c r="F725" s="189">
        <f t="shared" si="94"/>
        <v>0</v>
      </c>
      <c r="G725" s="182">
        <v>11799514.704976998</v>
      </c>
      <c r="H725" s="182"/>
      <c r="I725" s="182">
        <v>11244897.235818505</v>
      </c>
      <c r="J725" s="182"/>
      <c r="K725" s="182">
        <v>10652563.522956401</v>
      </c>
      <c r="L725" s="182"/>
      <c r="M725" s="182">
        <v>10652563.522956401</v>
      </c>
      <c r="N725" s="182">
        <v>0</v>
      </c>
      <c r="O725" s="182">
        <v>11207180.992114894</v>
      </c>
      <c r="P725" s="182">
        <v>554617.46915849228</v>
      </c>
      <c r="Q725" s="182">
        <v>9.8603413351117108E-3</v>
      </c>
      <c r="R725" s="182">
        <v>0</v>
      </c>
      <c r="S725" s="182">
        <f t="shared" si="93"/>
        <v>154065916.38556424</v>
      </c>
      <c r="T725" s="192">
        <f t="shared" si="90"/>
        <v>9.9039946099683807E-3</v>
      </c>
      <c r="Y725" s="192" t="e">
        <f t="shared" si="91"/>
        <v>#DIV/0!</v>
      </c>
    </row>
    <row r="726" spans="1:25" ht="14.4">
      <c r="A726" s="187">
        <f t="shared" si="92"/>
        <v>55972</v>
      </c>
      <c r="B726" s="182">
        <v>12959837.728410449</v>
      </c>
      <c r="C726" s="182">
        <v>654532.91487162316</v>
      </c>
      <c r="D726" s="182">
        <v>12305304.813538825</v>
      </c>
      <c r="E726" s="182">
        <v>0</v>
      </c>
      <c r="F726" s="189">
        <f t="shared" si="94"/>
        <v>0</v>
      </c>
      <c r="G726" s="182">
        <v>12959837.728410449</v>
      </c>
      <c r="H726" s="182"/>
      <c r="I726" s="182">
        <v>12305304.813538825</v>
      </c>
      <c r="J726" s="182"/>
      <c r="K726" s="182">
        <v>11666443.604867844</v>
      </c>
      <c r="L726" s="182"/>
      <c r="M726" s="182">
        <v>11666443.604867844</v>
      </c>
      <c r="N726" s="182">
        <v>0</v>
      </c>
      <c r="O726" s="182">
        <v>12320976.519739468</v>
      </c>
      <c r="P726" s="182">
        <v>654532.91487162316</v>
      </c>
      <c r="Q726" s="182">
        <v>9.8502332130652182E-3</v>
      </c>
      <c r="R726" s="182">
        <v>0</v>
      </c>
      <c r="S726" s="182">
        <f t="shared" si="93"/>
        <v>154179712.65603629</v>
      </c>
      <c r="T726" s="192">
        <f t="shared" si="90"/>
        <v>9.8971138721362095E-3</v>
      </c>
      <c r="Y726" s="192" t="e">
        <f t="shared" si="91"/>
        <v>#DIV/0!</v>
      </c>
    </row>
    <row r="727" spans="1:25" ht="14.4">
      <c r="A727" s="187">
        <f t="shared" si="92"/>
        <v>56003</v>
      </c>
      <c r="B727" s="182">
        <v>13342804.001325881</v>
      </c>
      <c r="C727" s="182">
        <v>711700.980466965</v>
      </c>
      <c r="D727" s="182">
        <v>12631103.020858916</v>
      </c>
      <c r="E727" s="182">
        <v>0</v>
      </c>
      <c r="F727" s="189">
        <f t="shared" si="94"/>
        <v>0</v>
      </c>
      <c r="G727" s="182">
        <v>13342804.001325881</v>
      </c>
      <c r="H727" s="182"/>
      <c r="I727" s="182">
        <v>12631103.020858916</v>
      </c>
      <c r="J727" s="182"/>
      <c r="K727" s="182">
        <v>12021903.594266806</v>
      </c>
      <c r="L727" s="182"/>
      <c r="M727" s="182">
        <v>12021903.594266806</v>
      </c>
      <c r="N727" s="182">
        <v>0</v>
      </c>
      <c r="O727" s="182">
        <v>12733604.574733771</v>
      </c>
      <c r="P727" s="182">
        <v>711700.980466965</v>
      </c>
      <c r="Q727" s="182">
        <v>9.8445365694348475E-3</v>
      </c>
      <c r="R727" s="182">
        <v>0</v>
      </c>
      <c r="S727" s="182">
        <f t="shared" si="93"/>
        <v>154296908.98208669</v>
      </c>
      <c r="T727" s="192">
        <f t="shared" si="90"/>
        <v>9.8900376451094285E-3</v>
      </c>
      <c r="Y727" s="192" t="e">
        <f t="shared" si="91"/>
        <v>#DIV/0!</v>
      </c>
    </row>
    <row r="728" spans="1:25" ht="14.4">
      <c r="A728" s="187">
        <f t="shared" si="92"/>
        <v>56033</v>
      </c>
      <c r="B728" s="182">
        <v>15156675.853801208</v>
      </c>
      <c r="C728" s="182">
        <v>733153.63860733702</v>
      </c>
      <c r="D728" s="182">
        <v>14423522.215193871</v>
      </c>
      <c r="E728" s="182">
        <v>0</v>
      </c>
      <c r="F728" s="189">
        <f t="shared" si="94"/>
        <v>0</v>
      </c>
      <c r="G728" s="182">
        <v>15156675.853801208</v>
      </c>
      <c r="H728" s="182"/>
      <c r="I728" s="182">
        <v>14423522.215193871</v>
      </c>
      <c r="J728" s="182"/>
      <c r="K728" s="182">
        <v>13762921.508795749</v>
      </c>
      <c r="L728" s="182"/>
      <c r="M728" s="182">
        <v>13762921.508795749</v>
      </c>
      <c r="N728" s="182">
        <v>0</v>
      </c>
      <c r="O728" s="182">
        <v>14496075.147403086</v>
      </c>
      <c r="P728" s="182">
        <v>733153.63860733702</v>
      </c>
      <c r="Q728" s="182">
        <v>9.8418306988614646E-3</v>
      </c>
      <c r="R728" s="182">
        <v>0</v>
      </c>
      <c r="S728" s="182">
        <f t="shared" si="93"/>
        <v>154431041.21873364</v>
      </c>
      <c r="T728" s="192">
        <f t="shared" si="90"/>
        <v>9.881961923194682E-3</v>
      </c>
      <c r="Y728" s="192" t="e">
        <f t="shared" si="91"/>
        <v>#DIV/0!</v>
      </c>
    </row>
    <row r="729" spans="1:25" ht="14.4">
      <c r="A729" s="187">
        <f t="shared" si="92"/>
        <v>56064</v>
      </c>
      <c r="B729" s="182">
        <v>15849334.478550984</v>
      </c>
      <c r="C729" s="182">
        <v>763464.55188635981</v>
      </c>
      <c r="D729" s="182">
        <v>15085869.926664624</v>
      </c>
      <c r="E729" s="182">
        <v>0</v>
      </c>
      <c r="F729" s="189">
        <f t="shared" si="94"/>
        <v>0</v>
      </c>
      <c r="G729" s="182">
        <v>15849334.478550984</v>
      </c>
      <c r="H729" s="182"/>
      <c r="I729" s="182">
        <v>15085869.926664624</v>
      </c>
      <c r="J729" s="182"/>
      <c r="K729" s="182">
        <v>14385571.413780263</v>
      </c>
      <c r="L729" s="182"/>
      <c r="M729" s="182">
        <v>14385571.413780263</v>
      </c>
      <c r="N729" s="182">
        <v>0</v>
      </c>
      <c r="O729" s="182">
        <v>15149035.965666622</v>
      </c>
      <c r="P729" s="182">
        <v>763464.55188635981</v>
      </c>
      <c r="Q729" s="182">
        <v>9.8307298376589802E-3</v>
      </c>
      <c r="R729" s="182">
        <v>0</v>
      </c>
      <c r="S729" s="182">
        <f t="shared" si="93"/>
        <v>154571085.15080133</v>
      </c>
      <c r="T729" s="192">
        <f t="shared" si="90"/>
        <v>9.8735399864706697E-3</v>
      </c>
      <c r="Y729" s="192" t="e">
        <f t="shared" si="91"/>
        <v>#DIV/0!</v>
      </c>
    </row>
    <row r="730" spans="1:25" ht="14.4">
      <c r="A730" s="187">
        <f t="shared" si="92"/>
        <v>56094</v>
      </c>
      <c r="B730" s="182">
        <v>16849657.930515599</v>
      </c>
      <c r="C730" s="182">
        <v>737156.09391298029</v>
      </c>
      <c r="D730" s="182">
        <v>16112501.836602619</v>
      </c>
      <c r="E730" s="182">
        <v>0</v>
      </c>
      <c r="F730" s="189">
        <f t="shared" si="94"/>
        <v>0</v>
      </c>
      <c r="G730" s="182">
        <v>16849657.930515599</v>
      </c>
      <c r="H730" s="182"/>
      <c r="I730" s="182">
        <v>16112501.836602619</v>
      </c>
      <c r="J730" s="182"/>
      <c r="K730" s="182">
        <v>15328370.370747741</v>
      </c>
      <c r="L730" s="182"/>
      <c r="M730" s="182">
        <v>15328370.370747741</v>
      </c>
      <c r="N730" s="182">
        <v>0</v>
      </c>
      <c r="O730" s="182">
        <v>16065526.464660721</v>
      </c>
      <c r="P730" s="182">
        <v>737156.09391298029</v>
      </c>
      <c r="Q730" s="182">
        <v>9.825232506710968E-3</v>
      </c>
      <c r="R730" s="182">
        <v>0</v>
      </c>
      <c r="S730" s="182">
        <f t="shared" si="93"/>
        <v>154720224.62364626</v>
      </c>
      <c r="T730" s="192">
        <f t="shared" si="90"/>
        <v>9.8645891077411285E-3</v>
      </c>
      <c r="Y730" s="192" t="e">
        <f t="shared" si="91"/>
        <v>#DIV/0!</v>
      </c>
    </row>
    <row r="731" spans="1:25" ht="14.4">
      <c r="A731" s="187">
        <f t="shared" si="92"/>
        <v>56125</v>
      </c>
      <c r="B731" s="182">
        <v>17153240.900857434</v>
      </c>
      <c r="C731" s="182">
        <v>779817.30642284837</v>
      </c>
      <c r="D731" s="182">
        <v>16373423.594434585</v>
      </c>
      <c r="E731" s="182">
        <v>0</v>
      </c>
      <c r="F731" s="189">
        <f t="shared" si="94"/>
        <v>0</v>
      </c>
      <c r="G731" s="182">
        <v>17153240.900857434</v>
      </c>
      <c r="H731" s="182"/>
      <c r="I731" s="182">
        <v>16373423.594434585</v>
      </c>
      <c r="J731" s="182"/>
      <c r="K731" s="182">
        <v>15531431.069261894</v>
      </c>
      <c r="L731" s="182"/>
      <c r="M731" s="182">
        <v>15531431.069261894</v>
      </c>
      <c r="N731" s="182">
        <v>0</v>
      </c>
      <c r="O731" s="182">
        <v>16311248.375684742</v>
      </c>
      <c r="P731" s="182">
        <v>779817.30642284837</v>
      </c>
      <c r="Q731" s="182">
        <v>9.8189913680764018E-3</v>
      </c>
      <c r="R731" s="182">
        <v>0</v>
      </c>
      <c r="S731" s="182">
        <f t="shared" si="93"/>
        <v>154871244.74597168</v>
      </c>
      <c r="T731" s="192">
        <f t="shared" si="90"/>
        <v>9.8555406348985741E-3</v>
      </c>
      <c r="Y731" s="192" t="e">
        <f t="shared" si="91"/>
        <v>#DIV/0!</v>
      </c>
    </row>
    <row r="732" spans="1:25" ht="14.4">
      <c r="A732" s="187">
        <f t="shared" si="92"/>
        <v>56156</v>
      </c>
      <c r="B732" s="182">
        <v>15793492.038877226</v>
      </c>
      <c r="C732" s="182">
        <v>751565.41899066442</v>
      </c>
      <c r="D732" s="182">
        <v>15041926.619886562</v>
      </c>
      <c r="E732" s="182">
        <v>0</v>
      </c>
      <c r="F732" s="189">
        <f t="shared" si="94"/>
        <v>0</v>
      </c>
      <c r="G732" s="182">
        <v>15793492.038877226</v>
      </c>
      <c r="H732" s="182"/>
      <c r="I732" s="182">
        <v>15041926.619886562</v>
      </c>
      <c r="J732" s="182"/>
      <c r="K732" s="182">
        <v>14268251.936553089</v>
      </c>
      <c r="L732" s="182"/>
      <c r="M732" s="182">
        <v>14268251.936553089</v>
      </c>
      <c r="N732" s="182">
        <v>0</v>
      </c>
      <c r="O732" s="182">
        <v>15019817.355543753</v>
      </c>
      <c r="P732" s="182">
        <v>751565.41899066442</v>
      </c>
      <c r="Q732" s="182">
        <v>9.8102622437925557E-3</v>
      </c>
      <c r="R732" s="182">
        <v>0</v>
      </c>
      <c r="S732" s="182">
        <f t="shared" si="93"/>
        <v>155009860.18541777</v>
      </c>
      <c r="T732" s="192">
        <f t="shared" si="90"/>
        <v>9.8472548495278645E-3</v>
      </c>
      <c r="Y732" s="192" t="e">
        <f t="shared" si="91"/>
        <v>#DIV/0!</v>
      </c>
    </row>
    <row r="733" spans="1:25" ht="14.4">
      <c r="A733" s="187">
        <f t="shared" si="92"/>
        <v>56186</v>
      </c>
      <c r="B733" s="182">
        <v>14809544.336391561</v>
      </c>
      <c r="C733" s="182">
        <v>688381.18622496002</v>
      </c>
      <c r="D733" s="182">
        <v>14121163.150166601</v>
      </c>
      <c r="E733" s="182">
        <v>0</v>
      </c>
      <c r="F733" s="189">
        <f t="shared" si="94"/>
        <v>0</v>
      </c>
      <c r="G733" s="182">
        <v>14809544.336391561</v>
      </c>
      <c r="H733" s="182"/>
      <c r="I733" s="182">
        <v>14121163.150166601</v>
      </c>
      <c r="J733" s="182"/>
      <c r="K733" s="182">
        <v>13395266.673959725</v>
      </c>
      <c r="L733" s="182"/>
      <c r="M733" s="182">
        <v>13395266.673959725</v>
      </c>
      <c r="N733" s="182">
        <v>0</v>
      </c>
      <c r="O733" s="182">
        <v>14083647.860184684</v>
      </c>
      <c r="P733" s="182">
        <v>688381.18622496002</v>
      </c>
      <c r="Q733" s="182">
        <v>9.8006197800235562E-3</v>
      </c>
      <c r="R733" s="182">
        <v>0</v>
      </c>
      <c r="S733" s="182">
        <f t="shared" si="93"/>
        <v>155139867.94432774</v>
      </c>
      <c r="T733" s="192">
        <f t="shared" si="90"/>
        <v>9.8394993183092971E-3</v>
      </c>
      <c r="Y733" s="192" t="e">
        <f t="shared" si="91"/>
        <v>#DIV/0!</v>
      </c>
    </row>
    <row r="734" spans="1:25" ht="14.4">
      <c r="A734" s="187">
        <f t="shared" si="92"/>
        <v>56217</v>
      </c>
      <c r="B734" s="182">
        <v>12387002.609850382</v>
      </c>
      <c r="C734" s="182">
        <v>617456.56956244784</v>
      </c>
      <c r="D734" s="182">
        <v>11769546.040287934</v>
      </c>
      <c r="E734" s="182">
        <v>0</v>
      </c>
      <c r="F734" s="189">
        <f t="shared" si="94"/>
        <v>0</v>
      </c>
      <c r="G734" s="182">
        <v>12387002.609850382</v>
      </c>
      <c r="H734" s="182"/>
      <c r="I734" s="182">
        <v>11769546.040287934</v>
      </c>
      <c r="J734" s="182"/>
      <c r="K734" s="182">
        <v>11230051.555173395</v>
      </c>
      <c r="L734" s="182"/>
      <c r="M734" s="182">
        <v>11230051.555173395</v>
      </c>
      <c r="N734" s="182">
        <v>0</v>
      </c>
      <c r="O734" s="182">
        <v>11847508.124735843</v>
      </c>
      <c r="P734" s="182">
        <v>617456.56956244784</v>
      </c>
      <c r="Q734" s="182">
        <v>9.7879033671333104E-3</v>
      </c>
      <c r="R734" s="182">
        <v>0</v>
      </c>
      <c r="S734" s="182">
        <f t="shared" si="93"/>
        <v>155248721.15901119</v>
      </c>
      <c r="T734" s="192">
        <f t="shared" si="90"/>
        <v>9.8330157256854012E-3</v>
      </c>
      <c r="Y734" s="192" t="e">
        <f t="shared" si="91"/>
        <v>#DIV/0!</v>
      </c>
    </row>
    <row r="735" spans="1:25" ht="14.4">
      <c r="A735" s="187">
        <f t="shared" si="92"/>
        <v>56247</v>
      </c>
      <c r="B735" s="182">
        <v>12754020.151899194</v>
      </c>
      <c r="C735" s="182">
        <v>586572.67141143046</v>
      </c>
      <c r="D735" s="182">
        <v>12167447.480487764</v>
      </c>
      <c r="E735" s="182">
        <v>0</v>
      </c>
      <c r="F735" s="189">
        <f t="shared" si="94"/>
        <v>0</v>
      </c>
      <c r="G735" s="182">
        <v>12754020.151899194</v>
      </c>
      <c r="H735" s="182"/>
      <c r="I735" s="182">
        <v>12167447.480487764</v>
      </c>
      <c r="J735" s="182"/>
      <c r="K735" s="182">
        <v>11557442.458351633</v>
      </c>
      <c r="L735" s="182"/>
      <c r="M735" s="182">
        <v>11557442.458351633</v>
      </c>
      <c r="N735" s="182">
        <v>0</v>
      </c>
      <c r="O735" s="182">
        <v>12144015.129763063</v>
      </c>
      <c r="P735" s="182">
        <v>586572.67141143046</v>
      </c>
      <c r="Q735" s="182">
        <v>9.7809950971636805E-3</v>
      </c>
      <c r="R735" s="182">
        <v>0</v>
      </c>
      <c r="S735" s="182">
        <f t="shared" si="93"/>
        <v>155360669.48104316</v>
      </c>
      <c r="T735" s="192">
        <f t="shared" si="90"/>
        <v>9.8263578027526499E-3</v>
      </c>
      <c r="Y735" s="192" t="e">
        <f t="shared" si="91"/>
        <v>#DIV/0!</v>
      </c>
    </row>
    <row r="736" spans="1:25" ht="14.4">
      <c r="A736" s="187">
        <v>56277.42</v>
      </c>
      <c r="B736" s="182">
        <v>12907459.450713506</v>
      </c>
      <c r="C736" s="182">
        <v>582060.44402829942</v>
      </c>
      <c r="D736" s="182">
        <v>12325399.006685207</v>
      </c>
      <c r="E736" s="182">
        <v>0</v>
      </c>
      <c r="F736" s="189">
        <f t="shared" si="94"/>
        <v>0</v>
      </c>
      <c r="G736" s="182">
        <v>12907459.450713506</v>
      </c>
      <c r="H736" s="182"/>
      <c r="I736" s="182">
        <v>12325399.006685207</v>
      </c>
      <c r="J736" s="182"/>
      <c r="K736" s="182">
        <v>11673537.041754467</v>
      </c>
      <c r="L736" s="182"/>
      <c r="M736" s="182">
        <v>11673537.041754467</v>
      </c>
      <c r="N736" s="182">
        <v>0</v>
      </c>
      <c r="O736" s="182">
        <v>12255597.485782767</v>
      </c>
      <c r="P736" s="182">
        <v>582060.44402829942</v>
      </c>
      <c r="Q736" s="182">
        <v>9.7820804630270874E-3</v>
      </c>
      <c r="R736" s="182">
        <v>0</v>
      </c>
      <c r="S736" s="182">
        <f t="shared" si="93"/>
        <v>155473754.750469</v>
      </c>
      <c r="T736" s="192">
        <f t="shared" si="90"/>
        <v>9.8196413556512763E-3</v>
      </c>
      <c r="Y736" s="192" t="e">
        <f t="shared" si="91"/>
        <v>#DIV/0!</v>
      </c>
    </row>
    <row r="737" spans="1:25" ht="14.4">
      <c r="A737" s="187">
        <v>56307.839999999997</v>
      </c>
      <c r="B737" s="182">
        <v>11917619.571239717</v>
      </c>
      <c r="C737" s="182">
        <v>562711.36641552637</v>
      </c>
      <c r="D737" s="182">
        <v>11354908.204824191</v>
      </c>
      <c r="E737" s="182">
        <v>0</v>
      </c>
      <c r="F737" s="189">
        <f t="shared" si="94"/>
        <v>0</v>
      </c>
      <c r="G737" s="182">
        <v>11917619.571239717</v>
      </c>
      <c r="H737" s="182"/>
      <c r="I737" s="182">
        <v>11354908.204824191</v>
      </c>
      <c r="J737" s="182"/>
      <c r="K737" s="182">
        <v>10756645.646946879</v>
      </c>
      <c r="L737" s="182"/>
      <c r="M737" s="182">
        <v>10756645.646946879</v>
      </c>
      <c r="N737" s="182">
        <v>0</v>
      </c>
      <c r="O737" s="182">
        <v>11319357.013362406</v>
      </c>
      <c r="P737" s="182">
        <v>562711.36641552637</v>
      </c>
      <c r="Q737" s="182">
        <v>9.7706175387906047E-3</v>
      </c>
      <c r="R737" s="182">
        <v>0</v>
      </c>
      <c r="S737" s="182">
        <f t="shared" si="93"/>
        <v>155577836.87445948</v>
      </c>
      <c r="T737" s="192">
        <f t="shared" si="90"/>
        <v>9.8134650697920822E-3</v>
      </c>
      <c r="Y737" s="192" t="e">
        <f t="shared" si="91"/>
        <v>#DIV/0!</v>
      </c>
    </row>
    <row r="738" spans="1:25" ht="14.4">
      <c r="A738" s="187">
        <v>56338.259999999995</v>
      </c>
      <c r="B738" s="182">
        <v>13089670.224014033</v>
      </c>
      <c r="C738" s="182">
        <v>664093.37497406395</v>
      </c>
      <c r="D738" s="182">
        <v>12425576.849039968</v>
      </c>
      <c r="E738" s="182">
        <v>0</v>
      </c>
      <c r="F738" s="189">
        <f t="shared" si="94"/>
        <v>0</v>
      </c>
      <c r="G738" s="182">
        <v>13089670.224014033</v>
      </c>
      <c r="H738" s="182"/>
      <c r="I738" s="182">
        <v>12425576.849039968</v>
      </c>
      <c r="J738" s="182"/>
      <c r="K738" s="182">
        <v>11780315.487311188</v>
      </c>
      <c r="L738" s="182"/>
      <c r="M738" s="182">
        <v>11780315.487311188</v>
      </c>
      <c r="N738" s="182">
        <v>0</v>
      </c>
      <c r="O738" s="182">
        <v>12444408.862285253</v>
      </c>
      <c r="P738" s="182">
        <v>664093.37497406395</v>
      </c>
      <c r="Q738" s="182">
        <v>9.7606336858158116E-3</v>
      </c>
      <c r="R738" s="182">
        <v>0</v>
      </c>
      <c r="S738" s="182">
        <f t="shared" si="93"/>
        <v>155691708.75690281</v>
      </c>
      <c r="T738" s="192">
        <f t="shared" si="90"/>
        <v>9.8067124060587929E-3</v>
      </c>
      <c r="Y738" s="192" t="e">
        <f t="shared" si="91"/>
        <v>#DIV/0!</v>
      </c>
    </row>
    <row r="739" spans="1:25" ht="14.4">
      <c r="A739" s="187">
        <v>56368.679999999993</v>
      </c>
      <c r="B739" s="182">
        <v>13476591.634734012</v>
      </c>
      <c r="C739" s="182">
        <v>722106.09843256767</v>
      </c>
      <c r="D739" s="182">
        <v>12754485.536301445</v>
      </c>
      <c r="E739" s="182">
        <v>0</v>
      </c>
      <c r="F739" s="189">
        <f t="shared" si="94"/>
        <v>0</v>
      </c>
      <c r="G739" s="182">
        <v>13476591.634734012</v>
      </c>
      <c r="H739" s="182"/>
      <c r="I739" s="182">
        <v>12754485.536301445</v>
      </c>
      <c r="J739" s="182"/>
      <c r="K739" s="182">
        <v>12139177.697298476</v>
      </c>
      <c r="L739" s="182"/>
      <c r="M739" s="182">
        <v>12139177.697298476</v>
      </c>
      <c r="N739" s="182">
        <v>0</v>
      </c>
      <c r="O739" s="182">
        <v>12861283.795731043</v>
      </c>
      <c r="P739" s="182">
        <v>722106.09843256767</v>
      </c>
      <c r="Q739" s="182">
        <v>9.7550360566522887E-3</v>
      </c>
      <c r="R739" s="182">
        <v>0</v>
      </c>
      <c r="S739" s="182">
        <f t="shared" si="93"/>
        <v>155808982.85993448</v>
      </c>
      <c r="T739" s="192">
        <f t="shared" si="90"/>
        <v>9.7997677842227571E-3</v>
      </c>
      <c r="Y739" s="192" t="e">
        <f t="shared" si="91"/>
        <v>#DIV/0!</v>
      </c>
    </row>
    <row r="740" spans="1:25" ht="14.4">
      <c r="A740" s="187">
        <v>56399.099999999991</v>
      </c>
      <c r="B740" s="182">
        <v>15308193.773582781</v>
      </c>
      <c r="C740" s="182">
        <v>743844.92713581107</v>
      </c>
      <c r="D740" s="182">
        <v>14564348.84644697</v>
      </c>
      <c r="E740" s="182">
        <v>0</v>
      </c>
      <c r="F740" s="189">
        <f t="shared" si="94"/>
        <v>0</v>
      </c>
      <c r="G740" s="182">
        <v>15308193.773582781</v>
      </c>
      <c r="H740" s="182"/>
      <c r="I740" s="182">
        <v>14564348.84644697</v>
      </c>
      <c r="J740" s="182"/>
      <c r="K740" s="182">
        <v>13897144.261612365</v>
      </c>
      <c r="L740" s="182"/>
      <c r="M740" s="182">
        <v>13897144.261612365</v>
      </c>
      <c r="N740" s="182">
        <v>0</v>
      </c>
      <c r="O740" s="182">
        <v>14640989.188748175</v>
      </c>
      <c r="P740" s="182">
        <v>743844.92713581107</v>
      </c>
      <c r="Q740" s="182">
        <v>9.7524898860199549E-3</v>
      </c>
      <c r="R740" s="182">
        <v>0</v>
      </c>
      <c r="S740" s="182">
        <f t="shared" si="93"/>
        <v>155943205.6127511</v>
      </c>
      <c r="T740" s="192">
        <f t="shared" ref="T740:T803" si="95">S740/S728-1</f>
        <v>9.7918422493548096E-3</v>
      </c>
      <c r="Y740" s="192" t="e">
        <f t="shared" ref="Y740:Y803" si="96">X740/X728-1</f>
        <v>#DIV/0!</v>
      </c>
    </row>
    <row r="741" spans="1:25" ht="14.4">
      <c r="A741" s="187">
        <v>56429.51999999999</v>
      </c>
      <c r="B741" s="182">
        <v>16007583.195062881</v>
      </c>
      <c r="C741" s="182">
        <v>774583.47954062559</v>
      </c>
      <c r="D741" s="182">
        <v>15232999.715522256</v>
      </c>
      <c r="E741" s="182">
        <v>0</v>
      </c>
      <c r="F741" s="189">
        <f t="shared" si="94"/>
        <v>0</v>
      </c>
      <c r="G741" s="182">
        <v>16007583.195062881</v>
      </c>
      <c r="H741" s="182"/>
      <c r="I741" s="182">
        <v>15232999.715522256</v>
      </c>
      <c r="J741" s="182"/>
      <c r="K741" s="182">
        <v>14525709.026342472</v>
      </c>
      <c r="L741" s="182"/>
      <c r="M741" s="182">
        <v>14525709.026342472</v>
      </c>
      <c r="N741" s="182">
        <v>0</v>
      </c>
      <c r="O741" s="182">
        <v>15300292.505883098</v>
      </c>
      <c r="P741" s="182">
        <v>774583.47954062559</v>
      </c>
      <c r="Q741" s="182">
        <v>9.7415395281392758E-3</v>
      </c>
      <c r="R741" s="182">
        <v>0</v>
      </c>
      <c r="S741" s="182">
        <f t="shared" si="93"/>
        <v>156083343.22531334</v>
      </c>
      <c r="T741" s="192">
        <f t="shared" si="95"/>
        <v>9.7835767474663271E-3</v>
      </c>
      <c r="Y741" s="192" t="e">
        <f t="shared" si="96"/>
        <v>#DIV/0!</v>
      </c>
    </row>
    <row r="742" spans="1:25" ht="14.4">
      <c r="A742" s="187">
        <v>56459.939999999988</v>
      </c>
      <c r="B742" s="182">
        <v>17017396.529382735</v>
      </c>
      <c r="C742" s="182">
        <v>747849.24302277539</v>
      </c>
      <c r="D742" s="182">
        <v>16269547.28635996</v>
      </c>
      <c r="E742" s="182">
        <v>0</v>
      </c>
      <c r="F742" s="189">
        <f t="shared" si="94"/>
        <v>0</v>
      </c>
      <c r="G742" s="182">
        <v>17017396.529382735</v>
      </c>
      <c r="H742" s="182"/>
      <c r="I742" s="182">
        <v>16269547.28635996</v>
      </c>
      <c r="J742" s="182"/>
      <c r="K742" s="182">
        <v>15477609.779934257</v>
      </c>
      <c r="L742" s="182"/>
      <c r="M742" s="182">
        <v>15477609.779934257</v>
      </c>
      <c r="N742" s="182">
        <v>0</v>
      </c>
      <c r="O742" s="182">
        <v>16225459.022957033</v>
      </c>
      <c r="P742" s="182">
        <v>747849.24302277539</v>
      </c>
      <c r="Q742" s="182">
        <v>9.736156262985407E-3</v>
      </c>
      <c r="R742" s="182">
        <v>0</v>
      </c>
      <c r="S742" s="182">
        <f t="shared" si="93"/>
        <v>156232582.63449985</v>
      </c>
      <c r="T742" s="192">
        <f t="shared" si="95"/>
        <v>9.774791980378561E-3</v>
      </c>
      <c r="Y742" s="192" t="e">
        <f t="shared" si="96"/>
        <v>#DIV/0!</v>
      </c>
    </row>
    <row r="743" spans="1:25" ht="14.4">
      <c r="A743" s="187">
        <v>56490.359999999986</v>
      </c>
      <c r="B743" s="182">
        <v>17324084.117700249</v>
      </c>
      <c r="C743" s="182">
        <v>791153.48724723537</v>
      </c>
      <c r="D743" s="182">
        <v>16532930.630453013</v>
      </c>
      <c r="E743" s="182">
        <v>0</v>
      </c>
      <c r="F743" s="189">
        <f t="shared" si="94"/>
        <v>0</v>
      </c>
      <c r="G743" s="182">
        <v>17324084.117700249</v>
      </c>
      <c r="H743" s="182"/>
      <c r="I743" s="182">
        <v>16532930.630453013</v>
      </c>
      <c r="J743" s="182"/>
      <c r="K743" s="182">
        <v>15682552.010058459</v>
      </c>
      <c r="L743" s="182"/>
      <c r="M743" s="182">
        <v>15682552.010058459</v>
      </c>
      <c r="N743" s="182">
        <v>0</v>
      </c>
      <c r="O743" s="182">
        <v>16473705.497305695</v>
      </c>
      <c r="P743" s="182">
        <v>791153.48724723537</v>
      </c>
      <c r="Q743" s="182">
        <v>9.7300075004451703E-3</v>
      </c>
      <c r="R743" s="182">
        <v>0</v>
      </c>
      <c r="S743" s="182">
        <f t="shared" si="93"/>
        <v>156383703.5752964</v>
      </c>
      <c r="T743" s="192">
        <f t="shared" si="95"/>
        <v>9.7659112368182477E-3</v>
      </c>
      <c r="Y743" s="192" t="e">
        <f t="shared" si="96"/>
        <v>#DIV/0!</v>
      </c>
    </row>
    <row r="744" spans="1:25" ht="14.4">
      <c r="A744" s="187">
        <v>56520.779999999984</v>
      </c>
      <c r="B744" s="182">
        <v>15950876.660135057</v>
      </c>
      <c r="C744" s="182">
        <v>762531.68869030895</v>
      </c>
      <c r="D744" s="182">
        <v>15188344.971444748</v>
      </c>
      <c r="E744" s="182">
        <v>0</v>
      </c>
      <c r="F744" s="189">
        <f t="shared" si="94"/>
        <v>0</v>
      </c>
      <c r="G744" s="182">
        <v>15950876.660135057</v>
      </c>
      <c r="H744" s="182"/>
      <c r="I744" s="182">
        <v>15188344.971444748</v>
      </c>
      <c r="J744" s="182"/>
      <c r="K744" s="182">
        <v>14406960.49874275</v>
      </c>
      <c r="L744" s="182"/>
      <c r="M744" s="182">
        <v>14406960.49874275</v>
      </c>
      <c r="N744" s="182">
        <v>0</v>
      </c>
      <c r="O744" s="182">
        <v>15169492.187433058</v>
      </c>
      <c r="P744" s="182">
        <v>762531.68869030895</v>
      </c>
      <c r="Q744" s="182">
        <v>9.721482547859317E-3</v>
      </c>
      <c r="R744" s="182">
        <v>0</v>
      </c>
      <c r="S744" s="182">
        <f t="shared" si="93"/>
        <v>156522412.13748607</v>
      </c>
      <c r="T744" s="192">
        <f t="shared" si="95"/>
        <v>9.7577789584419872E-3</v>
      </c>
      <c r="Y744" s="192" t="e">
        <f t="shared" si="96"/>
        <v>#DIV/0!</v>
      </c>
    </row>
    <row r="745" spans="1:25" ht="14.4">
      <c r="A745" s="187">
        <v>56551.199999999983</v>
      </c>
      <c r="B745" s="182">
        <v>14956904.349956151</v>
      </c>
      <c r="C745" s="182">
        <v>698422.85165888735</v>
      </c>
      <c r="D745" s="182">
        <v>14258481.498297263</v>
      </c>
      <c r="E745" s="182">
        <v>0</v>
      </c>
      <c r="F745" s="189">
        <f t="shared" si="94"/>
        <v>0</v>
      </c>
      <c r="G745" s="182">
        <v>14956904.349956151</v>
      </c>
      <c r="H745" s="182"/>
      <c r="I745" s="182">
        <v>14258481.498297263</v>
      </c>
      <c r="J745" s="182"/>
      <c r="K745" s="182">
        <v>13525362.104750689</v>
      </c>
      <c r="L745" s="182"/>
      <c r="M745" s="182">
        <v>13525362.104750689</v>
      </c>
      <c r="N745" s="182">
        <v>0</v>
      </c>
      <c r="O745" s="182">
        <v>14223784.956409577</v>
      </c>
      <c r="P745" s="182">
        <v>698422.85165888735</v>
      </c>
      <c r="Q745" s="182">
        <v>9.7120448556555772E-3</v>
      </c>
      <c r="R745" s="182">
        <v>0</v>
      </c>
      <c r="S745" s="182">
        <f t="shared" si="93"/>
        <v>156652507.56827703</v>
      </c>
      <c r="T745" s="192">
        <f t="shared" si="95"/>
        <v>9.7501670202020385E-3</v>
      </c>
      <c r="Y745" s="192" t="e">
        <f t="shared" si="96"/>
        <v>#DIV/0!</v>
      </c>
    </row>
    <row r="746" spans="1:25" ht="14.4">
      <c r="A746" s="187">
        <v>56581.619999999981</v>
      </c>
      <c r="B746" s="182">
        <v>12510328.550077861</v>
      </c>
      <c r="C746" s="182">
        <v>626484.65166357963</v>
      </c>
      <c r="D746" s="182">
        <v>11883843.898414282</v>
      </c>
      <c r="E746" s="182">
        <v>0</v>
      </c>
      <c r="F746" s="189">
        <f t="shared" si="94"/>
        <v>0</v>
      </c>
      <c r="G746" s="182">
        <v>12510328.550077861</v>
      </c>
      <c r="H746" s="182"/>
      <c r="I746" s="182">
        <v>11883843.898414282</v>
      </c>
      <c r="J746" s="182"/>
      <c r="K746" s="182">
        <v>11338978.165168142</v>
      </c>
      <c r="L746" s="182"/>
      <c r="M746" s="182">
        <v>11338978.165168142</v>
      </c>
      <c r="N746" s="182">
        <v>0</v>
      </c>
      <c r="O746" s="182">
        <v>11965462.816831721</v>
      </c>
      <c r="P746" s="182">
        <v>626484.65166357963</v>
      </c>
      <c r="Q746" s="182">
        <v>9.6995645531623431E-3</v>
      </c>
      <c r="R746" s="182">
        <v>0</v>
      </c>
      <c r="S746" s="182">
        <f t="shared" si="93"/>
        <v>156761434.17827177</v>
      </c>
      <c r="T746" s="192">
        <f t="shared" si="95"/>
        <v>9.7438034140790997E-3</v>
      </c>
      <c r="Y746" s="192" t="e">
        <f t="shared" si="96"/>
        <v>#DIV/0!</v>
      </c>
    </row>
    <row r="747" spans="1:25" ht="14.4">
      <c r="A747" s="187">
        <v>56612.039999999979</v>
      </c>
      <c r="B747" s="182">
        <v>12880658.315628165</v>
      </c>
      <c r="C747" s="182">
        <v>595130.0542199983</v>
      </c>
      <c r="D747" s="182">
        <v>12285528.261408167</v>
      </c>
      <c r="E747" s="182">
        <v>0</v>
      </c>
      <c r="F747" s="189">
        <f t="shared" si="94"/>
        <v>0</v>
      </c>
      <c r="G747" s="182">
        <v>12880658.315628165</v>
      </c>
      <c r="H747" s="182"/>
      <c r="I747" s="182">
        <v>12285528.261408167</v>
      </c>
      <c r="J747" s="182"/>
      <c r="K747" s="182">
        <v>11669466.332120508</v>
      </c>
      <c r="L747" s="182"/>
      <c r="M747" s="182">
        <v>11669466.332120508</v>
      </c>
      <c r="N747" s="182">
        <v>0</v>
      </c>
      <c r="O747" s="182">
        <v>12264596.386340506</v>
      </c>
      <c r="P747" s="182">
        <v>595130.0542199983</v>
      </c>
      <c r="Q747" s="182">
        <v>9.6927909589481498E-3</v>
      </c>
      <c r="R747" s="182">
        <v>0</v>
      </c>
      <c r="S747" s="182">
        <f t="shared" si="93"/>
        <v>156873458.05204064</v>
      </c>
      <c r="T747" s="192">
        <f t="shared" si="95"/>
        <v>9.7372686153496257E-3</v>
      </c>
      <c r="Y747" s="192" t="e">
        <f t="shared" si="96"/>
        <v>#DIV/0!</v>
      </c>
    </row>
    <row r="748" spans="1:25" ht="14.4">
      <c r="A748" s="187">
        <v>56642.459999999977</v>
      </c>
      <c r="B748" s="182">
        <v>13035580.34712325</v>
      </c>
      <c r="C748" s="182">
        <v>590549.40959028213</v>
      </c>
      <c r="D748" s="182">
        <v>12445030.937532969</v>
      </c>
      <c r="E748" s="182">
        <v>0</v>
      </c>
      <c r="F748" s="189">
        <f t="shared" si="94"/>
        <v>0</v>
      </c>
      <c r="G748" s="182">
        <v>13035580.34712325</v>
      </c>
      <c r="H748" s="182"/>
      <c r="I748" s="182">
        <v>12445030.937532969</v>
      </c>
      <c r="J748" s="182"/>
      <c r="K748" s="182">
        <v>11786698.517312307</v>
      </c>
      <c r="L748" s="182"/>
      <c r="M748" s="182">
        <v>11786698.517312307</v>
      </c>
      <c r="N748" s="182">
        <v>0</v>
      </c>
      <c r="O748" s="182">
        <v>12377247.926902588</v>
      </c>
      <c r="P748" s="182">
        <v>590549.40959028213</v>
      </c>
      <c r="Q748" s="182">
        <v>9.6938464454328077E-3</v>
      </c>
      <c r="R748" s="182">
        <v>0</v>
      </c>
      <c r="S748" s="182">
        <f t="shared" si="93"/>
        <v>156986619.5275985</v>
      </c>
      <c r="T748" s="192">
        <f t="shared" si="95"/>
        <v>9.7306762775337674E-3</v>
      </c>
      <c r="Y748" s="192" t="e">
        <f t="shared" si="96"/>
        <v>#DIV/0!</v>
      </c>
    </row>
    <row r="749" spans="1:25" ht="14.4">
      <c r="A749" s="187">
        <v>56672.879999999976</v>
      </c>
      <c r="B749" s="182">
        <v>12035922.659075158</v>
      </c>
      <c r="C749" s="182">
        <v>570923.90139265533</v>
      </c>
      <c r="D749" s="182">
        <v>11464998.757682502</v>
      </c>
      <c r="E749" s="182">
        <v>0</v>
      </c>
      <c r="F749" s="189">
        <f t="shared" si="94"/>
        <v>0</v>
      </c>
      <c r="G749" s="182">
        <v>12035922.659075158</v>
      </c>
      <c r="H749" s="182"/>
      <c r="I749" s="182">
        <v>11464998.757682502</v>
      </c>
      <c r="J749" s="182"/>
      <c r="K749" s="182">
        <v>10860797.404099375</v>
      </c>
      <c r="L749" s="182"/>
      <c r="M749" s="182">
        <v>10860797.404099375</v>
      </c>
      <c r="N749" s="182">
        <v>0</v>
      </c>
      <c r="O749" s="182">
        <v>11431721.30549203</v>
      </c>
      <c r="P749" s="182">
        <v>570923.90139265533</v>
      </c>
      <c r="Q749" s="182">
        <v>9.6825497995332022E-3</v>
      </c>
      <c r="R749" s="182">
        <v>0</v>
      </c>
      <c r="S749" s="182">
        <f t="shared" si="93"/>
        <v>157090771.284751</v>
      </c>
      <c r="T749" s="192">
        <f t="shared" si="95"/>
        <v>9.7246139982802848E-3</v>
      </c>
      <c r="Y749" s="192" t="e">
        <f t="shared" si="96"/>
        <v>#DIV/0!</v>
      </c>
    </row>
    <row r="750" spans="1:25" ht="14.4">
      <c r="A750" s="187">
        <v>56703.299999999974</v>
      </c>
      <c r="B750" s="182">
        <v>13219729.549181445</v>
      </c>
      <c r="C750" s="182">
        <v>673794.07574069186</v>
      </c>
      <c r="D750" s="182">
        <v>12545935.473440753</v>
      </c>
      <c r="E750" s="182">
        <v>0</v>
      </c>
      <c r="F750" s="189">
        <f t="shared" si="94"/>
        <v>0</v>
      </c>
      <c r="G750" s="182">
        <v>13219729.549181445</v>
      </c>
      <c r="H750" s="182"/>
      <c r="I750" s="182">
        <v>12545935.473440753</v>
      </c>
      <c r="J750" s="182"/>
      <c r="K750" s="182">
        <v>11894262.776985671</v>
      </c>
      <c r="L750" s="182"/>
      <c r="M750" s="182">
        <v>11894262.776985671</v>
      </c>
      <c r="N750" s="182">
        <v>0</v>
      </c>
      <c r="O750" s="182">
        <v>12568056.852726363</v>
      </c>
      <c r="P750" s="182">
        <v>673794.07574069186</v>
      </c>
      <c r="Q750" s="182">
        <v>9.6726857440463387E-3</v>
      </c>
      <c r="R750" s="182">
        <v>0</v>
      </c>
      <c r="S750" s="182">
        <f t="shared" si="93"/>
        <v>157204718.57442546</v>
      </c>
      <c r="T750" s="192">
        <f t="shared" si="95"/>
        <v>9.7179858169909039E-3</v>
      </c>
      <c r="Y750" s="192" t="e">
        <f t="shared" si="96"/>
        <v>#DIV/0!</v>
      </c>
    </row>
    <row r="751" spans="1:25" ht="14.4">
      <c r="A751" s="187">
        <v>56733.719999999972</v>
      </c>
      <c r="B751" s="182">
        <v>13610620.603527134</v>
      </c>
      <c r="C751" s="182">
        <v>732663.96878515428</v>
      </c>
      <c r="D751" s="182">
        <v>12877956.634741981</v>
      </c>
      <c r="E751" s="182">
        <v>0</v>
      </c>
      <c r="F751" s="189">
        <f t="shared" si="94"/>
        <v>0</v>
      </c>
      <c r="G751" s="182">
        <v>13610620.603527134</v>
      </c>
      <c r="H751" s="182"/>
      <c r="I751" s="182">
        <v>12877956.634741981</v>
      </c>
      <c r="J751" s="182"/>
      <c r="K751" s="182">
        <v>12256529.364551431</v>
      </c>
      <c r="L751" s="182"/>
      <c r="M751" s="182">
        <v>12256529.364551431</v>
      </c>
      <c r="N751" s="182">
        <v>0</v>
      </c>
      <c r="O751" s="182">
        <v>12989193.333336584</v>
      </c>
      <c r="P751" s="182">
        <v>732663.96878515428</v>
      </c>
      <c r="Q751" s="182">
        <v>9.6671842343216685E-3</v>
      </c>
      <c r="R751" s="182">
        <v>0</v>
      </c>
      <c r="S751" s="182">
        <f t="shared" si="93"/>
        <v>157322070.24167842</v>
      </c>
      <c r="T751" s="192">
        <f t="shared" si="95"/>
        <v>9.7111691121438692E-3</v>
      </c>
      <c r="Y751" s="192" t="e">
        <f t="shared" si="96"/>
        <v>#DIV/0!</v>
      </c>
    </row>
    <row r="752" spans="1:25" ht="14.4">
      <c r="A752" s="187">
        <v>56764.13999999997</v>
      </c>
      <c r="B752" s="182">
        <v>15459969.843388775</v>
      </c>
      <c r="C752" s="182">
        <v>754692.82268946152</v>
      </c>
      <c r="D752" s="182">
        <v>14705277.020699315</v>
      </c>
      <c r="E752" s="182">
        <v>0</v>
      </c>
      <c r="F752" s="189">
        <f t="shared" si="94"/>
        <v>0</v>
      </c>
      <c r="G752" s="182">
        <v>15459969.843388775</v>
      </c>
      <c r="H752" s="182"/>
      <c r="I752" s="182">
        <v>14705277.020699315</v>
      </c>
      <c r="J752" s="182"/>
      <c r="K752" s="182">
        <v>14031457.30601069</v>
      </c>
      <c r="L752" s="182"/>
      <c r="M752" s="182">
        <v>14031457.30601069</v>
      </c>
      <c r="N752" s="182">
        <v>0</v>
      </c>
      <c r="O752" s="182">
        <v>14786150.12870015</v>
      </c>
      <c r="P752" s="182">
        <v>754692.82268946152</v>
      </c>
      <c r="Q752" s="182">
        <v>9.6647945700134574E-3</v>
      </c>
      <c r="R752" s="182">
        <v>0</v>
      </c>
      <c r="S752" s="182">
        <f t="shared" si="93"/>
        <v>157456383.28607675</v>
      </c>
      <c r="T752" s="192">
        <f t="shared" si="95"/>
        <v>9.7033895601921216E-3</v>
      </c>
      <c r="Y752" s="192" t="e">
        <f t="shared" si="96"/>
        <v>#DIV/0!</v>
      </c>
    </row>
    <row r="753" spans="1:25" ht="14.4">
      <c r="A753" s="187">
        <v>56794.559999999969</v>
      </c>
      <c r="B753" s="182">
        <v>16166099.87745457</v>
      </c>
      <c r="C753" s="182">
        <v>785865.09655435907</v>
      </c>
      <c r="D753" s="182">
        <v>15380234.78090021</v>
      </c>
      <c r="E753" s="182">
        <v>0</v>
      </c>
      <c r="F753" s="189">
        <f t="shared" si="94"/>
        <v>0</v>
      </c>
      <c r="G753" s="182">
        <v>16166099.87745457</v>
      </c>
      <c r="H753" s="182"/>
      <c r="I753" s="182">
        <v>15380234.78090021</v>
      </c>
      <c r="J753" s="182"/>
      <c r="K753" s="182">
        <v>14665940.075425832</v>
      </c>
      <c r="L753" s="182"/>
      <c r="M753" s="182">
        <v>14665940.075425832</v>
      </c>
      <c r="N753" s="182">
        <v>0</v>
      </c>
      <c r="O753" s="182">
        <v>15451805.171980191</v>
      </c>
      <c r="P753" s="182">
        <v>785865.09655435907</v>
      </c>
      <c r="Q753" s="182">
        <v>9.6539899587035904E-3</v>
      </c>
      <c r="R753" s="182">
        <v>0</v>
      </c>
      <c r="S753" s="182">
        <f t="shared" si="93"/>
        <v>157596614.33516011</v>
      </c>
      <c r="T753" s="192">
        <f t="shared" si="95"/>
        <v>9.6952761170825408E-3</v>
      </c>
      <c r="Y753" s="192" t="e">
        <f t="shared" si="96"/>
        <v>#DIV/0!</v>
      </c>
    </row>
    <row r="754" spans="1:25" ht="14.4">
      <c r="A754" s="187">
        <v>56824.979999999967</v>
      </c>
      <c r="B754" s="182">
        <v>17185403.200359013</v>
      </c>
      <c r="C754" s="182">
        <v>758698.31182078109</v>
      </c>
      <c r="D754" s="182">
        <v>16426704.888538232</v>
      </c>
      <c r="E754" s="182">
        <v>0</v>
      </c>
      <c r="F754" s="189">
        <f t="shared" si="94"/>
        <v>0</v>
      </c>
      <c r="G754" s="182">
        <v>17185403.200359013</v>
      </c>
      <c r="H754" s="182"/>
      <c r="I754" s="182">
        <v>16426704.888538232</v>
      </c>
      <c r="J754" s="182"/>
      <c r="K754" s="182">
        <v>15626948.866286907</v>
      </c>
      <c r="L754" s="182"/>
      <c r="M754" s="182">
        <v>15626948.866286907</v>
      </c>
      <c r="N754" s="182">
        <v>0</v>
      </c>
      <c r="O754" s="182">
        <v>16385647.178107688</v>
      </c>
      <c r="P754" s="182">
        <v>758698.31182078109</v>
      </c>
      <c r="Q754" s="182">
        <v>9.6487176299184796E-3</v>
      </c>
      <c r="R754" s="182">
        <v>0</v>
      </c>
      <c r="S754" s="182">
        <f t="shared" si="93"/>
        <v>157745953.42151275</v>
      </c>
      <c r="T754" s="192">
        <f t="shared" si="95"/>
        <v>9.6866528191072998E-3</v>
      </c>
      <c r="Y754" s="192" t="e">
        <f t="shared" si="96"/>
        <v>#DIV/0!</v>
      </c>
    </row>
    <row r="755" spans="1:25" ht="14.4">
      <c r="A755" s="187">
        <v>56855.399999999965</v>
      </c>
      <c r="B755" s="182">
        <v>17495207.227060597</v>
      </c>
      <c r="C755" s="182">
        <v>802655.27151469223</v>
      </c>
      <c r="D755" s="182">
        <v>16692551.955545906</v>
      </c>
      <c r="E755" s="182">
        <v>0</v>
      </c>
      <c r="F755" s="189">
        <f t="shared" si="94"/>
        <v>0</v>
      </c>
      <c r="G755" s="182">
        <v>17495207.227060597</v>
      </c>
      <c r="H755" s="182"/>
      <c r="I755" s="182">
        <v>16692551.955545906</v>
      </c>
      <c r="J755" s="182"/>
      <c r="K755" s="182">
        <v>15833773.500985989</v>
      </c>
      <c r="L755" s="182"/>
      <c r="M755" s="182">
        <v>15833773.500985989</v>
      </c>
      <c r="N755" s="182">
        <v>0</v>
      </c>
      <c r="O755" s="182">
        <v>16636428.772500681</v>
      </c>
      <c r="P755" s="182">
        <v>802655.27151469223</v>
      </c>
      <c r="Q755" s="182">
        <v>9.642658339697574E-3</v>
      </c>
      <c r="R755" s="182">
        <v>0</v>
      </c>
      <c r="S755" s="182">
        <f t="shared" si="93"/>
        <v>157897174.9124403</v>
      </c>
      <c r="T755" s="192">
        <f t="shared" si="95"/>
        <v>9.6779351207472164E-3</v>
      </c>
      <c r="Y755" s="192" t="e">
        <f t="shared" si="96"/>
        <v>#DIV/0!</v>
      </c>
    </row>
    <row r="756" spans="1:25" ht="14.4">
      <c r="A756" s="187">
        <v>56885.819999999963</v>
      </c>
      <c r="B756" s="182">
        <v>16108527.947174072</v>
      </c>
      <c r="C756" s="182">
        <v>773658.67543424317</v>
      </c>
      <c r="D756" s="182">
        <v>15334869.271739829</v>
      </c>
      <c r="E756" s="182">
        <v>0</v>
      </c>
      <c r="F756" s="189">
        <f t="shared" si="94"/>
        <v>0</v>
      </c>
      <c r="G756" s="182">
        <v>16108527.947174072</v>
      </c>
      <c r="H756" s="182"/>
      <c r="I756" s="182">
        <v>15334869.271739829</v>
      </c>
      <c r="J756" s="182"/>
      <c r="K756" s="182">
        <v>14545761.946531447</v>
      </c>
      <c r="L756" s="182"/>
      <c r="M756" s="182">
        <v>14545761.946531447</v>
      </c>
      <c r="N756" s="182">
        <v>0</v>
      </c>
      <c r="O756" s="182">
        <v>15319420.62196569</v>
      </c>
      <c r="P756" s="182">
        <v>773658.67543424317</v>
      </c>
      <c r="Q756" s="182">
        <v>9.6343325020435966E-3</v>
      </c>
      <c r="R756" s="182">
        <v>0</v>
      </c>
      <c r="S756" s="182">
        <f t="shared" si="93"/>
        <v>158035976.36022899</v>
      </c>
      <c r="T756" s="192">
        <f t="shared" si="95"/>
        <v>9.6699520667584693E-3</v>
      </c>
      <c r="Y756" s="192" t="e">
        <f t="shared" si="96"/>
        <v>#DIV/0!</v>
      </c>
    </row>
    <row r="757" spans="1:25" ht="14.4">
      <c r="A757" s="187">
        <v>56916.239999999962</v>
      </c>
      <c r="B757" s="182">
        <v>15104511.041868327</v>
      </c>
      <c r="C757" s="182">
        <v>708611.64980334276</v>
      </c>
      <c r="D757" s="182">
        <v>14395899.392064985</v>
      </c>
      <c r="E757" s="182">
        <v>0</v>
      </c>
      <c r="F757" s="189">
        <f t="shared" si="94"/>
        <v>0</v>
      </c>
      <c r="G757" s="182">
        <v>15104511.041868327</v>
      </c>
      <c r="H757" s="182"/>
      <c r="I757" s="182">
        <v>14395899.392064985</v>
      </c>
      <c r="J757" s="182"/>
      <c r="K757" s="182">
        <v>13655544.990128564</v>
      </c>
      <c r="L757" s="182"/>
      <c r="M757" s="182">
        <v>13655544.990128564</v>
      </c>
      <c r="N757" s="182">
        <v>0</v>
      </c>
      <c r="O757" s="182">
        <v>14364156.639931906</v>
      </c>
      <c r="P757" s="182">
        <v>708611.64980334276</v>
      </c>
      <c r="Q757" s="182">
        <v>9.6250942761930691E-3</v>
      </c>
      <c r="R757" s="182">
        <v>0</v>
      </c>
      <c r="S757" s="182">
        <f t="shared" si="93"/>
        <v>158166159.2456069</v>
      </c>
      <c r="T757" s="192">
        <f t="shared" si="95"/>
        <v>9.6624797191333656E-3</v>
      </c>
      <c r="Y757" s="192" t="e">
        <f t="shared" si="96"/>
        <v>#DIV/0!</v>
      </c>
    </row>
    <row r="758" spans="1:25" ht="14.4">
      <c r="A758" s="187">
        <v>56946.65999999996</v>
      </c>
      <c r="B758" s="182">
        <v>12633869.625934375</v>
      </c>
      <c r="C758" s="182">
        <v>635645.28096355393</v>
      </c>
      <c r="D758" s="182">
        <v>11998224.344970822</v>
      </c>
      <c r="E758" s="182">
        <v>0</v>
      </c>
      <c r="F758" s="189">
        <f t="shared" si="94"/>
        <v>0</v>
      </c>
      <c r="G758" s="182">
        <v>12633869.625934375</v>
      </c>
      <c r="H758" s="182"/>
      <c r="I758" s="182">
        <v>11998224.344970822</v>
      </c>
      <c r="J758" s="182"/>
      <c r="K758" s="182">
        <v>11447977.993732667</v>
      </c>
      <c r="L758" s="182"/>
      <c r="M758" s="182">
        <v>11447977.993732667</v>
      </c>
      <c r="N758" s="182">
        <v>0</v>
      </c>
      <c r="O758" s="182">
        <v>12083623.27469622</v>
      </c>
      <c r="P758" s="182">
        <v>635645.28096355393</v>
      </c>
      <c r="Q758" s="182">
        <v>9.6128440302811757E-3</v>
      </c>
      <c r="R758" s="182">
        <v>0</v>
      </c>
      <c r="S758" s="182">
        <f t="shared" si="93"/>
        <v>158275159.07417139</v>
      </c>
      <c r="T758" s="192">
        <f t="shared" si="95"/>
        <v>9.6562327579765572E-3</v>
      </c>
      <c r="Y758" s="192" t="e">
        <f t="shared" si="96"/>
        <v>#DIV/0!</v>
      </c>
    </row>
    <row r="759" spans="1:25" ht="14.4">
      <c r="A759" s="187">
        <v>56977.079999999958</v>
      </c>
      <c r="B759" s="182">
        <v>13007507.328672688</v>
      </c>
      <c r="C759" s="182">
        <v>603812.83225713531</v>
      </c>
      <c r="D759" s="182">
        <v>12403694.496415554</v>
      </c>
      <c r="E759" s="182">
        <v>0</v>
      </c>
      <c r="F759" s="189">
        <f t="shared" si="94"/>
        <v>0</v>
      </c>
      <c r="G759" s="182">
        <v>13007507.328672688</v>
      </c>
      <c r="H759" s="182"/>
      <c r="I759" s="182">
        <v>12403694.496415554</v>
      </c>
      <c r="J759" s="182"/>
      <c r="K759" s="182">
        <v>11781565.575380305</v>
      </c>
      <c r="L759" s="182"/>
      <c r="M759" s="182">
        <v>11781565.575380305</v>
      </c>
      <c r="N759" s="182">
        <v>0</v>
      </c>
      <c r="O759" s="182">
        <v>12385378.40763744</v>
      </c>
      <c r="P759" s="182">
        <v>603812.83225713531</v>
      </c>
      <c r="Q759" s="182">
        <v>9.6062013522624223E-3</v>
      </c>
      <c r="R759" s="182">
        <v>0</v>
      </c>
      <c r="S759" s="182">
        <f t="shared" si="93"/>
        <v>158387258.31743118</v>
      </c>
      <c r="T759" s="192">
        <f t="shared" si="95"/>
        <v>9.6498176567789695E-3</v>
      </c>
      <c r="Y759" s="192" t="e">
        <f t="shared" si="96"/>
        <v>#DIV/0!</v>
      </c>
    </row>
    <row r="760" spans="1:25" ht="14.4">
      <c r="A760" s="187">
        <v>57007.499999999956</v>
      </c>
      <c r="B760" s="182">
        <v>13163912.28186314</v>
      </c>
      <c r="C760" s="182">
        <v>599162.73510001809</v>
      </c>
      <c r="D760" s="182">
        <v>12564749.546763122</v>
      </c>
      <c r="E760" s="182">
        <v>0</v>
      </c>
      <c r="F760" s="189">
        <f t="shared" si="94"/>
        <v>0</v>
      </c>
      <c r="G760" s="182">
        <v>13163912.28186314</v>
      </c>
      <c r="H760" s="182"/>
      <c r="I760" s="182">
        <v>12564749.546763122</v>
      </c>
      <c r="J760" s="182"/>
      <c r="K760" s="182">
        <v>11899936.013240315</v>
      </c>
      <c r="L760" s="182"/>
      <c r="M760" s="182">
        <v>11899936.013240315</v>
      </c>
      <c r="N760" s="182">
        <v>0</v>
      </c>
      <c r="O760" s="182">
        <v>12499098.748340333</v>
      </c>
      <c r="P760" s="182">
        <v>599162.73510001809</v>
      </c>
      <c r="Q760" s="182">
        <v>9.6072276525682732E-3</v>
      </c>
      <c r="R760" s="182">
        <v>0</v>
      </c>
      <c r="S760" s="182">
        <f t="shared" si="93"/>
        <v>158500495.81335917</v>
      </c>
      <c r="T760" s="192">
        <f t="shared" si="95"/>
        <v>9.6433459763398677E-3</v>
      </c>
      <c r="Y760" s="192" t="e">
        <f t="shared" si="96"/>
        <v>#DIV/0!</v>
      </c>
    </row>
    <row r="761" spans="1:25" ht="14.4">
      <c r="A761" s="187">
        <v>57037.919999999955</v>
      </c>
      <c r="B761" s="182">
        <v>12154425.618452735</v>
      </c>
      <c r="C761" s="182">
        <v>579256.8195909377</v>
      </c>
      <c r="D761" s="182">
        <v>11575168.798861798</v>
      </c>
      <c r="E761" s="182">
        <v>0</v>
      </c>
      <c r="F761" s="189">
        <f t="shared" si="94"/>
        <v>0</v>
      </c>
      <c r="G761" s="182">
        <v>12154425.618452735</v>
      </c>
      <c r="H761" s="182"/>
      <c r="I761" s="182">
        <v>11575168.798861798</v>
      </c>
      <c r="J761" s="182"/>
      <c r="K761" s="182">
        <v>10965018.616054054</v>
      </c>
      <c r="L761" s="182"/>
      <c r="M761" s="182">
        <v>10965018.616054054</v>
      </c>
      <c r="N761" s="182">
        <v>0</v>
      </c>
      <c r="O761" s="182">
        <v>11544275.435644992</v>
      </c>
      <c r="P761" s="182">
        <v>579256.8195909377</v>
      </c>
      <c r="Q761" s="182">
        <v>9.5960920802502514E-3</v>
      </c>
      <c r="R761" s="182">
        <v>0</v>
      </c>
      <c r="S761" s="182">
        <f t="shared" si="93"/>
        <v>158604717.02531385</v>
      </c>
      <c r="T761" s="192">
        <f t="shared" si="95"/>
        <v>9.6373945342631551E-3</v>
      </c>
      <c r="Y761" s="192" t="e">
        <f t="shared" si="96"/>
        <v>#DIV/0!</v>
      </c>
    </row>
    <row r="762" spans="1:25" ht="14.4">
      <c r="A762" s="187">
        <v>57068.339999999953</v>
      </c>
      <c r="B762" s="182">
        <v>13350017.656627059</v>
      </c>
      <c r="C762" s="182">
        <v>683637.08185428462</v>
      </c>
      <c r="D762" s="182">
        <v>12666380.574772775</v>
      </c>
      <c r="E762" s="182">
        <v>0</v>
      </c>
      <c r="F762" s="189">
        <f t="shared" si="94"/>
        <v>0</v>
      </c>
      <c r="G762" s="182">
        <v>13350017.656627059</v>
      </c>
      <c r="H762" s="182"/>
      <c r="I762" s="182">
        <v>12666380.574772775</v>
      </c>
      <c r="J762" s="182"/>
      <c r="K762" s="182">
        <v>12008285.265662931</v>
      </c>
      <c r="L762" s="182"/>
      <c r="M762" s="182">
        <v>12008285.265662931</v>
      </c>
      <c r="N762" s="182">
        <v>0</v>
      </c>
      <c r="O762" s="182">
        <v>12691922.347517215</v>
      </c>
      <c r="P762" s="182">
        <v>683637.08185428462</v>
      </c>
      <c r="Q762" s="182">
        <v>9.5863435014973408E-3</v>
      </c>
      <c r="R762" s="182">
        <v>0</v>
      </c>
      <c r="S762" s="182">
        <f t="shared" si="93"/>
        <v>158718739.51399115</v>
      </c>
      <c r="T762" s="192">
        <f t="shared" si="95"/>
        <v>9.6308873759975988E-3</v>
      </c>
      <c r="Y762" s="192" t="e">
        <f t="shared" si="96"/>
        <v>#DIV/0!</v>
      </c>
    </row>
    <row r="763" spans="1:25" ht="14.4">
      <c r="A763" s="187">
        <v>57098.759999999951</v>
      </c>
      <c r="B763" s="182">
        <v>13744893.039059561</v>
      </c>
      <c r="C763" s="182">
        <v>743376.84193903487</v>
      </c>
      <c r="D763" s="182">
        <v>13001516.197120525</v>
      </c>
      <c r="E763" s="182">
        <v>0</v>
      </c>
      <c r="F763" s="189">
        <f t="shared" si="94"/>
        <v>0</v>
      </c>
      <c r="G763" s="182">
        <v>13744893.039059561</v>
      </c>
      <c r="H763" s="182"/>
      <c r="I763" s="182">
        <v>13001516.197120525</v>
      </c>
      <c r="J763" s="182"/>
      <c r="K763" s="182">
        <v>12373958.379653305</v>
      </c>
      <c r="L763" s="182"/>
      <c r="M763" s="182">
        <v>12373958.379653305</v>
      </c>
      <c r="N763" s="182">
        <v>0</v>
      </c>
      <c r="O763" s="182">
        <v>13117335.221592341</v>
      </c>
      <c r="P763" s="182">
        <v>743376.84193903487</v>
      </c>
      <c r="Q763" s="182">
        <v>9.5809353210138948E-3</v>
      </c>
      <c r="R763" s="182">
        <v>0</v>
      </c>
      <c r="S763" s="182">
        <f t="shared" si="93"/>
        <v>158836168.52909303</v>
      </c>
      <c r="T763" s="192">
        <f t="shared" si="95"/>
        <v>9.624195035627503E-3</v>
      </c>
      <c r="Y763" s="192" t="e">
        <f t="shared" si="96"/>
        <v>#DIV/0!</v>
      </c>
    </row>
    <row r="764" spans="1:25" ht="14.4">
      <c r="A764" s="187">
        <v>57129.179999999949</v>
      </c>
      <c r="B764" s="182">
        <v>15612006.23215485</v>
      </c>
      <c r="C764" s="182">
        <v>765699.62811817706</v>
      </c>
      <c r="D764" s="182">
        <v>14846306.604036672</v>
      </c>
      <c r="E764" s="182">
        <v>0</v>
      </c>
      <c r="F764" s="189">
        <f t="shared" si="94"/>
        <v>0</v>
      </c>
      <c r="G764" s="182">
        <v>15612006.23215485</v>
      </c>
      <c r="H764" s="182"/>
      <c r="I764" s="182">
        <v>14846306.604036672</v>
      </c>
      <c r="J764" s="182"/>
      <c r="K764" s="182">
        <v>14165860.413543863</v>
      </c>
      <c r="L764" s="182"/>
      <c r="M764" s="182">
        <v>14165860.413543863</v>
      </c>
      <c r="N764" s="182">
        <v>0</v>
      </c>
      <c r="O764" s="182">
        <v>14931560.041662041</v>
      </c>
      <c r="P764" s="182">
        <v>765699.62811817706</v>
      </c>
      <c r="Q764" s="182">
        <v>9.5786991045896386E-3</v>
      </c>
      <c r="R764" s="182">
        <v>0</v>
      </c>
      <c r="S764" s="182">
        <f t="shared" si="93"/>
        <v>158970571.63662618</v>
      </c>
      <c r="T764" s="192">
        <f t="shared" si="95"/>
        <v>9.6165574170363755E-3</v>
      </c>
      <c r="Y764" s="192" t="e">
        <f t="shared" si="96"/>
        <v>#DIV/0!</v>
      </c>
    </row>
    <row r="765" spans="1:25" ht="14.4">
      <c r="A765" s="187">
        <v>57159.599999999948</v>
      </c>
      <c r="B765" s="182">
        <v>16324886.766620103</v>
      </c>
      <c r="C765" s="182">
        <v>797311.7929275966</v>
      </c>
      <c r="D765" s="182">
        <v>15527574.973692507</v>
      </c>
      <c r="E765" s="182">
        <v>0</v>
      </c>
      <c r="F765" s="189">
        <f t="shared" si="94"/>
        <v>0</v>
      </c>
      <c r="G765" s="182">
        <v>16324886.766620103</v>
      </c>
      <c r="H765" s="182"/>
      <c r="I765" s="182">
        <v>15527574.973692507</v>
      </c>
      <c r="J765" s="182"/>
      <c r="K765" s="182">
        <v>14806264.312911067</v>
      </c>
      <c r="L765" s="182"/>
      <c r="M765" s="182">
        <v>14806264.312911067</v>
      </c>
      <c r="N765" s="182">
        <v>0</v>
      </c>
      <c r="O765" s="182">
        <v>15603576.105838664</v>
      </c>
      <c r="P765" s="182">
        <v>797311.7929275966</v>
      </c>
      <c r="Q765" s="182">
        <v>9.5680356501908204E-3</v>
      </c>
      <c r="R765" s="182">
        <v>0</v>
      </c>
      <c r="S765" s="182">
        <f t="shared" si="93"/>
        <v>159110895.87411141</v>
      </c>
      <c r="T765" s="192">
        <f t="shared" si="95"/>
        <v>9.6085918174033669E-3</v>
      </c>
      <c r="Y765" s="192" t="e">
        <f t="shared" si="96"/>
        <v>#DIV/0!</v>
      </c>
    </row>
    <row r="766" spans="1:25" ht="14.4">
      <c r="A766" s="187">
        <v>57190.019999999946</v>
      </c>
      <c r="B766" s="182">
        <v>17353680.062226754</v>
      </c>
      <c r="C766" s="182">
        <v>769705.58405327087</v>
      </c>
      <c r="D766" s="182">
        <v>16583974.478173483</v>
      </c>
      <c r="E766" s="182">
        <v>0</v>
      </c>
      <c r="F766" s="189">
        <f t="shared" si="94"/>
        <v>0</v>
      </c>
      <c r="G766" s="182">
        <v>17353680.062226754</v>
      </c>
      <c r="H766" s="182"/>
      <c r="I766" s="182">
        <v>16583974.478173483</v>
      </c>
      <c r="J766" s="182"/>
      <c r="K766" s="182">
        <v>15776387.366240105</v>
      </c>
      <c r="L766" s="182"/>
      <c r="M766" s="182">
        <v>15776387.366240105</v>
      </c>
      <c r="N766" s="182">
        <v>0</v>
      </c>
      <c r="O766" s="182">
        <v>16546092.950293375</v>
      </c>
      <c r="P766" s="182">
        <v>769705.58405327087</v>
      </c>
      <c r="Q766" s="182">
        <v>9.5628712445325892E-3</v>
      </c>
      <c r="R766" s="182">
        <v>0</v>
      </c>
      <c r="S766" s="182">
        <f t="shared" si="93"/>
        <v>159260334.37406465</v>
      </c>
      <c r="T766" s="192">
        <f t="shared" si="95"/>
        <v>9.6001255164075427E-3</v>
      </c>
      <c r="Y766" s="192" t="e">
        <f t="shared" si="96"/>
        <v>#DIV/0!</v>
      </c>
    </row>
    <row r="767" spans="1:25" ht="14.4">
      <c r="A767" s="187">
        <v>57220.439999999944</v>
      </c>
      <c r="B767" s="182">
        <v>17666612.496847741</v>
      </c>
      <c r="C767" s="182">
        <v>814325.08869843686</v>
      </c>
      <c r="D767" s="182">
        <v>16852287.408149306</v>
      </c>
      <c r="E767" s="182">
        <v>0</v>
      </c>
      <c r="F767" s="189">
        <f t="shared" si="94"/>
        <v>0</v>
      </c>
      <c r="G767" s="182">
        <v>17666612.496847741</v>
      </c>
      <c r="H767" s="182"/>
      <c r="I767" s="182">
        <v>16852287.408149306</v>
      </c>
      <c r="J767" s="182"/>
      <c r="K767" s="182">
        <v>15985095.269156801</v>
      </c>
      <c r="L767" s="182"/>
      <c r="M767" s="182">
        <v>15985095.269156801</v>
      </c>
      <c r="N767" s="182">
        <v>0</v>
      </c>
      <c r="O767" s="182">
        <v>16799420.357855238</v>
      </c>
      <c r="P767" s="182">
        <v>814325.08869843686</v>
      </c>
      <c r="Q767" s="182">
        <v>9.5568986231480135E-3</v>
      </c>
      <c r="R767" s="182">
        <v>0</v>
      </c>
      <c r="S767" s="182">
        <f t="shared" si="93"/>
        <v>159411656.14223543</v>
      </c>
      <c r="T767" s="192">
        <f t="shared" si="95"/>
        <v>9.5915663509176241E-3</v>
      </c>
      <c r="Y767" s="192" t="e">
        <f t="shared" si="96"/>
        <v>#DIV/0!</v>
      </c>
    </row>
    <row r="768" spans="1:25" ht="14.4">
      <c r="A768" s="187">
        <v>57250.859999999942</v>
      </c>
      <c r="B768" s="182">
        <v>16266448.13245192</v>
      </c>
      <c r="C768" s="182">
        <v>784948.74354193301</v>
      </c>
      <c r="D768" s="182">
        <v>15481499.388909986</v>
      </c>
      <c r="E768" s="182">
        <v>0</v>
      </c>
      <c r="F768" s="189">
        <f t="shared" si="94"/>
        <v>0</v>
      </c>
      <c r="G768" s="182">
        <v>16266448.13245192</v>
      </c>
      <c r="H768" s="182"/>
      <c r="I768" s="182">
        <v>15481499.388909986</v>
      </c>
      <c r="J768" s="182"/>
      <c r="K768" s="182">
        <v>14684656.03869611</v>
      </c>
      <c r="L768" s="182"/>
      <c r="M768" s="182">
        <v>14684656.03869611</v>
      </c>
      <c r="N768" s="182">
        <v>0</v>
      </c>
      <c r="O768" s="182">
        <v>15469604.782238044</v>
      </c>
      <c r="P768" s="182">
        <v>784948.74354193301</v>
      </c>
      <c r="Q768" s="182">
        <v>9.548767034358363E-3</v>
      </c>
      <c r="R768" s="182">
        <v>0</v>
      </c>
      <c r="S768" s="182">
        <f t="shared" si="93"/>
        <v>159550550.23440009</v>
      </c>
      <c r="T768" s="192">
        <f t="shared" si="95"/>
        <v>9.5837283956077268E-3</v>
      </c>
      <c r="Y768" s="192" t="e">
        <f t="shared" si="96"/>
        <v>#DIV/0!</v>
      </c>
    </row>
    <row r="769" spans="1:25" ht="14.4">
      <c r="A769" s="187">
        <v>57281.279999999941</v>
      </c>
      <c r="B769" s="182">
        <v>15252366.455279663</v>
      </c>
      <c r="C769" s="182">
        <v>718949.74471339118</v>
      </c>
      <c r="D769" s="182">
        <v>14533416.710566271</v>
      </c>
      <c r="E769" s="182">
        <v>0</v>
      </c>
      <c r="F769" s="189">
        <f t="shared" si="94"/>
        <v>0</v>
      </c>
      <c r="G769" s="182">
        <v>15252366.455279663</v>
      </c>
      <c r="H769" s="182"/>
      <c r="I769" s="182">
        <v>14533416.710566271</v>
      </c>
      <c r="J769" s="182"/>
      <c r="K769" s="182">
        <v>13785815.109043863</v>
      </c>
      <c r="L769" s="182"/>
      <c r="M769" s="182">
        <v>13785815.109043863</v>
      </c>
      <c r="N769" s="182">
        <v>0</v>
      </c>
      <c r="O769" s="182">
        <v>14504764.853757253</v>
      </c>
      <c r="P769" s="182">
        <v>718949.74471339118</v>
      </c>
      <c r="Q769" s="182">
        <v>9.5397231680953709E-3</v>
      </c>
      <c r="R769" s="182">
        <v>0</v>
      </c>
      <c r="S769" s="182">
        <f t="shared" si="93"/>
        <v>159680820.35331538</v>
      </c>
      <c r="T769" s="192">
        <f t="shared" si="95"/>
        <v>9.5763917827482725E-3</v>
      </c>
      <c r="Y769" s="192" t="e">
        <f t="shared" si="96"/>
        <v>#DIV/0!</v>
      </c>
    </row>
    <row r="770" spans="1:25" ht="14.4">
      <c r="A770" s="187">
        <v>57311.699999999939</v>
      </c>
      <c r="B770" s="182">
        <v>12757627.691220786</v>
      </c>
      <c r="C770" s="182">
        <v>644940.41033566731</v>
      </c>
      <c r="D770" s="182">
        <v>12112687.280885119</v>
      </c>
      <c r="E770" s="182">
        <v>0</v>
      </c>
      <c r="F770" s="189">
        <f t="shared" si="94"/>
        <v>0</v>
      </c>
      <c r="G770" s="182">
        <v>12757627.691220786</v>
      </c>
      <c r="H770" s="182"/>
      <c r="I770" s="182">
        <v>12112687.280885119</v>
      </c>
      <c r="J770" s="182"/>
      <c r="K770" s="182">
        <v>11557050.861055441</v>
      </c>
      <c r="L770" s="182"/>
      <c r="M770" s="182">
        <v>11557050.861055441</v>
      </c>
      <c r="N770" s="182">
        <v>0</v>
      </c>
      <c r="O770" s="182">
        <v>12201991.271391109</v>
      </c>
      <c r="P770" s="182">
        <v>644940.41033566731</v>
      </c>
      <c r="Q770" s="182">
        <v>9.5276971516269349E-3</v>
      </c>
      <c r="R770" s="182">
        <v>0</v>
      </c>
      <c r="S770" s="182">
        <f t="shared" si="93"/>
        <v>159789893.22063813</v>
      </c>
      <c r="T770" s="192">
        <f t="shared" si="95"/>
        <v>9.5702582472647624E-3</v>
      </c>
      <c r="Y770" s="192" t="e">
        <f t="shared" si="96"/>
        <v>#DIV/0!</v>
      </c>
    </row>
    <row r="771" spans="1:25" ht="14.4">
      <c r="A771" s="187">
        <v>57342.119999999937</v>
      </c>
      <c r="B771" s="182">
        <v>13134568.933427783</v>
      </c>
      <c r="C771" s="182">
        <v>612622.84999187593</v>
      </c>
      <c r="D771" s="182">
        <v>12521946.083435906</v>
      </c>
      <c r="E771" s="182">
        <v>0</v>
      </c>
      <c r="F771" s="189">
        <f t="shared" si="94"/>
        <v>0</v>
      </c>
      <c r="G771" s="182">
        <v>13134568.933427783</v>
      </c>
      <c r="H771" s="182"/>
      <c r="I771" s="182">
        <v>12521946.083435906</v>
      </c>
      <c r="J771" s="182"/>
      <c r="K771" s="182">
        <v>11893740.00272095</v>
      </c>
      <c r="L771" s="182"/>
      <c r="M771" s="182">
        <v>11893740.00272095</v>
      </c>
      <c r="N771" s="182">
        <v>0</v>
      </c>
      <c r="O771" s="182">
        <v>12506362.852712827</v>
      </c>
      <c r="P771" s="182">
        <v>612622.84999187593</v>
      </c>
      <c r="Q771" s="182">
        <v>9.5211817667979481E-3</v>
      </c>
      <c r="R771" s="182">
        <v>0</v>
      </c>
      <c r="S771" s="182">
        <f t="shared" si="93"/>
        <v>159902067.64797878</v>
      </c>
      <c r="T771" s="192">
        <f t="shared" si="95"/>
        <v>9.5639595421981305E-3</v>
      </c>
      <c r="Y771" s="192" t="e">
        <f t="shared" si="96"/>
        <v>#DIV/0!</v>
      </c>
    </row>
    <row r="772" spans="1:25" ht="14.4">
      <c r="A772" s="187">
        <v>57372.539999999935</v>
      </c>
      <c r="B772" s="182">
        <v>13292456.981997589</v>
      </c>
      <c r="C772" s="182">
        <v>607902.24938640743</v>
      </c>
      <c r="D772" s="182">
        <v>12684554.732611181</v>
      </c>
      <c r="E772" s="182">
        <v>0</v>
      </c>
      <c r="F772" s="189">
        <f t="shared" si="94"/>
        <v>0</v>
      </c>
      <c r="G772" s="182">
        <v>13292456.981997589</v>
      </c>
      <c r="H772" s="182"/>
      <c r="I772" s="182">
        <v>12684554.732611181</v>
      </c>
      <c r="J772" s="182"/>
      <c r="K772" s="182">
        <v>12013249.340552539</v>
      </c>
      <c r="L772" s="182"/>
      <c r="M772" s="182">
        <v>12013249.340552539</v>
      </c>
      <c r="N772" s="182">
        <v>0</v>
      </c>
      <c r="O772" s="182">
        <v>12621151.589938946</v>
      </c>
      <c r="P772" s="182">
        <v>607902.24938640743</v>
      </c>
      <c r="Q772" s="182">
        <v>9.522179546692211E-3</v>
      </c>
      <c r="R772" s="182">
        <v>0</v>
      </c>
      <c r="S772" s="182">
        <f t="shared" ref="S772:S835" si="97">SUM(M761:M772)</f>
        <v>160015380.97529101</v>
      </c>
      <c r="T772" s="192">
        <f t="shared" si="95"/>
        <v>9.5576051933343731E-3</v>
      </c>
      <c r="Y772" s="192" t="e">
        <f t="shared" si="96"/>
        <v>#DIV/0!</v>
      </c>
    </row>
    <row r="773" spans="1:25" ht="14.4">
      <c r="A773" s="187">
        <v>57402.959999999934</v>
      </c>
      <c r="B773" s="182">
        <v>12273130.123236431</v>
      </c>
      <c r="C773" s="182">
        <v>587711.89227514027</v>
      </c>
      <c r="D773" s="182">
        <v>11685418.230961291</v>
      </c>
      <c r="E773" s="182">
        <v>0</v>
      </c>
      <c r="F773" s="189">
        <f t="shared" si="94"/>
        <v>0</v>
      </c>
      <c r="G773" s="182">
        <v>12273130.123236431</v>
      </c>
      <c r="H773" s="182"/>
      <c r="I773" s="182">
        <v>11685418.230961291</v>
      </c>
      <c r="J773" s="182"/>
      <c r="K773" s="182">
        <v>11069309.101382429</v>
      </c>
      <c r="L773" s="182"/>
      <c r="M773" s="182">
        <v>11069309.101382429</v>
      </c>
      <c r="N773" s="182">
        <v>0</v>
      </c>
      <c r="O773" s="182">
        <v>11657020.993657568</v>
      </c>
      <c r="P773" s="182">
        <v>587711.89227514027</v>
      </c>
      <c r="Q773" s="182">
        <v>9.5112000243831041E-3</v>
      </c>
      <c r="R773" s="182">
        <v>0</v>
      </c>
      <c r="S773" s="182">
        <f t="shared" si="97"/>
        <v>160119671.46061942</v>
      </c>
      <c r="T773" s="192">
        <f t="shared" si="95"/>
        <v>9.5517615347076035E-3</v>
      </c>
      <c r="Y773" s="192" t="e">
        <f t="shared" si="96"/>
        <v>#DIV/0!</v>
      </c>
    </row>
    <row r="774" spans="1:25" ht="14.4">
      <c r="A774" s="187">
        <v>57433.379999999932</v>
      </c>
      <c r="B774" s="182">
        <v>13480536.527419349</v>
      </c>
      <c r="C774" s="182">
        <v>693624.48848927277</v>
      </c>
      <c r="D774" s="182">
        <v>12786912.038930077</v>
      </c>
      <c r="E774" s="182">
        <v>0</v>
      </c>
      <c r="F774" s="189">
        <f t="shared" si="94"/>
        <v>0</v>
      </c>
      <c r="G774" s="182">
        <v>13480536.527419349</v>
      </c>
      <c r="H774" s="182"/>
      <c r="I774" s="182">
        <v>12786912.038930077</v>
      </c>
      <c r="J774" s="182"/>
      <c r="K774" s="182">
        <v>12122382.74157932</v>
      </c>
      <c r="L774" s="182"/>
      <c r="M774" s="182">
        <v>12122382.74157932</v>
      </c>
      <c r="N774" s="182">
        <v>0</v>
      </c>
      <c r="O774" s="182">
        <v>12816007.230068592</v>
      </c>
      <c r="P774" s="182">
        <v>693624.48848927277</v>
      </c>
      <c r="Q774" s="182">
        <v>9.5015627454024809E-3</v>
      </c>
      <c r="R774" s="182">
        <v>0</v>
      </c>
      <c r="S774" s="182">
        <f t="shared" si="97"/>
        <v>160233768.93653581</v>
      </c>
      <c r="T774" s="192">
        <f t="shared" si="95"/>
        <v>9.5453720662335151E-3</v>
      </c>
      <c r="Y774" s="192" t="e">
        <f t="shared" si="96"/>
        <v>#DIV/0!</v>
      </c>
    </row>
    <row r="775" spans="1:25" ht="14.4">
      <c r="A775" s="187">
        <v>57463.79999999993</v>
      </c>
      <c r="B775" s="182">
        <v>13879411.103694156</v>
      </c>
      <c r="C775" s="182">
        <v>754247.001562241</v>
      </c>
      <c r="D775" s="182">
        <v>13125164.102131914</v>
      </c>
      <c r="E775" s="182">
        <v>0</v>
      </c>
      <c r="F775" s="189">
        <f t="shared" si="94"/>
        <v>0</v>
      </c>
      <c r="G775" s="182">
        <v>13879411.103694156</v>
      </c>
      <c r="H775" s="182"/>
      <c r="I775" s="182">
        <v>13125164.102131914</v>
      </c>
      <c r="J775" s="182"/>
      <c r="K775" s="182">
        <v>12491464.522570794</v>
      </c>
      <c r="L775" s="182"/>
      <c r="M775" s="182">
        <v>12491464.522570794</v>
      </c>
      <c r="N775" s="182">
        <v>0</v>
      </c>
      <c r="O775" s="182">
        <v>13245711.524133036</v>
      </c>
      <c r="P775" s="182">
        <v>754247.001562241</v>
      </c>
      <c r="Q775" s="182">
        <v>9.4962452040170398E-3</v>
      </c>
      <c r="R775" s="182">
        <v>0</v>
      </c>
      <c r="S775" s="182">
        <f t="shared" si="97"/>
        <v>160351275.07945329</v>
      </c>
      <c r="T775" s="192">
        <f t="shared" si="95"/>
        <v>9.538800667322489E-3</v>
      </c>
      <c r="Y775" s="192" t="e">
        <f t="shared" si="96"/>
        <v>#DIV/0!</v>
      </c>
    </row>
    <row r="776" spans="1:25" ht="14.4">
      <c r="A776" s="187">
        <v>57494.219999999928</v>
      </c>
      <c r="B776" s="182">
        <v>15764305.140250262</v>
      </c>
      <c r="C776" s="182">
        <v>776867.68024590891</v>
      </c>
      <c r="D776" s="182">
        <v>14987437.460004352</v>
      </c>
      <c r="E776" s="182">
        <v>0</v>
      </c>
      <c r="F776" s="189">
        <f t="shared" si="94"/>
        <v>0</v>
      </c>
      <c r="G776" s="182">
        <v>15764305.140250262</v>
      </c>
      <c r="H776" s="182"/>
      <c r="I776" s="182">
        <v>14987437.460004352</v>
      </c>
      <c r="J776" s="182"/>
      <c r="K776" s="182">
        <v>14300353.351854537</v>
      </c>
      <c r="L776" s="182"/>
      <c r="M776" s="182">
        <v>14300353.351854537</v>
      </c>
      <c r="N776" s="182">
        <v>0</v>
      </c>
      <c r="O776" s="182">
        <v>15077221.032100445</v>
      </c>
      <c r="P776" s="182">
        <v>776867.68024590891</v>
      </c>
      <c r="Q776" s="182">
        <v>9.4941595063358086E-3</v>
      </c>
      <c r="R776" s="182">
        <v>0</v>
      </c>
      <c r="S776" s="182">
        <f t="shared" si="97"/>
        <v>160485768.01776394</v>
      </c>
      <c r="T776" s="192">
        <f t="shared" si="95"/>
        <v>9.5313010800588405E-3</v>
      </c>
      <c r="Y776" s="192" t="e">
        <f t="shared" si="96"/>
        <v>#DIV/0!</v>
      </c>
    </row>
    <row r="777" spans="1:25" ht="14.4">
      <c r="A777" s="187">
        <v>57524.639999999927</v>
      </c>
      <c r="B777" s="182">
        <v>16483946.135917895</v>
      </c>
      <c r="C777" s="182">
        <v>808925.99389146757</v>
      </c>
      <c r="D777" s="182">
        <v>15675020.142026426</v>
      </c>
      <c r="E777" s="182">
        <v>0</v>
      </c>
      <c r="F777" s="189">
        <f t="shared" si="94"/>
        <v>0</v>
      </c>
      <c r="G777" s="182">
        <v>16483946.135917895</v>
      </c>
      <c r="H777" s="182"/>
      <c r="I777" s="182">
        <v>15675020.142026426</v>
      </c>
      <c r="J777" s="182"/>
      <c r="K777" s="182">
        <v>14946681.486477742</v>
      </c>
      <c r="L777" s="182"/>
      <c r="M777" s="182">
        <v>14946681.486477742</v>
      </c>
      <c r="N777" s="182">
        <v>0</v>
      </c>
      <c r="O777" s="182">
        <v>15755607.48036921</v>
      </c>
      <c r="P777" s="182">
        <v>808925.99389146757</v>
      </c>
      <c r="Q777" s="182">
        <v>9.4836327786091967E-3</v>
      </c>
      <c r="R777" s="182">
        <v>0</v>
      </c>
      <c r="S777" s="182">
        <f t="shared" si="97"/>
        <v>160626185.19133061</v>
      </c>
      <c r="T777" s="192">
        <f t="shared" si="95"/>
        <v>9.523479262024237E-3</v>
      </c>
      <c r="Y777" s="192" t="e">
        <f t="shared" si="96"/>
        <v>#DIV/0!</v>
      </c>
    </row>
    <row r="778" spans="1:25" ht="14.4">
      <c r="A778" s="187">
        <v>57555.059999999925</v>
      </c>
      <c r="B778" s="182">
        <v>17522229.264321066</v>
      </c>
      <c r="C778" s="182">
        <v>780873.37704591383</v>
      </c>
      <c r="D778" s="182">
        <v>16741355.887275152</v>
      </c>
      <c r="E778" s="182">
        <v>0</v>
      </c>
      <c r="F778" s="189">
        <f t="shared" si="94"/>
        <v>0</v>
      </c>
      <c r="G778" s="182">
        <v>17522229.264321066</v>
      </c>
      <c r="H778" s="182"/>
      <c r="I778" s="182">
        <v>16741355.887275152</v>
      </c>
      <c r="J778" s="182"/>
      <c r="K778" s="182">
        <v>15925925.011779813</v>
      </c>
      <c r="L778" s="182"/>
      <c r="M778" s="182">
        <v>15925925.011779813</v>
      </c>
      <c r="N778" s="182">
        <v>0</v>
      </c>
      <c r="O778" s="182">
        <v>16706798.388825728</v>
      </c>
      <c r="P778" s="182">
        <v>780873.37704591383</v>
      </c>
      <c r="Q778" s="182">
        <v>9.478573393786105E-3</v>
      </c>
      <c r="R778" s="182">
        <v>0</v>
      </c>
      <c r="S778" s="182">
        <f t="shared" si="97"/>
        <v>160775722.83687034</v>
      </c>
      <c r="T778" s="192">
        <f t="shared" si="95"/>
        <v>9.5151656485059632E-3</v>
      </c>
      <c r="Y778" s="192" t="e">
        <f t="shared" si="96"/>
        <v>#DIV/0!</v>
      </c>
    </row>
    <row r="779" spans="1:25" ht="14.4">
      <c r="A779" s="187">
        <v>57585.479999999923</v>
      </c>
      <c r="B779" s="182">
        <v>17838302.227742419</v>
      </c>
      <c r="C779" s="182">
        <v>826165.40404277272</v>
      </c>
      <c r="D779" s="182">
        <v>17012136.823699646</v>
      </c>
      <c r="E779" s="182">
        <v>0</v>
      </c>
      <c r="F779" s="189">
        <f t="shared" si="94"/>
        <v>0</v>
      </c>
      <c r="G779" s="182">
        <v>17838302.227742419</v>
      </c>
      <c r="H779" s="182"/>
      <c r="I779" s="182">
        <v>17012136.823699646</v>
      </c>
      <c r="J779" s="182"/>
      <c r="K779" s="182">
        <v>16136517.037074968</v>
      </c>
      <c r="L779" s="182"/>
      <c r="M779" s="182">
        <v>16136517.037074968</v>
      </c>
      <c r="N779" s="182">
        <v>0</v>
      </c>
      <c r="O779" s="182">
        <v>16962682.441117741</v>
      </c>
      <c r="P779" s="182">
        <v>826165.40404277272</v>
      </c>
      <c r="Q779" s="182">
        <v>9.4726847334050124E-3</v>
      </c>
      <c r="R779" s="182">
        <v>0</v>
      </c>
      <c r="S779" s="182">
        <f t="shared" si="97"/>
        <v>160927144.60478848</v>
      </c>
      <c r="T779" s="192">
        <f t="shared" si="95"/>
        <v>9.5067606674938965E-3</v>
      </c>
      <c r="Y779" s="192" t="e">
        <f t="shared" si="96"/>
        <v>#DIV/0!</v>
      </c>
    </row>
    <row r="780" spans="1:25" ht="14.4">
      <c r="A780" s="187">
        <v>57615.899999999921</v>
      </c>
      <c r="B780" s="182">
        <v>16424639.480771225</v>
      </c>
      <c r="C780" s="182">
        <v>796404.29222672852</v>
      </c>
      <c r="D780" s="182">
        <v>15628235.188544497</v>
      </c>
      <c r="E780" s="182">
        <v>0</v>
      </c>
      <c r="F780" s="189">
        <f t="shared" si="94"/>
        <v>0</v>
      </c>
      <c r="G780" s="182">
        <v>16424639.480771225</v>
      </c>
      <c r="H780" s="182"/>
      <c r="I780" s="182">
        <v>15628235.188544497</v>
      </c>
      <c r="J780" s="182"/>
      <c r="K780" s="182">
        <v>14823642.529880295</v>
      </c>
      <c r="L780" s="182"/>
      <c r="M780" s="182">
        <v>14823642.529880295</v>
      </c>
      <c r="N780" s="182">
        <v>0</v>
      </c>
      <c r="O780" s="182">
        <v>15620046.822107023</v>
      </c>
      <c r="P780" s="182">
        <v>796404.29222672852</v>
      </c>
      <c r="Q780" s="182">
        <v>9.464742709528684E-3</v>
      </c>
      <c r="R780" s="182">
        <v>0</v>
      </c>
      <c r="S780" s="182">
        <f t="shared" si="97"/>
        <v>161066131.09597266</v>
      </c>
      <c r="T780" s="192">
        <f t="shared" si="95"/>
        <v>9.499063834916166E-3</v>
      </c>
      <c r="Y780" s="192" t="e">
        <f t="shared" si="96"/>
        <v>#DIV/0!</v>
      </c>
    </row>
    <row r="781" spans="1:25" ht="14.4">
      <c r="A781" s="187">
        <v>57646.31999999992</v>
      </c>
      <c r="B781" s="182">
        <v>15400472.662918525</v>
      </c>
      <c r="C781" s="182">
        <v>729439.33237705287</v>
      </c>
      <c r="D781" s="182">
        <v>14671033.330541473</v>
      </c>
      <c r="E781" s="182">
        <v>0</v>
      </c>
      <c r="F781" s="189">
        <f t="shared" si="94"/>
        <v>0</v>
      </c>
      <c r="G781" s="182">
        <v>15400472.662918525</v>
      </c>
      <c r="H781" s="182"/>
      <c r="I781" s="182">
        <v>14671033.330541473</v>
      </c>
      <c r="J781" s="182"/>
      <c r="K781" s="182">
        <v>13916172.236641213</v>
      </c>
      <c r="L781" s="182"/>
      <c r="M781" s="182">
        <v>13916172.236641213</v>
      </c>
      <c r="N781" s="182">
        <v>0</v>
      </c>
      <c r="O781" s="182">
        <v>14645611.569018267</v>
      </c>
      <c r="P781" s="182">
        <v>729439.33237705287</v>
      </c>
      <c r="Q781" s="182">
        <v>9.4558882856214943E-3</v>
      </c>
      <c r="R781" s="182">
        <v>0</v>
      </c>
      <c r="S781" s="182">
        <f t="shared" si="97"/>
        <v>161196488.22357005</v>
      </c>
      <c r="T781" s="192">
        <f t="shared" si="95"/>
        <v>9.4918592408346214E-3</v>
      </c>
      <c r="Y781" s="192" t="e">
        <f t="shared" si="96"/>
        <v>#DIV/0!</v>
      </c>
    </row>
    <row r="782" spans="1:25" ht="14.4">
      <c r="A782" s="187">
        <v>57676.739999999918</v>
      </c>
      <c r="B782" s="182">
        <v>12881604.626657819</v>
      </c>
      <c r="C782" s="182">
        <v>654372.02151189512</v>
      </c>
      <c r="D782" s="182">
        <v>12227232.605145924</v>
      </c>
      <c r="E782" s="182">
        <v>0</v>
      </c>
      <c r="F782" s="189">
        <f t="shared" si="94"/>
        <v>0</v>
      </c>
      <c r="G782" s="182">
        <v>12881604.626657819</v>
      </c>
      <c r="H782" s="182"/>
      <c r="I782" s="182">
        <v>12227232.605145924</v>
      </c>
      <c r="J782" s="182"/>
      <c r="K782" s="182">
        <v>11666196.584213676</v>
      </c>
      <c r="L782" s="182"/>
      <c r="M782" s="182">
        <v>11666196.584213676</v>
      </c>
      <c r="N782" s="182">
        <v>0</v>
      </c>
      <c r="O782" s="182">
        <v>12320568.605725572</v>
      </c>
      <c r="P782" s="182">
        <v>654372.02151189512</v>
      </c>
      <c r="Q782" s="182">
        <v>9.4440808879738825E-3</v>
      </c>
      <c r="R782" s="182">
        <v>0</v>
      </c>
      <c r="S782" s="182">
        <f t="shared" si="97"/>
        <v>161305633.94672829</v>
      </c>
      <c r="T782" s="192">
        <f t="shared" si="95"/>
        <v>9.4858360284229004E-3</v>
      </c>
      <c r="Y782" s="192" t="e">
        <f t="shared" si="96"/>
        <v>#DIV/0!</v>
      </c>
    </row>
    <row r="783" spans="1:25" ht="14.4">
      <c r="A783" s="187">
        <v>57707.159999999916</v>
      </c>
      <c r="B783" s="182">
        <v>13261844.897506818</v>
      </c>
      <c r="C783" s="182">
        <v>621561.9791120413</v>
      </c>
      <c r="D783" s="182">
        <v>12640282.918394776</v>
      </c>
      <c r="E783" s="182">
        <v>0</v>
      </c>
      <c r="F783" s="189">
        <f t="shared" si="94"/>
        <v>0</v>
      </c>
      <c r="G783" s="182">
        <v>13261844.897506818</v>
      </c>
      <c r="H783" s="182"/>
      <c r="I783" s="182">
        <v>12640282.918394776</v>
      </c>
      <c r="J783" s="182"/>
      <c r="K783" s="182">
        <v>12005989.42552579</v>
      </c>
      <c r="L783" s="182"/>
      <c r="M783" s="182">
        <v>12005989.42552579</v>
      </c>
      <c r="N783" s="182">
        <v>0</v>
      </c>
      <c r="O783" s="182">
        <v>12627551.404637832</v>
      </c>
      <c r="P783" s="182">
        <v>621561.9791120413</v>
      </c>
      <c r="Q783" s="182">
        <v>9.4376893037144693E-3</v>
      </c>
      <c r="R783" s="182">
        <v>0</v>
      </c>
      <c r="S783" s="182">
        <f t="shared" si="97"/>
        <v>161417883.36953312</v>
      </c>
      <c r="T783" s="192">
        <f t="shared" si="95"/>
        <v>9.479650537673967E-3</v>
      </c>
      <c r="Y783" s="192" t="e">
        <f t="shared" si="96"/>
        <v>#DIV/0!</v>
      </c>
    </row>
    <row r="784" spans="1:25" ht="14.4">
      <c r="A784" s="187">
        <v>57737.579999999914</v>
      </c>
      <c r="B784" s="182">
        <v>13421216.199567666</v>
      </c>
      <c r="C784" s="182">
        <v>616769.80826117133</v>
      </c>
      <c r="D784" s="182">
        <v>12804446.391306495</v>
      </c>
      <c r="E784" s="182">
        <v>0</v>
      </c>
      <c r="F784" s="189">
        <f t="shared" ref="F784:F847" si="98">SUM(E773:E783)</f>
        <v>0</v>
      </c>
      <c r="G784" s="182">
        <v>13421216.199567666</v>
      </c>
      <c r="H784" s="182"/>
      <c r="I784" s="182">
        <v>12804446.391306495</v>
      </c>
      <c r="J784" s="182"/>
      <c r="K784" s="182">
        <v>12126638.306995464</v>
      </c>
      <c r="L784" s="182"/>
      <c r="M784" s="182">
        <v>12126638.306995464</v>
      </c>
      <c r="N784" s="182">
        <v>0</v>
      </c>
      <c r="O784" s="182">
        <v>12743408.115256635</v>
      </c>
      <c r="P784" s="182">
        <v>616769.80826117133</v>
      </c>
      <c r="Q784" s="182">
        <v>9.4386592027324578E-3</v>
      </c>
      <c r="R784" s="182">
        <v>0</v>
      </c>
      <c r="S784" s="182">
        <f t="shared" si="97"/>
        <v>161531272.33597603</v>
      </c>
      <c r="T784" s="192">
        <f t="shared" si="95"/>
        <v>9.4734103149689552E-3</v>
      </c>
      <c r="Y784" s="192" t="e">
        <f t="shared" si="96"/>
        <v>#DIV/0!</v>
      </c>
    </row>
    <row r="785" spans="1:25" ht="14.4">
      <c r="A785" s="187">
        <v>57767.999999999913</v>
      </c>
      <c r="B785" s="182">
        <v>12392037.87154272</v>
      </c>
      <c r="C785" s="182">
        <v>596290.9168550449</v>
      </c>
      <c r="D785" s="182">
        <v>11795746.954687675</v>
      </c>
      <c r="E785" s="182">
        <v>0</v>
      </c>
      <c r="F785" s="189">
        <f t="shared" si="98"/>
        <v>0</v>
      </c>
      <c r="G785" s="182">
        <v>12392037.87154272</v>
      </c>
      <c r="H785" s="182"/>
      <c r="I785" s="182">
        <v>11795746.954687675</v>
      </c>
      <c r="J785" s="182"/>
      <c r="K785" s="182">
        <v>11173668.675546024</v>
      </c>
      <c r="L785" s="182"/>
      <c r="M785" s="182">
        <v>11173668.675546024</v>
      </c>
      <c r="N785" s="182">
        <v>0</v>
      </c>
      <c r="O785" s="182">
        <v>11769959.592401069</v>
      </c>
      <c r="P785" s="182">
        <v>596290.9168550449</v>
      </c>
      <c r="Q785" s="182">
        <v>9.427830879757515E-3</v>
      </c>
      <c r="R785" s="182">
        <v>0</v>
      </c>
      <c r="S785" s="182">
        <f t="shared" si="97"/>
        <v>161635631.91013962</v>
      </c>
      <c r="T785" s="192">
        <f t="shared" si="95"/>
        <v>9.4676714965222786E-3</v>
      </c>
      <c r="Y785" s="192" t="e">
        <f t="shared" si="96"/>
        <v>#DIV/0!</v>
      </c>
    </row>
    <row r="786" spans="1:25" ht="14.4">
      <c r="A786" s="187">
        <v>57798.419999999911</v>
      </c>
      <c r="B786" s="182">
        <v>13611288.171405669</v>
      </c>
      <c r="C786" s="182">
        <v>703758.42176323035</v>
      </c>
      <c r="D786" s="182">
        <v>12907529.749642439</v>
      </c>
      <c r="E786" s="182">
        <v>0</v>
      </c>
      <c r="F786" s="189">
        <f t="shared" si="98"/>
        <v>0</v>
      </c>
      <c r="G786" s="182">
        <v>13611288.171405669</v>
      </c>
      <c r="H786" s="182"/>
      <c r="I786" s="182">
        <v>12907529.749642439</v>
      </c>
      <c r="J786" s="182"/>
      <c r="K786" s="182">
        <v>12236554.989388261</v>
      </c>
      <c r="L786" s="182"/>
      <c r="M786" s="182">
        <v>12236554.989388261</v>
      </c>
      <c r="N786" s="182">
        <v>0</v>
      </c>
      <c r="O786" s="182">
        <v>12940313.411151491</v>
      </c>
      <c r="P786" s="182">
        <v>703758.42176323035</v>
      </c>
      <c r="Q786" s="182">
        <v>9.4183008607156005E-3</v>
      </c>
      <c r="R786" s="182">
        <v>0</v>
      </c>
      <c r="S786" s="182">
        <f t="shared" si="97"/>
        <v>161749804.15794855</v>
      </c>
      <c r="T786" s="192">
        <f t="shared" si="95"/>
        <v>9.4613965050851512E-3</v>
      </c>
      <c r="Y786" s="192" t="e">
        <f t="shared" si="96"/>
        <v>#DIV/0!</v>
      </c>
    </row>
    <row r="787" spans="1:25" ht="14.4">
      <c r="A787" s="187">
        <v>57828.839999999909</v>
      </c>
      <c r="B787" s="182">
        <v>14014176.991266899</v>
      </c>
      <c r="C787" s="182">
        <v>765276.76506915374</v>
      </c>
      <c r="D787" s="182">
        <v>13248900.226197746</v>
      </c>
      <c r="E787" s="182">
        <v>0</v>
      </c>
      <c r="F787" s="189">
        <f t="shared" si="98"/>
        <v>0</v>
      </c>
      <c r="G787" s="182">
        <v>14014176.991266899</v>
      </c>
      <c r="H787" s="182"/>
      <c r="I787" s="182">
        <v>13248900.226197746</v>
      </c>
      <c r="J787" s="182"/>
      <c r="K787" s="182">
        <v>12609047.569560371</v>
      </c>
      <c r="L787" s="182"/>
      <c r="M787" s="182">
        <v>12609047.569560371</v>
      </c>
      <c r="N787" s="182">
        <v>0</v>
      </c>
      <c r="O787" s="182">
        <v>13374324.334629524</v>
      </c>
      <c r="P787" s="182">
        <v>765276.76506915374</v>
      </c>
      <c r="Q787" s="182">
        <v>9.4130713638194141E-3</v>
      </c>
      <c r="R787" s="182">
        <v>0</v>
      </c>
      <c r="S787" s="182">
        <f t="shared" si="97"/>
        <v>161867387.20493817</v>
      </c>
      <c r="T787" s="192">
        <f t="shared" si="95"/>
        <v>9.4549427482486514E-3</v>
      </c>
      <c r="Y787" s="192" t="e">
        <f t="shared" si="96"/>
        <v>#DIV/0!</v>
      </c>
    </row>
    <row r="788" spans="1:25" ht="14.4">
      <c r="A788" s="187">
        <v>57859.259999999907</v>
      </c>
      <c r="B788" s="182">
        <v>15916868.79994875</v>
      </c>
      <c r="C788" s="182">
        <v>788199.35037328908</v>
      </c>
      <c r="D788" s="182">
        <v>15128669.449575461</v>
      </c>
      <c r="E788" s="182">
        <v>0</v>
      </c>
      <c r="F788" s="189">
        <f t="shared" si="98"/>
        <v>0</v>
      </c>
      <c r="G788" s="182">
        <v>15916868.79994875</v>
      </c>
      <c r="H788" s="182"/>
      <c r="I788" s="182">
        <v>15128669.449575461</v>
      </c>
      <c r="J788" s="182"/>
      <c r="K788" s="182">
        <v>14434935.884622606</v>
      </c>
      <c r="L788" s="182"/>
      <c r="M788" s="182">
        <v>14434935.884622606</v>
      </c>
      <c r="N788" s="182">
        <v>0</v>
      </c>
      <c r="O788" s="182">
        <v>15223135.234995894</v>
      </c>
      <c r="P788" s="182">
        <v>788199.35037328908</v>
      </c>
      <c r="Q788" s="182">
        <v>9.4111333794850704E-3</v>
      </c>
      <c r="R788" s="182">
        <v>0</v>
      </c>
      <c r="S788" s="182">
        <f t="shared" si="97"/>
        <v>162001969.73770621</v>
      </c>
      <c r="T788" s="192">
        <f t="shared" si="95"/>
        <v>9.4475774311304495E-3</v>
      </c>
      <c r="Y788" s="192" t="e">
        <f t="shared" si="96"/>
        <v>#DIV/0!</v>
      </c>
    </row>
    <row r="789" spans="1:25" ht="14.4">
      <c r="A789" s="187">
        <v>57889.679999999906</v>
      </c>
      <c r="B789" s="182">
        <v>16643280.291657018</v>
      </c>
      <c r="C789" s="182">
        <v>820710.16042905138</v>
      </c>
      <c r="D789" s="182">
        <v>15822570.131227966</v>
      </c>
      <c r="E789" s="182">
        <v>0</v>
      </c>
      <c r="F789" s="189">
        <f t="shared" si="98"/>
        <v>0</v>
      </c>
      <c r="G789" s="182">
        <v>16643280.291657018</v>
      </c>
      <c r="H789" s="182"/>
      <c r="I789" s="182">
        <v>15822570.131227966</v>
      </c>
      <c r="J789" s="182"/>
      <c r="K789" s="182">
        <v>15087191.339548217</v>
      </c>
      <c r="L789" s="182"/>
      <c r="M789" s="182">
        <v>15087191.339548217</v>
      </c>
      <c r="N789" s="182">
        <v>0</v>
      </c>
      <c r="O789" s="182">
        <v>15907901.499977268</v>
      </c>
      <c r="P789" s="182">
        <v>820710.16042905138</v>
      </c>
      <c r="Q789" s="182">
        <v>9.4007391003545493E-3</v>
      </c>
      <c r="R789" s="182">
        <v>0</v>
      </c>
      <c r="S789" s="182">
        <f t="shared" si="97"/>
        <v>162142479.59077671</v>
      </c>
      <c r="T789" s="192">
        <f t="shared" si="95"/>
        <v>9.4398954793077916E-3</v>
      </c>
      <c r="Y789" s="192" t="e">
        <f t="shared" si="96"/>
        <v>#DIV/0!</v>
      </c>
    </row>
    <row r="790" spans="1:25" ht="14.4">
      <c r="A790" s="187">
        <v>57920.099999999904</v>
      </c>
      <c r="B790" s="182">
        <v>17691052.98698739</v>
      </c>
      <c r="C790" s="182">
        <v>792204.04219914461</v>
      </c>
      <c r="D790" s="182">
        <v>16898848.944788244</v>
      </c>
      <c r="E790" s="182">
        <v>0</v>
      </c>
      <c r="F790" s="189">
        <f t="shared" si="98"/>
        <v>0</v>
      </c>
      <c r="G790" s="182">
        <v>17691052.98698739</v>
      </c>
      <c r="H790" s="182"/>
      <c r="I790" s="182">
        <v>16898848.944788244</v>
      </c>
      <c r="J790" s="182"/>
      <c r="K790" s="182">
        <v>16075561.530384442</v>
      </c>
      <c r="L790" s="182"/>
      <c r="M790" s="182">
        <v>16075561.530384442</v>
      </c>
      <c r="N790" s="182">
        <v>0</v>
      </c>
      <c r="O790" s="182">
        <v>16867765.572583586</v>
      </c>
      <c r="P790" s="182">
        <v>792204.04219914461</v>
      </c>
      <c r="Q790" s="182">
        <v>9.3957819400725118E-3</v>
      </c>
      <c r="R790" s="182">
        <v>0</v>
      </c>
      <c r="S790" s="182">
        <f t="shared" si="97"/>
        <v>162292116.10938135</v>
      </c>
      <c r="T790" s="192">
        <f t="shared" si="95"/>
        <v>9.4317303990578694E-3</v>
      </c>
      <c r="Y790" s="192" t="e">
        <f t="shared" si="96"/>
        <v>#DIV/0!</v>
      </c>
    </row>
    <row r="791" spans="1:25" ht="14.4">
      <c r="A791" s="187">
        <v>57950.519999999902</v>
      </c>
      <c r="B791" s="182">
        <v>18010278.753687702</v>
      </c>
      <c r="C791" s="182">
        <v>838178.71909140598</v>
      </c>
      <c r="D791" s="182">
        <v>17172100.034596298</v>
      </c>
      <c r="E791" s="182">
        <v>0</v>
      </c>
      <c r="F791" s="189">
        <f t="shared" si="98"/>
        <v>0</v>
      </c>
      <c r="G791" s="182">
        <v>18010278.753687702</v>
      </c>
      <c r="H791" s="182"/>
      <c r="I791" s="182">
        <v>17172100.034596298</v>
      </c>
      <c r="J791" s="182"/>
      <c r="K791" s="182">
        <v>16288038.522574766</v>
      </c>
      <c r="L791" s="182"/>
      <c r="M791" s="182">
        <v>16288038.522574766</v>
      </c>
      <c r="N791" s="182">
        <v>0</v>
      </c>
      <c r="O791" s="182">
        <v>17126217.241666172</v>
      </c>
      <c r="P791" s="182">
        <v>838178.71909140598</v>
      </c>
      <c r="Q791" s="182">
        <v>9.3899746241190574E-3</v>
      </c>
      <c r="R791" s="182">
        <v>0</v>
      </c>
      <c r="S791" s="182">
        <f t="shared" si="97"/>
        <v>162443637.59488109</v>
      </c>
      <c r="T791" s="192">
        <f t="shared" si="95"/>
        <v>9.4234754106703456E-3</v>
      </c>
      <c r="Y791" s="192" t="e">
        <f t="shared" si="96"/>
        <v>#DIV/0!</v>
      </c>
    </row>
    <row r="792" spans="1:25" ht="14.4">
      <c r="A792" s="187">
        <v>57980.9399999999</v>
      </c>
      <c r="B792" s="182">
        <v>16583104.28976411</v>
      </c>
      <c r="C792" s="182">
        <v>808027.75611225283</v>
      </c>
      <c r="D792" s="182">
        <v>15775076.533651857</v>
      </c>
      <c r="E792" s="182">
        <v>0</v>
      </c>
      <c r="F792" s="189">
        <f t="shared" si="98"/>
        <v>0</v>
      </c>
      <c r="G792" s="182">
        <v>16583104.28976411</v>
      </c>
      <c r="H792" s="182"/>
      <c r="I792" s="182">
        <v>15775076.533651857</v>
      </c>
      <c r="J792" s="182"/>
      <c r="K792" s="182">
        <v>14962721.17053855</v>
      </c>
      <c r="L792" s="182"/>
      <c r="M792" s="182">
        <v>14962721.17053855</v>
      </c>
      <c r="N792" s="182">
        <v>0</v>
      </c>
      <c r="O792" s="182">
        <v>15770748.926650804</v>
      </c>
      <c r="P792" s="182">
        <v>808027.75611225283</v>
      </c>
      <c r="Q792" s="182">
        <v>9.3822176552027514E-3</v>
      </c>
      <c r="R792" s="182">
        <v>0</v>
      </c>
      <c r="S792" s="182">
        <f t="shared" si="97"/>
        <v>162582716.23553935</v>
      </c>
      <c r="T792" s="192">
        <f t="shared" si="95"/>
        <v>9.4159158678928101E-3</v>
      </c>
      <c r="Y792" s="192" t="e">
        <f t="shared" si="96"/>
        <v>#DIV/0!</v>
      </c>
    </row>
    <row r="793" spans="1:25" ht="14.4">
      <c r="A793" s="187">
        <v>58011.359999999899</v>
      </c>
      <c r="B793" s="182">
        <v>15548831.767533096</v>
      </c>
      <c r="C793" s="182">
        <v>740082.64118780883</v>
      </c>
      <c r="D793" s="182">
        <v>14808749.126345286</v>
      </c>
      <c r="E793" s="182">
        <v>0</v>
      </c>
      <c r="F793" s="189">
        <f t="shared" si="98"/>
        <v>0</v>
      </c>
      <c r="G793" s="182">
        <v>15548831.767533096</v>
      </c>
      <c r="H793" s="182"/>
      <c r="I793" s="182">
        <v>14808749.126345286</v>
      </c>
      <c r="J793" s="182"/>
      <c r="K793" s="182">
        <v>14046616.144208178</v>
      </c>
      <c r="L793" s="182"/>
      <c r="M793" s="182">
        <v>14046616.144208178</v>
      </c>
      <c r="N793" s="182">
        <v>0</v>
      </c>
      <c r="O793" s="182">
        <v>14786698.785395987</v>
      </c>
      <c r="P793" s="182">
        <v>740082.64118780883</v>
      </c>
      <c r="Q793" s="182">
        <v>9.3735479375216535E-3</v>
      </c>
      <c r="R793" s="182">
        <v>0</v>
      </c>
      <c r="S793" s="182">
        <f t="shared" si="97"/>
        <v>162713160.14310634</v>
      </c>
      <c r="T793" s="192">
        <f t="shared" si="95"/>
        <v>9.4088397101601551E-3</v>
      </c>
      <c r="Y793" s="192" t="e">
        <f t="shared" si="96"/>
        <v>#DIV/0!</v>
      </c>
    </row>
    <row r="794" spans="1:25" ht="14.4">
      <c r="A794" s="187">
        <v>58041.779999999897</v>
      </c>
      <c r="B794" s="182">
        <v>13005802.340289354</v>
      </c>
      <c r="C794" s="182">
        <v>663942.1255104302</v>
      </c>
      <c r="D794" s="182">
        <v>12341860.214778924</v>
      </c>
      <c r="E794" s="182">
        <v>0</v>
      </c>
      <c r="F794" s="189">
        <f t="shared" si="98"/>
        <v>0</v>
      </c>
      <c r="G794" s="182">
        <v>13005802.340289354</v>
      </c>
      <c r="H794" s="182"/>
      <c r="I794" s="182">
        <v>12341860.214778924</v>
      </c>
      <c r="J794" s="182"/>
      <c r="K794" s="182">
        <v>11775414.977131506</v>
      </c>
      <c r="L794" s="182"/>
      <c r="M794" s="182">
        <v>11775414.977131506</v>
      </c>
      <c r="N794" s="182">
        <v>0</v>
      </c>
      <c r="O794" s="182">
        <v>12439357.102641936</v>
      </c>
      <c r="P794" s="182">
        <v>663942.1255104302</v>
      </c>
      <c r="Q794" s="182">
        <v>9.3619537549727294E-3</v>
      </c>
      <c r="R794" s="182">
        <v>0</v>
      </c>
      <c r="S794" s="182">
        <f t="shared" si="97"/>
        <v>162822378.53602418</v>
      </c>
      <c r="T794" s="192">
        <f t="shared" si="95"/>
        <v>9.4029238296586826E-3</v>
      </c>
      <c r="Y794" s="192" t="e">
        <f t="shared" si="96"/>
        <v>#DIV/0!</v>
      </c>
    </row>
    <row r="795" spans="1:25" ht="14.4">
      <c r="A795" s="187">
        <v>58072.199999999895</v>
      </c>
      <c r="B795" s="182">
        <v>13389337.014119262</v>
      </c>
      <c r="C795" s="182">
        <v>630632.11892701045</v>
      </c>
      <c r="D795" s="182">
        <v>12758704.895192251</v>
      </c>
      <c r="E795" s="182">
        <v>0</v>
      </c>
      <c r="F795" s="189">
        <f t="shared" si="98"/>
        <v>0</v>
      </c>
      <c r="G795" s="182">
        <v>13389337.014119262</v>
      </c>
      <c r="H795" s="182"/>
      <c r="I795" s="182">
        <v>12758704.895192251</v>
      </c>
      <c r="J795" s="182"/>
      <c r="K795" s="182">
        <v>12118313.651928479</v>
      </c>
      <c r="L795" s="182"/>
      <c r="M795" s="182">
        <v>12118313.651928479</v>
      </c>
      <c r="N795" s="182">
        <v>0</v>
      </c>
      <c r="O795" s="182">
        <v>12748945.77085549</v>
      </c>
      <c r="P795" s="182">
        <v>630632.11892701045</v>
      </c>
      <c r="Q795" s="182">
        <v>9.3556826032077378E-3</v>
      </c>
      <c r="R795" s="182">
        <v>0</v>
      </c>
      <c r="S795" s="182">
        <f t="shared" si="97"/>
        <v>162934702.76242688</v>
      </c>
      <c r="T795" s="192">
        <f t="shared" si="95"/>
        <v>9.3968484856248313E-3</v>
      </c>
      <c r="Y795" s="192" t="e">
        <f t="shared" si="96"/>
        <v>#DIV/0!</v>
      </c>
    </row>
    <row r="796" spans="1:25" ht="14.4">
      <c r="A796" s="187">
        <v>58102.619999999893</v>
      </c>
      <c r="B796" s="182">
        <v>13550191.711965205</v>
      </c>
      <c r="C796" s="182">
        <v>625767.29491806671</v>
      </c>
      <c r="D796" s="182">
        <v>12924424.417047139</v>
      </c>
      <c r="E796" s="182">
        <v>0</v>
      </c>
      <c r="F796" s="189">
        <f t="shared" si="98"/>
        <v>0</v>
      </c>
      <c r="G796" s="182">
        <v>13550191.711965205</v>
      </c>
      <c r="H796" s="182"/>
      <c r="I796" s="182">
        <v>12924424.417047139</v>
      </c>
      <c r="J796" s="182"/>
      <c r="K796" s="182">
        <v>12240102.717004023</v>
      </c>
      <c r="L796" s="182"/>
      <c r="M796" s="182">
        <v>12240102.717004023</v>
      </c>
      <c r="N796" s="182">
        <v>0</v>
      </c>
      <c r="O796" s="182">
        <v>12865870.011922089</v>
      </c>
      <c r="P796" s="182">
        <v>625767.29491806671</v>
      </c>
      <c r="Q796" s="182">
        <v>9.3566252357921709E-3</v>
      </c>
      <c r="R796" s="182">
        <v>0</v>
      </c>
      <c r="S796" s="182">
        <f t="shared" si="97"/>
        <v>163048167.17243543</v>
      </c>
      <c r="T796" s="192">
        <f t="shared" si="95"/>
        <v>9.3907192986404375E-3</v>
      </c>
      <c r="Y796" s="192" t="e">
        <f t="shared" si="96"/>
        <v>#DIV/0!</v>
      </c>
    </row>
    <row r="797" spans="1:25" ht="14.4">
      <c r="A797" s="187">
        <v>58133.039999999892</v>
      </c>
      <c r="B797" s="182">
        <v>12511150.586103866</v>
      </c>
      <c r="C797" s="182">
        <v>604995.71727241063</v>
      </c>
      <c r="D797" s="182">
        <v>11906154.868831456</v>
      </c>
      <c r="E797" s="182">
        <v>0</v>
      </c>
      <c r="F797" s="189">
        <f t="shared" si="98"/>
        <v>0</v>
      </c>
      <c r="G797" s="182">
        <v>12511150.586103866</v>
      </c>
      <c r="H797" s="182"/>
      <c r="I797" s="182">
        <v>11906154.868831456</v>
      </c>
      <c r="J797" s="182"/>
      <c r="K797" s="182">
        <v>11278097.150854466</v>
      </c>
      <c r="L797" s="182"/>
      <c r="M797" s="182">
        <v>11278097.150854466</v>
      </c>
      <c r="N797" s="182">
        <v>0</v>
      </c>
      <c r="O797" s="182">
        <v>11883092.868126877</v>
      </c>
      <c r="P797" s="182">
        <v>604995.71727241063</v>
      </c>
      <c r="Q797" s="182">
        <v>9.3459434265299457E-3</v>
      </c>
      <c r="R797" s="182">
        <v>0</v>
      </c>
      <c r="S797" s="182">
        <f t="shared" si="97"/>
        <v>163152595.64774385</v>
      </c>
      <c r="T797" s="192">
        <f t="shared" si="95"/>
        <v>9.3850824826025026E-3</v>
      </c>
      <c r="Y797" s="192" t="e">
        <f t="shared" si="96"/>
        <v>#DIV/0!</v>
      </c>
    </row>
    <row r="798" spans="1:25" ht="14.4">
      <c r="A798" s="187">
        <v>58163.45999999989</v>
      </c>
      <c r="B798" s="182">
        <v>13742274.62764338</v>
      </c>
      <c r="C798" s="182">
        <v>714041.03919506597</v>
      </c>
      <c r="D798" s="182">
        <v>13028233.588448314</v>
      </c>
      <c r="E798" s="182">
        <v>0</v>
      </c>
      <c r="F798" s="189">
        <f t="shared" si="98"/>
        <v>0</v>
      </c>
      <c r="G798" s="182">
        <v>13742274.62764338</v>
      </c>
      <c r="H798" s="182"/>
      <c r="I798" s="182">
        <v>13028233.588448314</v>
      </c>
      <c r="J798" s="182"/>
      <c r="K798" s="182">
        <v>12350801.790111931</v>
      </c>
      <c r="L798" s="182"/>
      <c r="M798" s="182">
        <v>12350801.790111931</v>
      </c>
      <c r="N798" s="182">
        <v>0</v>
      </c>
      <c r="O798" s="182">
        <v>13064842.829306997</v>
      </c>
      <c r="P798" s="182">
        <v>714041.03919506597</v>
      </c>
      <c r="Q798" s="182">
        <v>9.3365167584134046E-3</v>
      </c>
      <c r="R798" s="182">
        <v>0</v>
      </c>
      <c r="S798" s="182">
        <f t="shared" si="97"/>
        <v>163266842.44846752</v>
      </c>
      <c r="T798" s="192">
        <f t="shared" si="95"/>
        <v>9.3789188705142301E-3</v>
      </c>
      <c r="Y798" s="192" t="e">
        <f t="shared" si="96"/>
        <v>#DIV/0!</v>
      </c>
    </row>
    <row r="799" spans="1:25" ht="14.4">
      <c r="A799" s="187">
        <v>58193.879999999888</v>
      </c>
      <c r="B799" s="182">
        <v>14149192.927558444</v>
      </c>
      <c r="C799" s="182">
        <v>776468.48412044544</v>
      </c>
      <c r="D799" s="182">
        <v>13372724.443437999</v>
      </c>
      <c r="E799" s="182">
        <v>0</v>
      </c>
      <c r="F799" s="189">
        <f t="shared" si="98"/>
        <v>0</v>
      </c>
      <c r="G799" s="182">
        <v>14149192.927558444</v>
      </c>
      <c r="H799" s="182"/>
      <c r="I799" s="182">
        <v>13372724.443437999</v>
      </c>
      <c r="J799" s="182"/>
      <c r="K799" s="182">
        <v>12726707.29311838</v>
      </c>
      <c r="L799" s="182"/>
      <c r="M799" s="182">
        <v>12726707.29311838</v>
      </c>
      <c r="N799" s="182">
        <v>0</v>
      </c>
      <c r="O799" s="182">
        <v>13503175.777238825</v>
      </c>
      <c r="P799" s="182">
        <v>776468.48412044544</v>
      </c>
      <c r="Q799" s="182">
        <v>9.3313728026573894E-3</v>
      </c>
      <c r="R799" s="182">
        <v>0</v>
      </c>
      <c r="S799" s="182">
        <f t="shared" si="97"/>
        <v>163384502.17202556</v>
      </c>
      <c r="T799" s="192">
        <f t="shared" si="95"/>
        <v>9.372579574454809E-3</v>
      </c>
      <c r="Y799" s="192" t="e">
        <f t="shared" si="96"/>
        <v>#DIV/0!</v>
      </c>
    </row>
    <row r="800" spans="1:25" ht="14.4">
      <c r="A800" s="187">
        <v>58224.299999999886</v>
      </c>
      <c r="B800" s="182">
        <v>16069699.475906461</v>
      </c>
      <c r="C800" s="182">
        <v>799697.04478770355</v>
      </c>
      <c r="D800" s="182">
        <v>15270002.431118758</v>
      </c>
      <c r="E800" s="182">
        <v>0</v>
      </c>
      <c r="F800" s="189">
        <f t="shared" si="98"/>
        <v>0</v>
      </c>
      <c r="G800" s="182">
        <v>16069699.475906461</v>
      </c>
      <c r="H800" s="182"/>
      <c r="I800" s="182">
        <v>15270002.431118758</v>
      </c>
      <c r="J800" s="182"/>
      <c r="K800" s="182">
        <v>14569607.771512246</v>
      </c>
      <c r="L800" s="182"/>
      <c r="M800" s="182">
        <v>14569607.771512246</v>
      </c>
      <c r="N800" s="182">
        <v>0</v>
      </c>
      <c r="O800" s="182">
        <v>15369304.816299949</v>
      </c>
      <c r="P800" s="182">
        <v>799697.04478770355</v>
      </c>
      <c r="Q800" s="182">
        <v>9.3295798447643463E-3</v>
      </c>
      <c r="R800" s="182">
        <v>0</v>
      </c>
      <c r="S800" s="182">
        <f t="shared" si="97"/>
        <v>163519174.0589152</v>
      </c>
      <c r="T800" s="192">
        <f t="shared" si="95"/>
        <v>9.3653449008395118E-3</v>
      </c>
      <c r="Y800" s="192" t="e">
        <f t="shared" si="96"/>
        <v>#DIV/0!</v>
      </c>
    </row>
    <row r="801" spans="1:25" ht="14.4">
      <c r="A801" s="187">
        <v>58254.719999999885</v>
      </c>
      <c r="B801" s="182">
        <v>16802891.573590808</v>
      </c>
      <c r="C801" s="182">
        <v>832666.78980395431</v>
      </c>
      <c r="D801" s="182">
        <v>15970224.783786854</v>
      </c>
      <c r="E801" s="182">
        <v>0</v>
      </c>
      <c r="F801" s="189">
        <f t="shared" si="98"/>
        <v>0</v>
      </c>
      <c r="G801" s="182">
        <v>16802891.573590808</v>
      </c>
      <c r="H801" s="182"/>
      <c r="I801" s="182">
        <v>15970224.783786854</v>
      </c>
      <c r="J801" s="182"/>
      <c r="K801" s="182">
        <v>15227793.611230856</v>
      </c>
      <c r="L801" s="182"/>
      <c r="M801" s="182">
        <v>15227793.611230856</v>
      </c>
      <c r="N801" s="182">
        <v>0</v>
      </c>
      <c r="O801" s="182">
        <v>16060460.40103481</v>
      </c>
      <c r="P801" s="182">
        <v>832666.78980395431</v>
      </c>
      <c r="Q801" s="182">
        <v>9.3193138814429144E-3</v>
      </c>
      <c r="R801" s="182">
        <v>0</v>
      </c>
      <c r="S801" s="182">
        <f t="shared" si="97"/>
        <v>163659776.33059782</v>
      </c>
      <c r="T801" s="192">
        <f t="shared" si="95"/>
        <v>9.3577990397737398E-3</v>
      </c>
      <c r="Y801" s="192" t="e">
        <f t="shared" si="96"/>
        <v>#DIV/0!</v>
      </c>
    </row>
    <row r="802" spans="1:25" ht="14.4">
      <c r="A802" s="187">
        <v>58285.139999999883</v>
      </c>
      <c r="B802" s="182">
        <v>17860153.442045972</v>
      </c>
      <c r="C802" s="182">
        <v>803699.96549086203</v>
      </c>
      <c r="D802" s="182">
        <v>17056453.476555109</v>
      </c>
      <c r="E802" s="182">
        <v>0</v>
      </c>
      <c r="F802" s="189">
        <f t="shared" si="98"/>
        <v>0</v>
      </c>
      <c r="G802" s="182">
        <v>17860153.442045972</v>
      </c>
      <c r="H802" s="182"/>
      <c r="I802" s="182">
        <v>17056453.476555109</v>
      </c>
      <c r="J802" s="182"/>
      <c r="K802" s="182">
        <v>16225296.644964997</v>
      </c>
      <c r="L802" s="182"/>
      <c r="M802" s="182">
        <v>16225296.644964997</v>
      </c>
      <c r="N802" s="182">
        <v>0</v>
      </c>
      <c r="O802" s="182">
        <v>17028996.610455859</v>
      </c>
      <c r="P802" s="182">
        <v>803699.96549086203</v>
      </c>
      <c r="Q802" s="182">
        <v>9.3144562507219142E-3</v>
      </c>
      <c r="R802" s="182">
        <v>0</v>
      </c>
      <c r="S802" s="182">
        <f t="shared" si="97"/>
        <v>163809511.44517836</v>
      </c>
      <c r="T802" s="192">
        <f t="shared" si="95"/>
        <v>9.3497784869249756E-3</v>
      </c>
      <c r="Y802" s="192" t="e">
        <f t="shared" si="96"/>
        <v>#DIV/0!</v>
      </c>
    </row>
    <row r="803" spans="1:25" ht="14.4">
      <c r="A803" s="187">
        <v>58315.559999999881</v>
      </c>
      <c r="B803" s="182">
        <v>18182544.442387216</v>
      </c>
      <c r="C803" s="182">
        <v>850367.57222358487</v>
      </c>
      <c r="D803" s="182">
        <v>17332176.870163631</v>
      </c>
      <c r="E803" s="182">
        <v>0</v>
      </c>
      <c r="F803" s="189">
        <f t="shared" si="98"/>
        <v>0</v>
      </c>
      <c r="G803" s="182">
        <v>18182544.442387216</v>
      </c>
      <c r="H803" s="182"/>
      <c r="I803" s="182">
        <v>17332176.870163631</v>
      </c>
      <c r="J803" s="182"/>
      <c r="K803" s="182">
        <v>16439659.438758288</v>
      </c>
      <c r="L803" s="182"/>
      <c r="M803" s="182">
        <v>16439659.438758288</v>
      </c>
      <c r="N803" s="182">
        <v>0</v>
      </c>
      <c r="O803" s="182">
        <v>17290027.010981873</v>
      </c>
      <c r="P803" s="182">
        <v>850367.57222358487</v>
      </c>
      <c r="Q803" s="182">
        <v>9.308727749715251E-3</v>
      </c>
      <c r="R803" s="182">
        <v>0</v>
      </c>
      <c r="S803" s="182">
        <f t="shared" si="97"/>
        <v>163961132.36136189</v>
      </c>
      <c r="T803" s="192">
        <f t="shared" si="95"/>
        <v>9.3416694488539509E-3</v>
      </c>
      <c r="Y803" s="192" t="e">
        <f t="shared" si="96"/>
        <v>#DIV/0!</v>
      </c>
    </row>
    <row r="804" spans="1:25" ht="14.4">
      <c r="A804" s="187">
        <v>58345.97999999988</v>
      </c>
      <c r="B804" s="182">
        <v>16741844.890383976</v>
      </c>
      <c r="C804" s="182">
        <v>819821.60575645091</v>
      </c>
      <c r="D804" s="182">
        <v>15922023.284627525</v>
      </c>
      <c r="E804" s="182">
        <v>0</v>
      </c>
      <c r="F804" s="189">
        <f t="shared" si="98"/>
        <v>0</v>
      </c>
      <c r="G804" s="182">
        <v>16741844.890383976</v>
      </c>
      <c r="H804" s="182"/>
      <c r="I804" s="182">
        <v>15922023.284627525</v>
      </c>
      <c r="J804" s="182"/>
      <c r="K804" s="182">
        <v>15101891.706880089</v>
      </c>
      <c r="L804" s="182"/>
      <c r="M804" s="182">
        <v>15101891.706880089</v>
      </c>
      <c r="N804" s="182">
        <v>0</v>
      </c>
      <c r="O804" s="182">
        <v>15921713.312636539</v>
      </c>
      <c r="P804" s="182">
        <v>819821.60575645091</v>
      </c>
      <c r="Q804" s="182">
        <v>9.3011514921206295E-3</v>
      </c>
      <c r="R804" s="182">
        <v>0</v>
      </c>
      <c r="S804" s="182">
        <f t="shared" si="97"/>
        <v>164100302.89770344</v>
      </c>
      <c r="T804" s="192">
        <f t="shared" ref="T804:T854" si="99">S804/S792-1</f>
        <v>9.3342434995704604E-3</v>
      </c>
      <c r="Y804" s="192" t="e">
        <f t="shared" ref="Y804:Y854" si="100">X804/X792-1</f>
        <v>#DIV/0!</v>
      </c>
    </row>
    <row r="805" spans="1:25" ht="14.4">
      <c r="A805" s="187">
        <v>58376.399999999878</v>
      </c>
      <c r="B805" s="182">
        <v>15697445.902341058</v>
      </c>
      <c r="C805" s="182">
        <v>750881.93242411269</v>
      </c>
      <c r="D805" s="182">
        <v>14946563.969916945</v>
      </c>
      <c r="E805" s="182">
        <v>0</v>
      </c>
      <c r="F805" s="189">
        <f t="shared" si="98"/>
        <v>0</v>
      </c>
      <c r="G805" s="182">
        <v>15697445.902341058</v>
      </c>
      <c r="H805" s="182"/>
      <c r="I805" s="182">
        <v>14946563.969916945</v>
      </c>
      <c r="J805" s="182"/>
      <c r="K805" s="182">
        <v>14177146.599123359</v>
      </c>
      <c r="L805" s="182"/>
      <c r="M805" s="182">
        <v>14177146.599123359</v>
      </c>
      <c r="N805" s="182">
        <v>0</v>
      </c>
      <c r="O805" s="182">
        <v>14928028.531547472</v>
      </c>
      <c r="P805" s="182">
        <v>750881.93242411269</v>
      </c>
      <c r="Q805" s="182">
        <v>9.2926619176536551E-3</v>
      </c>
      <c r="R805" s="182">
        <v>0</v>
      </c>
      <c r="S805" s="182">
        <f t="shared" si="97"/>
        <v>164230833.3526186</v>
      </c>
      <c r="T805" s="192">
        <f t="shared" si="99"/>
        <v>9.3272923233589378E-3</v>
      </c>
      <c r="Y805" s="192" t="e">
        <f t="shared" si="100"/>
        <v>#DIV/0!</v>
      </c>
    </row>
    <row r="806" spans="1:25" ht="14.4">
      <c r="A806" s="187">
        <v>58406.819999999876</v>
      </c>
      <c r="B806" s="182">
        <v>13130222.767891765</v>
      </c>
      <c r="C806" s="182">
        <v>673652.76306956995</v>
      </c>
      <c r="D806" s="182">
        <v>12456570.004822195</v>
      </c>
      <c r="E806" s="182">
        <v>0</v>
      </c>
      <c r="F806" s="189">
        <f t="shared" si="98"/>
        <v>0</v>
      </c>
      <c r="G806" s="182">
        <v>13130222.767891765</v>
      </c>
      <c r="H806" s="182"/>
      <c r="I806" s="182">
        <v>12456570.004822195</v>
      </c>
      <c r="J806" s="182"/>
      <c r="K806" s="182">
        <v>11884705.850537615</v>
      </c>
      <c r="L806" s="182"/>
      <c r="M806" s="182">
        <v>11884705.850537615</v>
      </c>
      <c r="N806" s="182">
        <v>0</v>
      </c>
      <c r="O806" s="182">
        <v>12558358.613607185</v>
      </c>
      <c r="P806" s="182">
        <v>673652.76306956995</v>
      </c>
      <c r="Q806" s="182">
        <v>9.2812757442821692E-3</v>
      </c>
      <c r="R806" s="182">
        <v>0</v>
      </c>
      <c r="S806" s="182">
        <f t="shared" si="97"/>
        <v>164340124.22602472</v>
      </c>
      <c r="T806" s="192">
        <f t="shared" si="99"/>
        <v>9.3214808900776713E-3</v>
      </c>
      <c r="Y806" s="192" t="e">
        <f t="shared" si="100"/>
        <v>#DIV/0!</v>
      </c>
    </row>
    <row r="807" spans="1:25" ht="14.4">
      <c r="A807" s="187">
        <v>58437.239999999874</v>
      </c>
      <c r="B807" s="182">
        <v>13517047.10245409</v>
      </c>
      <c r="C807" s="182">
        <v>639835.19677646458</v>
      </c>
      <c r="D807" s="182">
        <v>12877211.905677626</v>
      </c>
      <c r="E807" s="182">
        <v>0</v>
      </c>
      <c r="F807" s="189">
        <f t="shared" si="98"/>
        <v>0</v>
      </c>
      <c r="G807" s="182">
        <v>13517047.10245409</v>
      </c>
      <c r="H807" s="182"/>
      <c r="I807" s="182">
        <v>12877211.905677626</v>
      </c>
      <c r="J807" s="182"/>
      <c r="K807" s="182">
        <v>12230712.486769322</v>
      </c>
      <c r="L807" s="182"/>
      <c r="M807" s="182">
        <v>12230712.486769322</v>
      </c>
      <c r="N807" s="182">
        <v>0</v>
      </c>
      <c r="O807" s="182">
        <v>12870547.683545787</v>
      </c>
      <c r="P807" s="182">
        <v>639835.19677646458</v>
      </c>
      <c r="Q807" s="182">
        <v>9.2751217759541316E-3</v>
      </c>
      <c r="R807" s="182">
        <v>0</v>
      </c>
      <c r="S807" s="182">
        <f t="shared" si="97"/>
        <v>164452523.06086558</v>
      </c>
      <c r="T807" s="192">
        <f t="shared" si="99"/>
        <v>9.3155127342749999E-3</v>
      </c>
      <c r="Y807" s="192" t="e">
        <f t="shared" si="100"/>
        <v>#DIV/0!</v>
      </c>
    </row>
    <row r="808" spans="1:25" ht="14.4">
      <c r="A808" s="187">
        <v>58467.659999999873</v>
      </c>
      <c r="B808" s="182">
        <v>13679385.322312543</v>
      </c>
      <c r="C808" s="182">
        <v>634896.62033802096</v>
      </c>
      <c r="D808" s="182">
        <v>13044488.701974522</v>
      </c>
      <c r="E808" s="182">
        <v>0</v>
      </c>
      <c r="F808" s="189">
        <f t="shared" si="98"/>
        <v>0</v>
      </c>
      <c r="G808" s="182">
        <v>13679385.322312543</v>
      </c>
      <c r="H808" s="182"/>
      <c r="I808" s="182">
        <v>13044488.701974522</v>
      </c>
      <c r="J808" s="182"/>
      <c r="K808" s="182">
        <v>12353642.371657023</v>
      </c>
      <c r="L808" s="182"/>
      <c r="M808" s="182">
        <v>12353642.371657023</v>
      </c>
      <c r="N808" s="182">
        <v>0</v>
      </c>
      <c r="O808" s="182">
        <v>12988538.991995044</v>
      </c>
      <c r="P808" s="182">
        <v>634896.62033802096</v>
      </c>
      <c r="Q808" s="182">
        <v>9.2760377325322718E-3</v>
      </c>
      <c r="R808" s="182">
        <v>0</v>
      </c>
      <c r="S808" s="182">
        <f t="shared" si="97"/>
        <v>164566062.71551856</v>
      </c>
      <c r="T808" s="192">
        <f t="shared" si="99"/>
        <v>9.3094916024283325E-3</v>
      </c>
      <c r="Y808" s="192" t="e">
        <f t="shared" si="100"/>
        <v>#DIV/0!</v>
      </c>
    </row>
    <row r="809" spans="1:25" ht="14.4">
      <c r="A809" s="187">
        <v>58498.079999999871</v>
      </c>
      <c r="B809" s="182">
        <v>12630470.014636671</v>
      </c>
      <c r="C809" s="182">
        <v>613828.14439367782</v>
      </c>
      <c r="D809" s="182">
        <v>12016641.870242994</v>
      </c>
      <c r="E809" s="182">
        <v>0</v>
      </c>
      <c r="F809" s="189">
        <f t="shared" si="98"/>
        <v>0</v>
      </c>
      <c r="G809" s="182">
        <v>12630470.014636671</v>
      </c>
      <c r="H809" s="182"/>
      <c r="I809" s="182">
        <v>12016641.870242994</v>
      </c>
      <c r="J809" s="182"/>
      <c r="K809" s="182">
        <v>11382594.336423017</v>
      </c>
      <c r="L809" s="182"/>
      <c r="M809" s="182">
        <v>11382594.336423017</v>
      </c>
      <c r="N809" s="182">
        <v>0</v>
      </c>
      <c r="O809" s="182">
        <v>11996422.480816696</v>
      </c>
      <c r="P809" s="182">
        <v>613828.14439367782</v>
      </c>
      <c r="Q809" s="182">
        <v>9.2654979089832334E-3</v>
      </c>
      <c r="R809" s="182">
        <v>0</v>
      </c>
      <c r="S809" s="182">
        <f t="shared" si="97"/>
        <v>164670559.90108711</v>
      </c>
      <c r="T809" s="192">
        <f t="shared" si="99"/>
        <v>9.3039540518291552E-3</v>
      </c>
      <c r="Y809" s="192" t="e">
        <f t="shared" si="100"/>
        <v>#DIV/0!</v>
      </c>
    </row>
    <row r="810" spans="1:25" ht="14.4">
      <c r="A810" s="187">
        <v>58528.499999999869</v>
      </c>
      <c r="B810" s="182">
        <v>13873497.96483749</v>
      </c>
      <c r="C810" s="182">
        <v>724474.5301700132</v>
      </c>
      <c r="D810" s="182">
        <v>13149023.434667476</v>
      </c>
      <c r="E810" s="182">
        <v>0</v>
      </c>
      <c r="F810" s="189">
        <f t="shared" si="98"/>
        <v>0</v>
      </c>
      <c r="G810" s="182">
        <v>13873497.96483749</v>
      </c>
      <c r="H810" s="182"/>
      <c r="I810" s="182">
        <v>13149023.434667476</v>
      </c>
      <c r="J810" s="182"/>
      <c r="K810" s="182">
        <v>12465122.921092328</v>
      </c>
      <c r="L810" s="182"/>
      <c r="M810" s="182">
        <v>12465122.921092328</v>
      </c>
      <c r="N810" s="182">
        <v>0</v>
      </c>
      <c r="O810" s="182">
        <v>13189597.451262342</v>
      </c>
      <c r="P810" s="182">
        <v>724474.5301700132</v>
      </c>
      <c r="Q810" s="182">
        <v>9.2561708076250859E-3</v>
      </c>
      <c r="R810" s="182">
        <v>0</v>
      </c>
      <c r="S810" s="182">
        <f t="shared" si="97"/>
        <v>164784881.03206751</v>
      </c>
      <c r="T810" s="192">
        <f t="shared" si="99"/>
        <v>9.2978988313510147E-3</v>
      </c>
      <c r="Y810" s="192" t="e">
        <f t="shared" si="100"/>
        <v>#DIV/0!</v>
      </c>
    </row>
    <row r="811" spans="1:25" ht="14.4">
      <c r="A811" s="187">
        <v>58558.919999999867</v>
      </c>
      <c r="B811" s="182">
        <v>14284461.170772716</v>
      </c>
      <c r="C811" s="182">
        <v>787824.54513044271</v>
      </c>
      <c r="D811" s="182">
        <v>13496636.625642274</v>
      </c>
      <c r="E811" s="182">
        <v>0</v>
      </c>
      <c r="F811" s="189">
        <f t="shared" si="98"/>
        <v>0</v>
      </c>
      <c r="G811" s="182">
        <v>14284461.170772716</v>
      </c>
      <c r="H811" s="182"/>
      <c r="I811" s="182">
        <v>13496636.625642274</v>
      </c>
      <c r="J811" s="182"/>
      <c r="K811" s="182">
        <v>12844443.461930413</v>
      </c>
      <c r="L811" s="182"/>
      <c r="M811" s="182">
        <v>12844443.461930413</v>
      </c>
      <c r="N811" s="182">
        <v>0</v>
      </c>
      <c r="O811" s="182">
        <v>13632268.007060856</v>
      </c>
      <c r="P811" s="182">
        <v>787824.54513044271</v>
      </c>
      <c r="Q811" s="182">
        <v>9.2511099768668448E-3</v>
      </c>
      <c r="R811" s="182">
        <v>0</v>
      </c>
      <c r="S811" s="182">
        <f t="shared" si="97"/>
        <v>164902617.20087957</v>
      </c>
      <c r="T811" s="192">
        <f t="shared" si="99"/>
        <v>9.2916709276109621E-3</v>
      </c>
      <c r="Y811" s="192" t="e">
        <f t="shared" si="100"/>
        <v>#DIV/0!</v>
      </c>
    </row>
    <row r="812" spans="1:25" ht="14.4">
      <c r="A812" s="187">
        <v>58589.339999999866</v>
      </c>
      <c r="B812" s="182">
        <v>16222799.465647059</v>
      </c>
      <c r="C812" s="182">
        <v>811363.20528092841</v>
      </c>
      <c r="D812" s="182">
        <v>15411436.260366131</v>
      </c>
      <c r="E812" s="182">
        <v>0</v>
      </c>
      <c r="F812" s="189">
        <f t="shared" si="98"/>
        <v>0</v>
      </c>
      <c r="G812" s="182">
        <v>16222799.465647059</v>
      </c>
      <c r="H812" s="182"/>
      <c r="I812" s="182">
        <v>15411436.260366131</v>
      </c>
      <c r="J812" s="182"/>
      <c r="K812" s="182">
        <v>14704368.768118231</v>
      </c>
      <c r="L812" s="182"/>
      <c r="M812" s="182">
        <v>14704368.768118231</v>
      </c>
      <c r="N812" s="182">
        <v>0</v>
      </c>
      <c r="O812" s="182">
        <v>15515731.973399159</v>
      </c>
      <c r="P812" s="182">
        <v>811363.20528092841</v>
      </c>
      <c r="Q812" s="182">
        <v>9.2494594720307077E-3</v>
      </c>
      <c r="R812" s="182">
        <v>0</v>
      </c>
      <c r="S812" s="182">
        <f t="shared" si="97"/>
        <v>165037378.19748557</v>
      </c>
      <c r="T812" s="192">
        <f t="shared" si="99"/>
        <v>9.2845633994174115E-3</v>
      </c>
      <c r="Y812" s="192" t="e">
        <f t="shared" si="100"/>
        <v>#DIV/0!</v>
      </c>
    </row>
    <row r="813" spans="1:25" ht="14.4">
      <c r="A813" s="187">
        <v>58619.759999999864</v>
      </c>
      <c r="B813" s="182">
        <v>16962782.355417851</v>
      </c>
      <c r="C813" s="182">
        <v>844798.41609671991</v>
      </c>
      <c r="D813" s="182">
        <v>16117983.939321131</v>
      </c>
      <c r="E813" s="182">
        <v>0</v>
      </c>
      <c r="F813" s="189">
        <f t="shared" si="98"/>
        <v>0</v>
      </c>
      <c r="G813" s="182">
        <v>16962782.355417851</v>
      </c>
      <c r="H813" s="182"/>
      <c r="I813" s="182">
        <v>16117983.939321131</v>
      </c>
      <c r="J813" s="182"/>
      <c r="K813" s="182">
        <v>15368488.036262479</v>
      </c>
      <c r="L813" s="182"/>
      <c r="M813" s="182">
        <v>15368488.036262479</v>
      </c>
      <c r="N813" s="182">
        <v>0</v>
      </c>
      <c r="O813" s="182">
        <v>16213286.4523592</v>
      </c>
      <c r="P813" s="182">
        <v>844798.41609671991</v>
      </c>
      <c r="Q813" s="182">
        <v>9.2393178305134604E-3</v>
      </c>
      <c r="R813" s="182">
        <v>0</v>
      </c>
      <c r="S813" s="182">
        <f t="shared" si="97"/>
        <v>165178072.62251717</v>
      </c>
      <c r="T813" s="192">
        <f t="shared" si="99"/>
        <v>9.2771499873758323E-3</v>
      </c>
      <c r="Y813" s="192" t="e">
        <f t="shared" si="100"/>
        <v>#DIV/0!</v>
      </c>
    </row>
    <row r="814" spans="1:25" ht="14.4">
      <c r="A814" s="187">
        <v>58650.179999999862</v>
      </c>
      <c r="B814" s="182">
        <v>18029532.873263292</v>
      </c>
      <c r="C814" s="182">
        <v>815363.56798656401</v>
      </c>
      <c r="D814" s="182">
        <v>17214169.305276729</v>
      </c>
      <c r="E814" s="182">
        <v>0</v>
      </c>
      <c r="F814" s="189">
        <f t="shared" si="98"/>
        <v>0</v>
      </c>
      <c r="G814" s="182">
        <v>18029532.873263292</v>
      </c>
      <c r="H814" s="182"/>
      <c r="I814" s="182">
        <v>17214169.305276729</v>
      </c>
      <c r="J814" s="182"/>
      <c r="K814" s="182">
        <v>16375130.073804444</v>
      </c>
      <c r="L814" s="182"/>
      <c r="M814" s="182">
        <v>16375130.073804444</v>
      </c>
      <c r="N814" s="182">
        <v>0</v>
      </c>
      <c r="O814" s="182">
        <v>17190493.641791008</v>
      </c>
      <c r="P814" s="182">
        <v>815363.56798656401</v>
      </c>
      <c r="Q814" s="182">
        <v>9.2345571312524299E-3</v>
      </c>
      <c r="R814" s="182">
        <v>0</v>
      </c>
      <c r="S814" s="182">
        <f t="shared" si="97"/>
        <v>165327906.05135658</v>
      </c>
      <c r="T814" s="192">
        <f t="shared" si="99"/>
        <v>9.2692700978256326E-3</v>
      </c>
      <c r="Y814" s="192" t="e">
        <f t="shared" si="100"/>
        <v>#DIV/0!</v>
      </c>
    </row>
    <row r="815" spans="1:25" ht="14.4">
      <c r="A815" s="187">
        <v>58680.59999999986</v>
      </c>
      <c r="B815" s="182">
        <v>18355101.695810806</v>
      </c>
      <c r="C815" s="182">
        <v>862734.53919817903</v>
      </c>
      <c r="D815" s="182">
        <v>17492367.156612627</v>
      </c>
      <c r="E815" s="182">
        <v>0</v>
      </c>
      <c r="F815" s="189">
        <f t="shared" si="98"/>
        <v>0</v>
      </c>
      <c r="G815" s="182">
        <v>18355101.695810806</v>
      </c>
      <c r="H815" s="182"/>
      <c r="I815" s="182">
        <v>17492367.156612627</v>
      </c>
      <c r="J815" s="182"/>
      <c r="K815" s="182">
        <v>16591379.493932232</v>
      </c>
      <c r="L815" s="182"/>
      <c r="M815" s="182">
        <v>16591379.493932232</v>
      </c>
      <c r="N815" s="182">
        <v>0</v>
      </c>
      <c r="O815" s="182">
        <v>17454114.033130411</v>
      </c>
      <c r="P815" s="182">
        <v>862734.53919817903</v>
      </c>
      <c r="Q815" s="182">
        <v>9.2289049988618643E-3</v>
      </c>
      <c r="R815" s="182">
        <v>0</v>
      </c>
      <c r="S815" s="182">
        <f t="shared" si="97"/>
        <v>165479626.10653055</v>
      </c>
      <c r="T815" s="192">
        <f t="shared" si="99"/>
        <v>9.2613031106785204E-3</v>
      </c>
      <c r="Y815" s="192" t="e">
        <f t="shared" si="100"/>
        <v>#DIV/0!</v>
      </c>
    </row>
    <row r="816" spans="1:25" ht="14.4">
      <c r="A816" s="187">
        <v>58711.019999999859</v>
      </c>
      <c r="B816" s="182">
        <v>16900863.647404667</v>
      </c>
      <c r="C816" s="182">
        <v>831788.34818341222</v>
      </c>
      <c r="D816" s="182">
        <v>16069075.299221255</v>
      </c>
      <c r="E816" s="182">
        <v>0</v>
      </c>
      <c r="F816" s="189">
        <f t="shared" si="98"/>
        <v>0</v>
      </c>
      <c r="G816" s="182">
        <v>16900863.647404667</v>
      </c>
      <c r="H816" s="182"/>
      <c r="I816" s="182">
        <v>16069075.299221255</v>
      </c>
      <c r="J816" s="182"/>
      <c r="K816" s="182">
        <v>15241153.88081165</v>
      </c>
      <c r="L816" s="182"/>
      <c r="M816" s="182">
        <v>15241153.88081165</v>
      </c>
      <c r="N816" s="182">
        <v>0</v>
      </c>
      <c r="O816" s="182">
        <v>16072942.228995062</v>
      </c>
      <c r="P816" s="182">
        <v>831788.34818341222</v>
      </c>
      <c r="Q816" s="182">
        <v>9.2215052679869292E-3</v>
      </c>
      <c r="R816" s="182">
        <v>0</v>
      </c>
      <c r="S816" s="182">
        <f t="shared" si="97"/>
        <v>165618888.28046212</v>
      </c>
      <c r="T816" s="192">
        <f t="shared" si="99"/>
        <v>9.2540071891600295E-3</v>
      </c>
      <c r="Y816" s="192" t="e">
        <f t="shared" si="100"/>
        <v>#DIV/0!</v>
      </c>
    </row>
    <row r="817" spans="1:25" ht="14.4">
      <c r="A817" s="187">
        <v>58741.439999999857</v>
      </c>
      <c r="B817" s="182">
        <v>15846317.231486032</v>
      </c>
      <c r="C817" s="182">
        <v>761839.50073601492</v>
      </c>
      <c r="D817" s="182">
        <v>15084477.730750017</v>
      </c>
      <c r="E817" s="182">
        <v>0</v>
      </c>
      <c r="F817" s="189">
        <f t="shared" si="98"/>
        <v>0</v>
      </c>
      <c r="G817" s="182">
        <v>15846317.231486032</v>
      </c>
      <c r="H817" s="182"/>
      <c r="I817" s="182">
        <v>15084477.730750017</v>
      </c>
      <c r="J817" s="182"/>
      <c r="K817" s="182">
        <v>14307763.364803849</v>
      </c>
      <c r="L817" s="182"/>
      <c r="M817" s="182">
        <v>14307763.364803849</v>
      </c>
      <c r="N817" s="182">
        <v>0</v>
      </c>
      <c r="O817" s="182">
        <v>15069602.865539864</v>
      </c>
      <c r="P817" s="182">
        <v>761839.50073601492</v>
      </c>
      <c r="Q817" s="182">
        <v>9.2131914392821201E-3</v>
      </c>
      <c r="R817" s="182">
        <v>0</v>
      </c>
      <c r="S817" s="182">
        <f t="shared" si="97"/>
        <v>165749505.04614261</v>
      </c>
      <c r="T817" s="192">
        <f t="shared" si="99"/>
        <v>9.247177661598327E-3</v>
      </c>
      <c r="Y817" s="192" t="e">
        <f t="shared" si="100"/>
        <v>#DIV/0!</v>
      </c>
    </row>
    <row r="818" spans="1:25" ht="14.4">
      <c r="A818" s="187">
        <v>58771.859999999855</v>
      </c>
      <c r="B818" s="182">
        <v>13254867.873389393</v>
      </c>
      <c r="C818" s="182">
        <v>683506.00508804445</v>
      </c>
      <c r="D818" s="182">
        <v>12571361.868301349</v>
      </c>
      <c r="E818" s="182">
        <v>0</v>
      </c>
      <c r="F818" s="189">
        <f t="shared" si="98"/>
        <v>0</v>
      </c>
      <c r="G818" s="182">
        <v>13254867.873389393</v>
      </c>
      <c r="H818" s="182"/>
      <c r="I818" s="182">
        <v>12571361.868301349</v>
      </c>
      <c r="J818" s="182"/>
      <c r="K818" s="182">
        <v>11994069.011922283</v>
      </c>
      <c r="L818" s="182"/>
      <c r="M818" s="182">
        <v>11994069.011922283</v>
      </c>
      <c r="N818" s="182">
        <v>0</v>
      </c>
      <c r="O818" s="182">
        <v>12677575.017010327</v>
      </c>
      <c r="P818" s="182">
        <v>683506.00508804445</v>
      </c>
      <c r="Q818" s="182">
        <v>9.2020082583466056E-3</v>
      </c>
      <c r="R818" s="182">
        <v>0</v>
      </c>
      <c r="S818" s="182">
        <f t="shared" si="97"/>
        <v>165858868.20752725</v>
      </c>
      <c r="T818" s="192">
        <f t="shared" si="99"/>
        <v>9.2414678926111549E-3</v>
      </c>
      <c r="Y818" s="192" t="e">
        <f t="shared" si="100"/>
        <v>#DIV/0!</v>
      </c>
    </row>
    <row r="819" spans="1:25" ht="14.4">
      <c r="A819" s="187">
        <v>58802.279999999853</v>
      </c>
      <c r="B819" s="182">
        <v>13644977.008068956</v>
      </c>
      <c r="C819" s="182">
        <v>649173.16844519472</v>
      </c>
      <c r="D819" s="182">
        <v>12995803.839623762</v>
      </c>
      <c r="E819" s="182">
        <v>0</v>
      </c>
      <c r="F819" s="189">
        <f t="shared" si="98"/>
        <v>0</v>
      </c>
      <c r="G819" s="182">
        <v>13644977.008068956</v>
      </c>
      <c r="H819" s="182"/>
      <c r="I819" s="182">
        <v>12995803.839623762</v>
      </c>
      <c r="J819" s="182"/>
      <c r="K819" s="182">
        <v>12343185.731551019</v>
      </c>
      <c r="L819" s="182"/>
      <c r="M819" s="182">
        <v>12343185.731551019</v>
      </c>
      <c r="N819" s="182">
        <v>0</v>
      </c>
      <c r="O819" s="182">
        <v>12992358.899996214</v>
      </c>
      <c r="P819" s="182">
        <v>649173.16844519472</v>
      </c>
      <c r="Q819" s="182">
        <v>9.195968338178595E-3</v>
      </c>
      <c r="R819" s="182">
        <v>0</v>
      </c>
      <c r="S819" s="182">
        <f t="shared" si="97"/>
        <v>165971341.45230895</v>
      </c>
      <c r="T819" s="192">
        <f t="shared" si="99"/>
        <v>9.235604070855441E-3</v>
      </c>
      <c r="Y819" s="192" t="e">
        <f t="shared" si="100"/>
        <v>#DIV/0!</v>
      </c>
    </row>
    <row r="820" spans="1:25" ht="14.4">
      <c r="A820" s="187">
        <v>58832.699999999852</v>
      </c>
      <c r="B820" s="182">
        <v>13808798.859847924</v>
      </c>
      <c r="C820" s="182">
        <v>644159.72370027506</v>
      </c>
      <c r="D820" s="182">
        <v>13164639.136147648</v>
      </c>
      <c r="E820" s="182">
        <v>0</v>
      </c>
      <c r="F820" s="189">
        <f t="shared" si="98"/>
        <v>0</v>
      </c>
      <c r="G820" s="182">
        <v>13808798.859847924</v>
      </c>
      <c r="H820" s="182"/>
      <c r="I820" s="182">
        <v>13164639.136147648</v>
      </c>
      <c r="J820" s="182"/>
      <c r="K820" s="182">
        <v>12467257.068631936</v>
      </c>
      <c r="L820" s="182"/>
      <c r="M820" s="182">
        <v>12467257.068631936</v>
      </c>
      <c r="N820" s="182">
        <v>0</v>
      </c>
      <c r="O820" s="182">
        <v>13111416.792332212</v>
      </c>
      <c r="P820" s="182">
        <v>644159.72370027506</v>
      </c>
      <c r="Q820" s="182">
        <v>9.1968581861798793E-3</v>
      </c>
      <c r="R820" s="182">
        <v>0</v>
      </c>
      <c r="S820" s="182">
        <f t="shared" si="97"/>
        <v>166084956.14928389</v>
      </c>
      <c r="T820" s="192">
        <f t="shared" si="99"/>
        <v>9.2296881185702784E-3</v>
      </c>
      <c r="Y820" s="192" t="e">
        <f t="shared" si="100"/>
        <v>#DIV/0!</v>
      </c>
    </row>
    <row r="821" spans="1:25" ht="14.4">
      <c r="A821" s="187">
        <v>58863.11999999985</v>
      </c>
      <c r="B821" s="182">
        <v>12749997.930216743</v>
      </c>
      <c r="C821" s="182">
        <v>622790.07640849694</v>
      </c>
      <c r="D821" s="182">
        <v>12127207.853808247</v>
      </c>
      <c r="E821" s="182">
        <v>0</v>
      </c>
      <c r="F821" s="189">
        <f t="shared" si="98"/>
        <v>0</v>
      </c>
      <c r="G821" s="182">
        <v>12749997.930216743</v>
      </c>
      <c r="H821" s="182"/>
      <c r="I821" s="182">
        <v>12127207.853808247</v>
      </c>
      <c r="J821" s="182"/>
      <c r="K821" s="182">
        <v>11487160.038129531</v>
      </c>
      <c r="L821" s="182"/>
      <c r="M821" s="182">
        <v>11487160.038129531</v>
      </c>
      <c r="N821" s="182">
        <v>0</v>
      </c>
      <c r="O821" s="182">
        <v>12109950.114538027</v>
      </c>
      <c r="P821" s="182">
        <v>622790.07640849694</v>
      </c>
      <c r="Q821" s="182">
        <v>9.1864559709304849E-3</v>
      </c>
      <c r="R821" s="182">
        <v>0</v>
      </c>
      <c r="S821" s="182">
        <f t="shared" si="97"/>
        <v>166189521.85099041</v>
      </c>
      <c r="T821" s="192">
        <f t="shared" si="99"/>
        <v>9.2242471927932446E-3</v>
      </c>
      <c r="Y821" s="192" t="e">
        <f t="shared" si="100"/>
        <v>#DIV/0!</v>
      </c>
    </row>
    <row r="822" spans="1:25" ht="14.4">
      <c r="A822" s="187">
        <v>58893.539999999848</v>
      </c>
      <c r="B822" s="182">
        <v>14004960.281784797</v>
      </c>
      <c r="C822" s="182">
        <v>735061.1164115218</v>
      </c>
      <c r="D822" s="182">
        <v>13269899.165373275</v>
      </c>
      <c r="E822" s="182">
        <v>0</v>
      </c>
      <c r="F822" s="189">
        <f t="shared" si="98"/>
        <v>0</v>
      </c>
      <c r="G822" s="182">
        <v>14004960.281784797</v>
      </c>
      <c r="H822" s="182"/>
      <c r="I822" s="182">
        <v>13269899.165373275</v>
      </c>
      <c r="J822" s="182"/>
      <c r="K822" s="182">
        <v>12579518.155941647</v>
      </c>
      <c r="L822" s="182"/>
      <c r="M822" s="182">
        <v>12579518.155941647</v>
      </c>
      <c r="N822" s="182">
        <v>0</v>
      </c>
      <c r="O822" s="182">
        <v>13314579.272353169</v>
      </c>
      <c r="P822" s="182">
        <v>735061.1164115218</v>
      </c>
      <c r="Q822" s="182">
        <v>9.1772247713457489E-3</v>
      </c>
      <c r="R822" s="182">
        <v>0</v>
      </c>
      <c r="S822" s="182">
        <f t="shared" si="97"/>
        <v>166303917.08583972</v>
      </c>
      <c r="T822" s="192">
        <f t="shared" si="99"/>
        <v>9.2182974812877738E-3</v>
      </c>
      <c r="Y822" s="192" t="e">
        <f t="shared" si="100"/>
        <v>#DIV/0!</v>
      </c>
    </row>
    <row r="823" spans="1:25" ht="14.4">
      <c r="A823" s="187">
        <v>58923.959999999846</v>
      </c>
      <c r="B823" s="182">
        <v>14419984.012022715</v>
      </c>
      <c r="C823" s="182">
        <v>799347.36978202313</v>
      </c>
      <c r="D823" s="182">
        <v>13620636.642240692</v>
      </c>
      <c r="E823" s="182">
        <v>0</v>
      </c>
      <c r="F823" s="189">
        <f t="shared" si="98"/>
        <v>0</v>
      </c>
      <c r="G823" s="182">
        <v>14419984.012022715</v>
      </c>
      <c r="H823" s="182"/>
      <c r="I823" s="182">
        <v>13620636.642240692</v>
      </c>
      <c r="J823" s="182"/>
      <c r="K823" s="182">
        <v>12962255.840820039</v>
      </c>
      <c r="L823" s="182"/>
      <c r="M823" s="182">
        <v>12962255.840820039</v>
      </c>
      <c r="N823" s="182">
        <v>0</v>
      </c>
      <c r="O823" s="182">
        <v>13761603.210602062</v>
      </c>
      <c r="P823" s="182">
        <v>799347.36978202313</v>
      </c>
      <c r="Q823" s="182">
        <v>9.1722447328146384E-3</v>
      </c>
      <c r="R823" s="182">
        <v>0</v>
      </c>
      <c r="S823" s="182">
        <f t="shared" si="97"/>
        <v>166421729.46472934</v>
      </c>
      <c r="T823" s="192">
        <f t="shared" si="99"/>
        <v>9.2121780092746519E-3</v>
      </c>
      <c r="Y823" s="192" t="e">
        <f t="shared" si="100"/>
        <v>#DIV/0!</v>
      </c>
    </row>
    <row r="824" spans="1:25" ht="14.4">
      <c r="A824" s="187">
        <v>58954.379999999845</v>
      </c>
      <c r="B824" s="182">
        <v>16376171.100054087</v>
      </c>
      <c r="C824" s="182">
        <v>823200.30967444379</v>
      </c>
      <c r="D824" s="182">
        <v>15552970.790379643</v>
      </c>
      <c r="E824" s="182">
        <v>0</v>
      </c>
      <c r="F824" s="189">
        <f t="shared" si="98"/>
        <v>0</v>
      </c>
      <c r="G824" s="182">
        <v>16376171.100054087</v>
      </c>
      <c r="H824" s="182"/>
      <c r="I824" s="182">
        <v>15552970.790379643</v>
      </c>
      <c r="J824" s="182"/>
      <c r="K824" s="182">
        <v>14839218.625911526</v>
      </c>
      <c r="L824" s="182"/>
      <c r="M824" s="182">
        <v>14839218.625911526</v>
      </c>
      <c r="N824" s="182">
        <v>0</v>
      </c>
      <c r="O824" s="182">
        <v>15662418.93558597</v>
      </c>
      <c r="P824" s="182">
        <v>823200.30967444379</v>
      </c>
      <c r="Q824" s="182">
        <v>9.1707342164646377E-3</v>
      </c>
      <c r="R824" s="182">
        <v>0</v>
      </c>
      <c r="S824" s="182">
        <f t="shared" si="97"/>
        <v>166556579.32252264</v>
      </c>
      <c r="T824" s="192">
        <f t="shared" si="99"/>
        <v>9.2051942513240448E-3</v>
      </c>
      <c r="Y824" s="192" t="e">
        <f t="shared" si="100"/>
        <v>#DIV/0!</v>
      </c>
    </row>
    <row r="825" spans="1:25" ht="14.4">
      <c r="A825" s="187">
        <v>58984.799999999843</v>
      </c>
      <c r="B825" s="182">
        <v>17122955.045290522</v>
      </c>
      <c r="C825" s="182">
        <v>857107.61074918974</v>
      </c>
      <c r="D825" s="182">
        <v>16265847.434541333</v>
      </c>
      <c r="E825" s="182">
        <v>0</v>
      </c>
      <c r="F825" s="189">
        <f t="shared" si="98"/>
        <v>0</v>
      </c>
      <c r="G825" s="182">
        <v>17122955.045290522</v>
      </c>
      <c r="H825" s="182"/>
      <c r="I825" s="182">
        <v>16265847.434541333</v>
      </c>
      <c r="J825" s="182"/>
      <c r="K825" s="182">
        <v>15509274.344950065</v>
      </c>
      <c r="L825" s="182"/>
      <c r="M825" s="182">
        <v>15509274.344950065</v>
      </c>
      <c r="N825" s="182">
        <v>0</v>
      </c>
      <c r="O825" s="182">
        <v>16366381.955699254</v>
      </c>
      <c r="P825" s="182">
        <v>857107.61074918974</v>
      </c>
      <c r="Q825" s="182">
        <v>9.1607130353614785E-3</v>
      </c>
      <c r="R825" s="182">
        <v>0</v>
      </c>
      <c r="S825" s="182">
        <f t="shared" si="97"/>
        <v>166697365.63121021</v>
      </c>
      <c r="T825" s="192">
        <f t="shared" si="99"/>
        <v>9.1979097744110394E-3</v>
      </c>
      <c r="Y825" s="192" t="e">
        <f t="shared" si="100"/>
        <v>#DIV/0!</v>
      </c>
    </row>
    <row r="826" spans="1:25" ht="14.4">
      <c r="A826" s="187">
        <v>59015.219999999841</v>
      </c>
      <c r="B826" s="182">
        <v>18199193.556830503</v>
      </c>
      <c r="C826" s="182">
        <v>827197.30635703029</v>
      </c>
      <c r="D826" s="182">
        <v>17371996.250473473</v>
      </c>
      <c r="E826" s="182">
        <v>0</v>
      </c>
      <c r="F826" s="189">
        <f t="shared" si="98"/>
        <v>0</v>
      </c>
      <c r="G826" s="182">
        <v>18199193.556830503</v>
      </c>
      <c r="H826" s="182"/>
      <c r="I826" s="182">
        <v>17371996.250473473</v>
      </c>
      <c r="J826" s="182"/>
      <c r="K826" s="182">
        <v>16525061.530496195</v>
      </c>
      <c r="L826" s="182"/>
      <c r="M826" s="182">
        <v>16525061.530496195</v>
      </c>
      <c r="N826" s="182">
        <v>0</v>
      </c>
      <c r="O826" s="182">
        <v>17352258.836853225</v>
      </c>
      <c r="P826" s="182">
        <v>827197.30635703029</v>
      </c>
      <c r="Q826" s="182">
        <v>9.1560467621323305E-3</v>
      </c>
      <c r="R826" s="182">
        <v>0</v>
      </c>
      <c r="S826" s="182">
        <f t="shared" si="97"/>
        <v>166847297.08790195</v>
      </c>
      <c r="T826" s="192">
        <f t="shared" si="99"/>
        <v>9.1901668195892849E-3</v>
      </c>
      <c r="Y826" s="192" t="e">
        <f t="shared" si="100"/>
        <v>#DIV/0!</v>
      </c>
    </row>
    <row r="827" spans="1:25" ht="14.4">
      <c r="A827" s="187">
        <v>59045.639999999839</v>
      </c>
      <c r="B827" s="182">
        <v>18527952.950707842</v>
      </c>
      <c r="C827" s="182">
        <v>875282.23370581644</v>
      </c>
      <c r="D827" s="182">
        <v>17652670.717002027</v>
      </c>
      <c r="E827" s="182">
        <v>0</v>
      </c>
      <c r="F827" s="189">
        <f t="shared" si="98"/>
        <v>0</v>
      </c>
      <c r="G827" s="182">
        <v>18527952.950707842</v>
      </c>
      <c r="H827" s="182"/>
      <c r="I827" s="182">
        <v>17652670.717002027</v>
      </c>
      <c r="J827" s="182"/>
      <c r="K827" s="182">
        <v>16743198.391543837</v>
      </c>
      <c r="L827" s="182"/>
      <c r="M827" s="182">
        <v>16743198.391543837</v>
      </c>
      <c r="N827" s="182">
        <v>0</v>
      </c>
      <c r="O827" s="182">
        <v>17618480.625249654</v>
      </c>
      <c r="P827" s="182">
        <v>875282.23370581644</v>
      </c>
      <c r="Q827" s="182">
        <v>9.1504686314436423E-3</v>
      </c>
      <c r="R827" s="182">
        <v>0</v>
      </c>
      <c r="S827" s="182">
        <f t="shared" si="97"/>
        <v>166999115.98551357</v>
      </c>
      <c r="T827" s="192">
        <f t="shared" si="99"/>
        <v>9.1823381206144195E-3</v>
      </c>
      <c r="Y827" s="192" t="e">
        <f t="shared" si="100"/>
        <v>#DIV/0!</v>
      </c>
    </row>
    <row r="828" spans="1:25" ht="14.4">
      <c r="A828" s="187">
        <v>59076.059999999838</v>
      </c>
      <c r="B828" s="182">
        <v>17060162.959927134</v>
      </c>
      <c r="C828" s="182">
        <v>843930.52742308087</v>
      </c>
      <c r="D828" s="182">
        <v>16216232.432504054</v>
      </c>
      <c r="E828" s="182">
        <v>0</v>
      </c>
      <c r="F828" s="189">
        <f t="shared" si="98"/>
        <v>0</v>
      </c>
      <c r="G828" s="182">
        <v>17060162.959927134</v>
      </c>
      <c r="H828" s="182"/>
      <c r="I828" s="182">
        <v>16216232.432504054</v>
      </c>
      <c r="J828" s="182"/>
      <c r="K828" s="182">
        <v>15380507.429879656</v>
      </c>
      <c r="L828" s="182"/>
      <c r="M828" s="182">
        <v>15380507.429879656</v>
      </c>
      <c r="N828" s="182">
        <v>0</v>
      </c>
      <c r="O828" s="182">
        <v>16224437.957302736</v>
      </c>
      <c r="P828" s="182">
        <v>843930.52742308087</v>
      </c>
      <c r="Q828" s="182">
        <v>9.1432413948295821E-3</v>
      </c>
      <c r="R828" s="182">
        <v>0</v>
      </c>
      <c r="S828" s="182">
        <f t="shared" si="97"/>
        <v>167138469.5345816</v>
      </c>
      <c r="T828" s="192">
        <f t="shared" si="99"/>
        <v>9.1751687859793485E-3</v>
      </c>
      <c r="Y828" s="192" t="e">
        <f t="shared" si="100"/>
        <v>#DIV/0!</v>
      </c>
    </row>
    <row r="829" spans="1:25" ht="14.4">
      <c r="A829" s="187">
        <v>59106.479999999836</v>
      </c>
      <c r="B829" s="182">
        <v>15995447.950500825</v>
      </c>
      <c r="C829" s="182">
        <v>772957.67463900417</v>
      </c>
      <c r="D829" s="182">
        <v>15222490.275861822</v>
      </c>
      <c r="E829" s="182">
        <v>0</v>
      </c>
      <c r="F829" s="189">
        <f t="shared" si="98"/>
        <v>0</v>
      </c>
      <c r="G829" s="182">
        <v>15995447.950500825</v>
      </c>
      <c r="H829" s="182"/>
      <c r="I829" s="182">
        <v>15222490.275861822</v>
      </c>
      <c r="J829" s="182"/>
      <c r="K829" s="182">
        <v>14438466.200651946</v>
      </c>
      <c r="L829" s="182"/>
      <c r="M829" s="182">
        <v>14438466.200651946</v>
      </c>
      <c r="N829" s="182">
        <v>0</v>
      </c>
      <c r="O829" s="182">
        <v>15211423.875290949</v>
      </c>
      <c r="P829" s="182">
        <v>772957.67463900417</v>
      </c>
      <c r="Q829" s="182">
        <v>9.1350990728304993E-3</v>
      </c>
      <c r="R829" s="182">
        <v>0</v>
      </c>
      <c r="S829" s="182">
        <f t="shared" si="97"/>
        <v>167269172.37042969</v>
      </c>
      <c r="T829" s="192">
        <f t="shared" si="99"/>
        <v>9.1684576908028781E-3</v>
      </c>
      <c r="Y829" s="192" t="e">
        <f t="shared" si="100"/>
        <v>#DIV/0!</v>
      </c>
    </row>
    <row r="830" spans="1:25" ht="14.4">
      <c r="A830" s="187">
        <v>59136.899999999834</v>
      </c>
      <c r="B830" s="182">
        <v>13379739.649276247</v>
      </c>
      <c r="C830" s="182">
        <v>693503.95307188248</v>
      </c>
      <c r="D830" s="182">
        <v>12686235.696204364</v>
      </c>
      <c r="E830" s="182">
        <v>0</v>
      </c>
      <c r="F830" s="189">
        <f t="shared" si="98"/>
        <v>0</v>
      </c>
      <c r="G830" s="182">
        <v>13379739.649276247</v>
      </c>
      <c r="H830" s="182"/>
      <c r="I830" s="182">
        <v>12686235.696204364</v>
      </c>
      <c r="J830" s="182"/>
      <c r="K830" s="182">
        <v>12103504.265493859</v>
      </c>
      <c r="L830" s="182"/>
      <c r="M830" s="182">
        <v>12103504.265493859</v>
      </c>
      <c r="N830" s="182">
        <v>0</v>
      </c>
      <c r="O830" s="182">
        <v>12797008.218565742</v>
      </c>
      <c r="P830" s="182">
        <v>693503.95307188248</v>
      </c>
      <c r="Q830" s="182">
        <v>9.1241140486013617E-3</v>
      </c>
      <c r="R830" s="182">
        <v>0</v>
      </c>
      <c r="S830" s="182">
        <f t="shared" si="97"/>
        <v>167378607.62400126</v>
      </c>
      <c r="T830" s="192">
        <f t="shared" si="99"/>
        <v>9.1628469004894075E-3</v>
      </c>
      <c r="Y830" s="192" t="e">
        <f t="shared" si="100"/>
        <v>#DIV/0!</v>
      </c>
    </row>
    <row r="831" spans="1:25" ht="14.4">
      <c r="A831" s="187">
        <v>59167.319999999832</v>
      </c>
      <c r="B831" s="182">
        <v>13773128.603285188</v>
      </c>
      <c r="C831" s="182">
        <v>658648.01858406095</v>
      </c>
      <c r="D831" s="182">
        <v>13114480.584701126</v>
      </c>
      <c r="E831" s="182">
        <v>0</v>
      </c>
      <c r="F831" s="189">
        <f t="shared" si="98"/>
        <v>0</v>
      </c>
      <c r="G831" s="182">
        <v>13773128.603285188</v>
      </c>
      <c r="H831" s="182"/>
      <c r="I831" s="182">
        <v>13114480.584701126</v>
      </c>
      <c r="J831" s="182"/>
      <c r="K831" s="182">
        <v>12455733.184393806</v>
      </c>
      <c r="L831" s="182"/>
      <c r="M831" s="182">
        <v>12455733.184393806</v>
      </c>
      <c r="N831" s="182">
        <v>0</v>
      </c>
      <c r="O831" s="182">
        <v>13114381.202977868</v>
      </c>
      <c r="P831" s="182">
        <v>658648.01858406095</v>
      </c>
      <c r="Q831" s="182">
        <v>9.1181851501349609E-3</v>
      </c>
      <c r="R831" s="182">
        <v>0</v>
      </c>
      <c r="S831" s="182">
        <f t="shared" si="97"/>
        <v>167491155.07684404</v>
      </c>
      <c r="T831" s="192">
        <f t="shared" si="99"/>
        <v>9.1570846583282073E-3</v>
      </c>
      <c r="Y831" s="192" t="e">
        <f t="shared" si="100"/>
        <v>#DIV/0!</v>
      </c>
    </row>
    <row r="832" spans="1:25" ht="14.4">
      <c r="A832" s="187">
        <v>59197.739999999831</v>
      </c>
      <c r="B832" s="182">
        <v>13938434.180316718</v>
      </c>
      <c r="C832" s="182">
        <v>653558.57279962429</v>
      </c>
      <c r="D832" s="182">
        <v>13284875.607517093</v>
      </c>
      <c r="E832" s="182">
        <v>0</v>
      </c>
      <c r="F832" s="189">
        <f t="shared" si="98"/>
        <v>0</v>
      </c>
      <c r="G832" s="182">
        <v>13938434.180316718</v>
      </c>
      <c r="H832" s="182"/>
      <c r="I832" s="182">
        <v>13284875.607517093</v>
      </c>
      <c r="J832" s="182"/>
      <c r="K832" s="182">
        <v>12580946.602159128</v>
      </c>
      <c r="L832" s="182"/>
      <c r="M832" s="182">
        <v>12580946.602159128</v>
      </c>
      <c r="N832" s="182">
        <v>0</v>
      </c>
      <c r="O832" s="182">
        <v>13234505.174958752</v>
      </c>
      <c r="P832" s="182">
        <v>653558.57279962429</v>
      </c>
      <c r="Q832" s="182">
        <v>9.1190494349586704E-3</v>
      </c>
      <c r="R832" s="182">
        <v>0</v>
      </c>
      <c r="S832" s="182">
        <f t="shared" si="97"/>
        <v>167604844.61037123</v>
      </c>
      <c r="T832" s="192">
        <f t="shared" si="99"/>
        <v>9.1512711104382305E-3</v>
      </c>
      <c r="Y832" s="192" t="e">
        <f t="shared" si="100"/>
        <v>#DIV/0!</v>
      </c>
    </row>
    <row r="833" spans="1:25" ht="14.4">
      <c r="A833" s="187">
        <v>59228.159999999829</v>
      </c>
      <c r="B833" s="182">
        <v>12869736.131658383</v>
      </c>
      <c r="C833" s="182">
        <v>631883.41923416907</v>
      </c>
      <c r="D833" s="182">
        <v>12237852.712424213</v>
      </c>
      <c r="E833" s="182">
        <v>0</v>
      </c>
      <c r="F833" s="189">
        <f t="shared" si="98"/>
        <v>0</v>
      </c>
      <c r="G833" s="182">
        <v>12869736.131658383</v>
      </c>
      <c r="H833" s="182"/>
      <c r="I833" s="182">
        <v>12237852.712424213</v>
      </c>
      <c r="J833" s="182"/>
      <c r="K833" s="182">
        <v>11591794.058570819</v>
      </c>
      <c r="L833" s="182"/>
      <c r="M833" s="182">
        <v>11591794.058570819</v>
      </c>
      <c r="N833" s="182">
        <v>0</v>
      </c>
      <c r="O833" s="182">
        <v>12223677.477804989</v>
      </c>
      <c r="P833" s="182">
        <v>631883.41923416907</v>
      </c>
      <c r="Q833" s="182">
        <v>9.1087805945051503E-3</v>
      </c>
      <c r="R833" s="182">
        <v>0</v>
      </c>
      <c r="S833" s="182">
        <f t="shared" si="97"/>
        <v>167709478.6308125</v>
      </c>
      <c r="T833" s="192">
        <f t="shared" si="99"/>
        <v>9.1459242610067992E-3</v>
      </c>
      <c r="Y833" s="192" t="e">
        <f t="shared" si="100"/>
        <v>#DIV/0!</v>
      </c>
    </row>
    <row r="834" spans="1:25" ht="14.4">
      <c r="A834" s="187">
        <v>59258.579999999827</v>
      </c>
      <c r="B834" s="182">
        <v>14136663.707824748</v>
      </c>
      <c r="C834" s="182">
        <v>745803.05246015219</v>
      </c>
      <c r="D834" s="182">
        <v>13390860.655364595</v>
      </c>
      <c r="E834" s="182">
        <v>0</v>
      </c>
      <c r="F834" s="189">
        <f t="shared" si="98"/>
        <v>0</v>
      </c>
      <c r="G834" s="182">
        <v>14136663.707824748</v>
      </c>
      <c r="H834" s="182"/>
      <c r="I834" s="182">
        <v>13390860.655364595</v>
      </c>
      <c r="J834" s="182"/>
      <c r="K834" s="182">
        <v>12693987.26449199</v>
      </c>
      <c r="L834" s="182"/>
      <c r="M834" s="182">
        <v>12693987.26449199</v>
      </c>
      <c r="N834" s="182">
        <v>0</v>
      </c>
      <c r="O834" s="182">
        <v>13439790.316952143</v>
      </c>
      <c r="P834" s="182">
        <v>745803.05246015219</v>
      </c>
      <c r="Q834" s="182">
        <v>9.0996417455209144E-3</v>
      </c>
      <c r="R834" s="182">
        <v>0</v>
      </c>
      <c r="S834" s="182">
        <f t="shared" si="97"/>
        <v>167823947.7393629</v>
      </c>
      <c r="T834" s="192">
        <f t="shared" si="99"/>
        <v>9.1400772763434723E-3</v>
      </c>
      <c r="Y834" s="192" t="e">
        <f t="shared" si="100"/>
        <v>#DIV/0!</v>
      </c>
    </row>
    <row r="835" spans="1:25" ht="14.4">
      <c r="A835" s="187">
        <v>59288.999999999825</v>
      </c>
      <c r="B835" s="182">
        <v>14555763.775823606</v>
      </c>
      <c r="C835" s="182">
        <v>811039.41554915602</v>
      </c>
      <c r="D835" s="182">
        <v>13744724.360274451</v>
      </c>
      <c r="E835" s="182">
        <v>0</v>
      </c>
      <c r="F835" s="189">
        <f t="shared" si="98"/>
        <v>0</v>
      </c>
      <c r="G835" s="182">
        <v>14555763.775823606</v>
      </c>
      <c r="H835" s="182"/>
      <c r="I835" s="182">
        <v>13744724.360274451</v>
      </c>
      <c r="J835" s="182"/>
      <c r="K835" s="182">
        <v>13080144.190696841</v>
      </c>
      <c r="L835" s="182"/>
      <c r="M835" s="182">
        <v>13080144.190696841</v>
      </c>
      <c r="N835" s="182">
        <v>0</v>
      </c>
      <c r="O835" s="182">
        <v>13891183.606245996</v>
      </c>
      <c r="P835" s="182">
        <v>811039.41554915602</v>
      </c>
      <c r="Q835" s="182">
        <v>9.0947402461811766E-3</v>
      </c>
      <c r="R835" s="182">
        <v>0</v>
      </c>
      <c r="S835" s="182">
        <f t="shared" si="97"/>
        <v>167941836.08923966</v>
      </c>
      <c r="T835" s="192">
        <f t="shared" si="99"/>
        <v>9.1340633786196612E-3</v>
      </c>
      <c r="Y835" s="192" t="e">
        <f t="shared" si="100"/>
        <v>#DIV/0!</v>
      </c>
    </row>
    <row r="836" spans="1:25" ht="14.4">
      <c r="A836" s="187">
        <v>59319.419999999824</v>
      </c>
      <c r="B836" s="182">
        <v>16529816.743870759</v>
      </c>
      <c r="C836" s="182">
        <v>835210.87235253665</v>
      </c>
      <c r="D836" s="182">
        <v>15694605.871518223</v>
      </c>
      <c r="E836" s="182">
        <v>0</v>
      </c>
      <c r="F836" s="189">
        <f t="shared" si="98"/>
        <v>0</v>
      </c>
      <c r="G836" s="182">
        <v>16529816.743870759</v>
      </c>
      <c r="H836" s="182"/>
      <c r="I836" s="182">
        <v>15694605.871518223</v>
      </c>
      <c r="J836" s="182"/>
      <c r="K836" s="182">
        <v>14974157.092184201</v>
      </c>
      <c r="L836" s="182"/>
      <c r="M836" s="182">
        <v>14974157.092184201</v>
      </c>
      <c r="N836" s="182">
        <v>0</v>
      </c>
      <c r="O836" s="182">
        <v>15809367.964536738</v>
      </c>
      <c r="P836" s="182">
        <v>835210.87235253665</v>
      </c>
      <c r="Q836" s="182">
        <v>9.0933673581068408E-3</v>
      </c>
      <c r="R836" s="182">
        <v>0</v>
      </c>
      <c r="S836" s="182">
        <f t="shared" ref="S836:S855" si="101">SUM(M825:M836)</f>
        <v>168076774.55551231</v>
      </c>
      <c r="T836" s="192">
        <f t="shared" si="99"/>
        <v>9.1272001332709518E-3</v>
      </c>
      <c r="Y836" s="192" t="e">
        <f t="shared" si="100"/>
        <v>#DIV/0!</v>
      </c>
    </row>
    <row r="837" spans="1:25" ht="14.4">
      <c r="A837" s="187">
        <v>59349.839999999822</v>
      </c>
      <c r="B837" s="182">
        <v>17283412.08633111</v>
      </c>
      <c r="C837" s="182">
        <v>869596.98311693303</v>
      </c>
      <c r="D837" s="182">
        <v>16413815.103214178</v>
      </c>
      <c r="E837" s="182">
        <v>0</v>
      </c>
      <c r="F837" s="189">
        <f t="shared" si="98"/>
        <v>0</v>
      </c>
      <c r="G837" s="182">
        <v>17283412.08633111</v>
      </c>
      <c r="H837" s="182"/>
      <c r="I837" s="182">
        <v>16413815.103214178</v>
      </c>
      <c r="J837" s="182"/>
      <c r="K837" s="182">
        <v>15650152.263111643</v>
      </c>
      <c r="L837" s="182"/>
      <c r="M837" s="182">
        <v>15650152.263111643</v>
      </c>
      <c r="N837" s="182">
        <v>0</v>
      </c>
      <c r="O837" s="182">
        <v>16519749.246228576</v>
      </c>
      <c r="P837" s="182">
        <v>869596.98311693303</v>
      </c>
      <c r="Q837" s="182">
        <v>9.0834629027920499E-3</v>
      </c>
      <c r="R837" s="182">
        <v>0</v>
      </c>
      <c r="S837" s="182">
        <f t="shared" si="101"/>
        <v>168217652.47367394</v>
      </c>
      <c r="T837" s="192">
        <f t="shared" si="99"/>
        <v>9.1200411998537678E-3</v>
      </c>
      <c r="Y837" s="192" t="e">
        <f t="shared" si="100"/>
        <v>#DIV/0!</v>
      </c>
    </row>
    <row r="838" spans="1:25" ht="14.4">
      <c r="A838" s="187">
        <v>59380.25999999982</v>
      </c>
      <c r="B838" s="182">
        <v>18369137.801849138</v>
      </c>
      <c r="C838" s="182">
        <v>839203.67340366391</v>
      </c>
      <c r="D838" s="182">
        <v>17529934.128445473</v>
      </c>
      <c r="E838" s="182">
        <v>0</v>
      </c>
      <c r="F838" s="189">
        <f t="shared" si="98"/>
        <v>0</v>
      </c>
      <c r="G838" s="182">
        <v>18369137.801849138</v>
      </c>
      <c r="H838" s="182"/>
      <c r="I838" s="182">
        <v>17529934.128445473</v>
      </c>
      <c r="J838" s="182"/>
      <c r="K838" s="182">
        <v>16675090.723881861</v>
      </c>
      <c r="L838" s="182"/>
      <c r="M838" s="182">
        <v>16675090.723881861</v>
      </c>
      <c r="N838" s="182">
        <v>0</v>
      </c>
      <c r="O838" s="182">
        <v>17514294.397285525</v>
      </c>
      <c r="P838" s="182">
        <v>839203.67340366391</v>
      </c>
      <c r="Q838" s="182">
        <v>9.0788886388588619E-3</v>
      </c>
      <c r="R838" s="182">
        <v>0</v>
      </c>
      <c r="S838" s="182">
        <f t="shared" si="101"/>
        <v>168367681.6670596</v>
      </c>
      <c r="T838" s="192">
        <f t="shared" si="99"/>
        <v>9.1124315808164269E-3</v>
      </c>
      <c r="Y838" s="192" t="e">
        <f t="shared" si="100"/>
        <v>#DIV/0!</v>
      </c>
    </row>
    <row r="839" spans="1:25" ht="14.4">
      <c r="A839" s="187">
        <v>59410.679999999818</v>
      </c>
      <c r="B839" s="182">
        <v>18701100.679128174</v>
      </c>
      <c r="C839" s="182">
        <v>888013.30792919674</v>
      </c>
      <c r="D839" s="182">
        <v>17813087.371198978</v>
      </c>
      <c r="E839" s="182">
        <v>0</v>
      </c>
      <c r="F839" s="189">
        <f t="shared" si="98"/>
        <v>0</v>
      </c>
      <c r="G839" s="182">
        <v>18701100.679128174</v>
      </c>
      <c r="H839" s="182"/>
      <c r="I839" s="182">
        <v>17813087.371198978</v>
      </c>
      <c r="J839" s="182"/>
      <c r="K839" s="182">
        <v>16895115.830115989</v>
      </c>
      <c r="L839" s="182"/>
      <c r="M839" s="182">
        <v>16895115.830115989</v>
      </c>
      <c r="N839" s="182">
        <v>0</v>
      </c>
      <c r="O839" s="182">
        <v>17783129.138045184</v>
      </c>
      <c r="P839" s="182">
        <v>888013.30792919674</v>
      </c>
      <c r="Q839" s="182">
        <v>9.0733822188284741E-3</v>
      </c>
      <c r="R839" s="182">
        <v>0</v>
      </c>
      <c r="S839" s="182">
        <f t="shared" si="101"/>
        <v>168519599.10563177</v>
      </c>
      <c r="T839" s="192">
        <f t="shared" si="99"/>
        <v>9.1047375379524897E-3</v>
      </c>
      <c r="Y839" s="192" t="e">
        <f t="shared" si="100"/>
        <v>#DIV/0!</v>
      </c>
    </row>
    <row r="840" spans="1:25" ht="14.4">
      <c r="A840" s="187">
        <v>59441.099999999817</v>
      </c>
      <c r="B840" s="182">
        <v>17219745.261893656</v>
      </c>
      <c r="C840" s="182">
        <v>856250.72505897377</v>
      </c>
      <c r="D840" s="182">
        <v>16363494.536834683</v>
      </c>
      <c r="E840" s="182">
        <v>0</v>
      </c>
      <c r="F840" s="189">
        <f t="shared" si="98"/>
        <v>0</v>
      </c>
      <c r="G840" s="182">
        <v>17219745.261893656</v>
      </c>
      <c r="H840" s="182"/>
      <c r="I840" s="182">
        <v>16363494.536834683</v>
      </c>
      <c r="J840" s="182"/>
      <c r="K840" s="182">
        <v>15519952.087211505</v>
      </c>
      <c r="L840" s="182"/>
      <c r="M840" s="182">
        <v>15519952.087211505</v>
      </c>
      <c r="N840" s="182">
        <v>0</v>
      </c>
      <c r="O840" s="182">
        <v>16376202.812270477</v>
      </c>
      <c r="P840" s="182">
        <v>856250.72505897377</v>
      </c>
      <c r="Q840" s="182">
        <v>9.0663235896202288E-3</v>
      </c>
      <c r="R840" s="182">
        <v>0</v>
      </c>
      <c r="S840" s="182">
        <f t="shared" si="101"/>
        <v>168659043.76296359</v>
      </c>
      <c r="T840" s="192">
        <f t="shared" si="99"/>
        <v>9.0976914687337374E-3</v>
      </c>
      <c r="Y840" s="192" t="e">
        <f t="shared" si="100"/>
        <v>#DIV/0!</v>
      </c>
    </row>
    <row r="841" spans="1:25" ht="14.4">
      <c r="A841" s="187">
        <v>59471.519999999815</v>
      </c>
      <c r="B841" s="182">
        <v>16144840.286777677</v>
      </c>
      <c r="C841" s="182">
        <v>784238.81701517466</v>
      </c>
      <c r="D841" s="182">
        <v>15360601.469762502</v>
      </c>
      <c r="E841" s="182">
        <v>0</v>
      </c>
      <c r="F841" s="189">
        <f t="shared" si="98"/>
        <v>0</v>
      </c>
      <c r="G841" s="182">
        <v>16144840.286777677</v>
      </c>
      <c r="H841" s="182"/>
      <c r="I841" s="182">
        <v>15360601.469762502</v>
      </c>
      <c r="J841" s="182"/>
      <c r="K841" s="182">
        <v>14569254.862001155</v>
      </c>
      <c r="L841" s="182"/>
      <c r="M841" s="182">
        <v>14569254.862001155</v>
      </c>
      <c r="N841" s="182">
        <v>0</v>
      </c>
      <c r="O841" s="182">
        <v>15353493.679016329</v>
      </c>
      <c r="P841" s="182">
        <v>784238.81701517466</v>
      </c>
      <c r="Q841" s="182">
        <v>9.0583486868780483E-3</v>
      </c>
      <c r="R841" s="182">
        <v>0</v>
      </c>
      <c r="S841" s="182">
        <f t="shared" si="101"/>
        <v>168789832.4243128</v>
      </c>
      <c r="T841" s="192">
        <f t="shared" si="99"/>
        <v>9.0910957012180216E-3</v>
      </c>
      <c r="Y841" s="192" t="e">
        <f t="shared" si="100"/>
        <v>#DIV/0!</v>
      </c>
    </row>
    <row r="842" spans="1:25" ht="14.4">
      <c r="A842" s="187">
        <v>59501.939999999813</v>
      </c>
      <c r="B842" s="182">
        <v>13504840.117044056</v>
      </c>
      <c r="C842" s="182">
        <v>703648.73958791303</v>
      </c>
      <c r="D842" s="182">
        <v>12801191.377456143</v>
      </c>
      <c r="E842" s="182">
        <v>0</v>
      </c>
      <c r="F842" s="189">
        <f t="shared" si="98"/>
        <v>0</v>
      </c>
      <c r="G842" s="182">
        <v>13504840.117044056</v>
      </c>
      <c r="H842" s="182"/>
      <c r="I842" s="182">
        <v>12801191.377456143</v>
      </c>
      <c r="J842" s="182"/>
      <c r="K842" s="182">
        <v>12213011.412134666</v>
      </c>
      <c r="L842" s="182"/>
      <c r="M842" s="182">
        <v>12213011.412134666</v>
      </c>
      <c r="N842" s="182">
        <v>0</v>
      </c>
      <c r="O842" s="182">
        <v>12916660.151722578</v>
      </c>
      <c r="P842" s="182">
        <v>703648.73958791303</v>
      </c>
      <c r="Q842" s="182">
        <v>9.0475571568973123E-3</v>
      </c>
      <c r="R842" s="182">
        <v>0</v>
      </c>
      <c r="S842" s="182">
        <f t="shared" si="101"/>
        <v>168899339.57095361</v>
      </c>
      <c r="T842" s="192">
        <f t="shared" si="99"/>
        <v>9.0855812970347394E-3</v>
      </c>
      <c r="Y842" s="192" t="e">
        <f t="shared" si="100"/>
        <v>#DIV/0!</v>
      </c>
    </row>
    <row r="843" spans="1:25" ht="14.4">
      <c r="A843" s="187">
        <v>59532.359999999811</v>
      </c>
      <c r="B843" s="182">
        <v>13901503.78758871</v>
      </c>
      <c r="C843" s="182">
        <v>668261.76113719703</v>
      </c>
      <c r="D843" s="182">
        <v>13233242.026451513</v>
      </c>
      <c r="E843" s="182">
        <v>0</v>
      </c>
      <c r="F843" s="189">
        <f t="shared" si="98"/>
        <v>0</v>
      </c>
      <c r="G843" s="182">
        <v>13901503.78758871</v>
      </c>
      <c r="H843" s="182"/>
      <c r="I843" s="182">
        <v>13233242.026451513</v>
      </c>
      <c r="J843" s="182"/>
      <c r="K843" s="182">
        <v>12568354.639990013</v>
      </c>
      <c r="L843" s="182"/>
      <c r="M843" s="182">
        <v>12568354.639990013</v>
      </c>
      <c r="N843" s="182">
        <v>0</v>
      </c>
      <c r="O843" s="182">
        <v>13236616.40112721</v>
      </c>
      <c r="P843" s="182">
        <v>668261.76113719703</v>
      </c>
      <c r="Q843" s="182">
        <v>9.0417363577852683E-3</v>
      </c>
      <c r="R843" s="182">
        <v>0</v>
      </c>
      <c r="S843" s="182">
        <f t="shared" si="101"/>
        <v>169011961.02654982</v>
      </c>
      <c r="T843" s="192">
        <f t="shared" si="99"/>
        <v>9.0799179754181836E-3</v>
      </c>
      <c r="Y843" s="192" t="e">
        <f t="shared" si="100"/>
        <v>#DIV/0!</v>
      </c>
    </row>
    <row r="844" spans="1:25" ht="14.4">
      <c r="A844" s="187">
        <v>59562.77999999981</v>
      </c>
      <c r="B844" s="182">
        <v>14068293.166368488</v>
      </c>
      <c r="C844" s="182">
        <v>663095.16446984676</v>
      </c>
      <c r="D844" s="182">
        <v>13405198.001898641</v>
      </c>
      <c r="E844" s="182">
        <v>0</v>
      </c>
      <c r="F844" s="189">
        <f t="shared" si="98"/>
        <v>0</v>
      </c>
      <c r="G844" s="182">
        <v>14068293.166368488</v>
      </c>
      <c r="H844" s="182"/>
      <c r="I844" s="182">
        <v>13405198.001898641</v>
      </c>
      <c r="J844" s="182"/>
      <c r="K844" s="182">
        <v>12694710.762975438</v>
      </c>
      <c r="L844" s="182"/>
      <c r="M844" s="182">
        <v>12694710.762975438</v>
      </c>
      <c r="N844" s="182">
        <v>0</v>
      </c>
      <c r="O844" s="182">
        <v>13357805.927445285</v>
      </c>
      <c r="P844" s="182">
        <v>663095.16446984676</v>
      </c>
      <c r="Q844" s="182">
        <v>9.0425756037137983E-3</v>
      </c>
      <c r="R844" s="182">
        <v>0</v>
      </c>
      <c r="S844" s="182">
        <f t="shared" si="101"/>
        <v>169125725.1873661</v>
      </c>
      <c r="T844" s="192">
        <f t="shared" si="99"/>
        <v>9.0742041528122375E-3</v>
      </c>
      <c r="Y844" s="192" t="e">
        <f t="shared" si="100"/>
        <v>#DIV/0!</v>
      </c>
    </row>
    <row r="845" spans="1:25" ht="14.4">
      <c r="A845" s="187">
        <v>59593.199999999808</v>
      </c>
      <c r="B845" s="182">
        <v>12989686.443900192</v>
      </c>
      <c r="C845" s="182">
        <v>641110.1069260881</v>
      </c>
      <c r="D845" s="182">
        <v>12348576.336974105</v>
      </c>
      <c r="E845" s="182">
        <v>0</v>
      </c>
      <c r="F845" s="189">
        <f t="shared" si="98"/>
        <v>0</v>
      </c>
      <c r="G845" s="182">
        <v>12989686.443900192</v>
      </c>
      <c r="H845" s="182"/>
      <c r="I845" s="182">
        <v>12348576.336974105</v>
      </c>
      <c r="J845" s="182"/>
      <c r="K845" s="182">
        <v>11696496.197018472</v>
      </c>
      <c r="L845" s="182"/>
      <c r="M845" s="182">
        <v>11696496.197018472</v>
      </c>
      <c r="N845" s="182">
        <v>0</v>
      </c>
      <c r="O845" s="182">
        <v>12337606.30394456</v>
      </c>
      <c r="P845" s="182">
        <v>641110.1069260881</v>
      </c>
      <c r="Q845" s="182">
        <v>9.032436042136105E-3</v>
      </c>
      <c r="R845" s="182">
        <v>0</v>
      </c>
      <c r="S845" s="182">
        <f t="shared" si="101"/>
        <v>169230427.32581374</v>
      </c>
      <c r="T845" s="192">
        <f t="shared" si="99"/>
        <v>9.0689489193951367E-3</v>
      </c>
      <c r="Y845" s="192" t="e">
        <f t="shared" si="100"/>
        <v>#DIV/0!</v>
      </c>
    </row>
    <row r="846" spans="1:25" ht="14.4">
      <c r="A846" s="187">
        <v>59623.619999999806</v>
      </c>
      <c r="B846" s="182">
        <v>14268610.403297031</v>
      </c>
      <c r="C846" s="182">
        <v>756702.62615957693</v>
      </c>
      <c r="D846" s="182">
        <v>13511907.777137455</v>
      </c>
      <c r="E846" s="182">
        <v>0</v>
      </c>
      <c r="F846" s="189">
        <f t="shared" si="98"/>
        <v>0</v>
      </c>
      <c r="G846" s="182">
        <v>14268610.403297031</v>
      </c>
      <c r="H846" s="182"/>
      <c r="I846" s="182">
        <v>13511907.777137455</v>
      </c>
      <c r="J846" s="182"/>
      <c r="K846" s="182">
        <v>12808530.012744432</v>
      </c>
      <c r="L846" s="182"/>
      <c r="M846" s="182">
        <v>12808530.012744432</v>
      </c>
      <c r="N846" s="182">
        <v>0</v>
      </c>
      <c r="O846" s="182">
        <v>13565232.638904009</v>
      </c>
      <c r="P846" s="182">
        <v>756702.62615957693</v>
      </c>
      <c r="Q846" s="182">
        <v>9.0233861012958272E-3</v>
      </c>
      <c r="R846" s="182">
        <v>0</v>
      </c>
      <c r="S846" s="182">
        <f t="shared" si="101"/>
        <v>169344970.07406622</v>
      </c>
      <c r="T846" s="192">
        <f t="shared" si="99"/>
        <v>9.0632019755936266E-3</v>
      </c>
      <c r="Y846" s="192" t="e">
        <f t="shared" si="100"/>
        <v>#DIV/0!</v>
      </c>
    </row>
    <row r="847" spans="1:25" ht="14.4">
      <c r="A847" s="187">
        <v>59654.039999999804</v>
      </c>
      <c r="B847" s="182">
        <v>14691802.82059318</v>
      </c>
      <c r="C847" s="182">
        <v>822903.17622720182</v>
      </c>
      <c r="D847" s="182">
        <v>13868899.644365977</v>
      </c>
      <c r="E847" s="182">
        <v>0</v>
      </c>
      <c r="F847" s="189">
        <f t="shared" si="98"/>
        <v>0</v>
      </c>
      <c r="G847" s="182">
        <v>14691802.82059318</v>
      </c>
      <c r="H847" s="182"/>
      <c r="I847" s="182">
        <v>13868899.644365977</v>
      </c>
      <c r="J847" s="182"/>
      <c r="K847" s="182">
        <v>13198108.268503727</v>
      </c>
      <c r="L847" s="182"/>
      <c r="M847" s="182">
        <v>13198108.268503727</v>
      </c>
      <c r="N847" s="182">
        <v>0</v>
      </c>
      <c r="O847" s="182">
        <v>14021011.44473093</v>
      </c>
      <c r="P847" s="182">
        <v>822903.17622720182</v>
      </c>
      <c r="Q847" s="182">
        <v>9.0185609643957942E-3</v>
      </c>
      <c r="R847" s="182">
        <v>0</v>
      </c>
      <c r="S847" s="182">
        <f t="shared" si="101"/>
        <v>169462934.15187308</v>
      </c>
      <c r="T847" s="192">
        <f t="shared" si="99"/>
        <v>9.057290893408787E-3</v>
      </c>
      <c r="Y847" s="192" t="e">
        <f t="shared" si="100"/>
        <v>#DIV/0!</v>
      </c>
    </row>
    <row r="848" spans="1:25" ht="14.4">
      <c r="A848" s="187">
        <v>59684.459999999803</v>
      </c>
      <c r="B848" s="182">
        <v>16683738.796207195</v>
      </c>
      <c r="C848" s="182">
        <v>847397.44480331102</v>
      </c>
      <c r="D848" s="182">
        <v>15836341.351403885</v>
      </c>
      <c r="E848" s="182">
        <v>0</v>
      </c>
      <c r="F848" s="189">
        <f t="shared" ref="F848:F855" si="102">SUM(E837:E847)</f>
        <v>0</v>
      </c>
      <c r="G848" s="182">
        <v>16683738.796207195</v>
      </c>
      <c r="H848" s="182"/>
      <c r="I848" s="182">
        <v>15836341.351403885</v>
      </c>
      <c r="J848" s="182"/>
      <c r="K848" s="182">
        <v>15109183.909993527</v>
      </c>
      <c r="L848" s="182"/>
      <c r="M848" s="182">
        <v>15109183.909993527</v>
      </c>
      <c r="N848" s="182">
        <v>0</v>
      </c>
      <c r="O848" s="182">
        <v>15956581.354796838</v>
      </c>
      <c r="P848" s="182">
        <v>847397.44480331102</v>
      </c>
      <c r="Q848" s="182">
        <v>9.0173234445232175E-3</v>
      </c>
      <c r="R848" s="182">
        <v>0</v>
      </c>
      <c r="S848" s="182">
        <f t="shared" si="101"/>
        <v>169597960.96968243</v>
      </c>
      <c r="T848" s="192">
        <f t="shared" si="99"/>
        <v>9.0505450154727551E-3</v>
      </c>
      <c r="Y848" s="192" t="e">
        <f t="shared" si="100"/>
        <v>#DIV/0!</v>
      </c>
    </row>
    <row r="849" spans="1:25" ht="14.4">
      <c r="A849" s="187">
        <v>59714.879999999801</v>
      </c>
      <c r="B849" s="182">
        <v>17444155.957155708</v>
      </c>
      <c r="C849" s="182">
        <v>882269.18102986296</v>
      </c>
      <c r="D849" s="182">
        <v>16561886.776125845</v>
      </c>
      <c r="E849" s="182">
        <v>0</v>
      </c>
      <c r="F849" s="189">
        <f t="shared" si="102"/>
        <v>0</v>
      </c>
      <c r="G849" s="182">
        <v>17444155.957155708</v>
      </c>
      <c r="H849" s="182"/>
      <c r="I849" s="182">
        <v>16561886.776125845</v>
      </c>
      <c r="J849" s="182"/>
      <c r="K849" s="182">
        <v>15791121.512016416</v>
      </c>
      <c r="L849" s="182"/>
      <c r="M849" s="182">
        <v>15791121.512016416</v>
      </c>
      <c r="N849" s="182">
        <v>0</v>
      </c>
      <c r="O849" s="182">
        <v>16673390.693046279</v>
      </c>
      <c r="P849" s="182">
        <v>882269.18102986296</v>
      </c>
      <c r="Q849" s="182">
        <v>9.0075321015914422E-3</v>
      </c>
      <c r="R849" s="182">
        <v>0</v>
      </c>
      <c r="S849" s="182">
        <f t="shared" si="101"/>
        <v>169738930.21858722</v>
      </c>
      <c r="T849" s="192">
        <f t="shared" si="99"/>
        <v>9.0435083508930703E-3</v>
      </c>
      <c r="Y849" s="192" t="e">
        <f t="shared" si="100"/>
        <v>#DIV/0!</v>
      </c>
    </row>
    <row r="850" spans="1:25" ht="14.4">
      <c r="A850" s="187">
        <v>59745.299999999799</v>
      </c>
      <c r="B850" s="182">
        <v>18539367.950824041</v>
      </c>
      <c r="C850" s="182">
        <v>851385.19859160495</v>
      </c>
      <c r="D850" s="182">
        <v>17687982.752232436</v>
      </c>
      <c r="E850" s="182">
        <v>0</v>
      </c>
      <c r="F850" s="189">
        <f t="shared" si="102"/>
        <v>0</v>
      </c>
      <c r="G850" s="182">
        <v>18539367.950824041</v>
      </c>
      <c r="H850" s="182"/>
      <c r="I850" s="182">
        <v>17687982.752232436</v>
      </c>
      <c r="J850" s="182"/>
      <c r="K850" s="182">
        <v>16825217.357988153</v>
      </c>
      <c r="L850" s="182"/>
      <c r="M850" s="182">
        <v>16825217.357988153</v>
      </c>
      <c r="N850" s="182">
        <v>0</v>
      </c>
      <c r="O850" s="182">
        <v>17676602.556579757</v>
      </c>
      <c r="P850" s="182">
        <v>851385.19859160495</v>
      </c>
      <c r="Q850" s="182">
        <v>9.0030475151348099E-3</v>
      </c>
      <c r="R850" s="182">
        <v>0</v>
      </c>
      <c r="S850" s="182">
        <f t="shared" si="101"/>
        <v>169889056.85269347</v>
      </c>
      <c r="T850" s="192">
        <f t="shared" si="99"/>
        <v>9.0360285927220119E-3</v>
      </c>
      <c r="Y850" s="192" t="e">
        <f t="shared" si="100"/>
        <v>#DIV/0!</v>
      </c>
    </row>
    <row r="851" spans="1:25" ht="14.4">
      <c r="A851" s="187">
        <v>59775.719999999797</v>
      </c>
      <c r="B851" s="182">
        <v>18874547.388950936</v>
      </c>
      <c r="C851" s="182">
        <v>900930.45311170234</v>
      </c>
      <c r="D851" s="182">
        <v>17973616.935839236</v>
      </c>
      <c r="E851" s="182">
        <v>0</v>
      </c>
      <c r="F851" s="189">
        <f t="shared" si="102"/>
        <v>0</v>
      </c>
      <c r="G851" s="182">
        <v>18874547.388950936</v>
      </c>
      <c r="H851" s="182"/>
      <c r="I851" s="182">
        <v>17973616.935839236</v>
      </c>
      <c r="J851" s="182"/>
      <c r="K851" s="182">
        <v>17047131.503181431</v>
      </c>
      <c r="L851" s="182"/>
      <c r="M851" s="182">
        <v>17047131.503181431</v>
      </c>
      <c r="N851" s="182">
        <v>0</v>
      </c>
      <c r="O851" s="182">
        <v>17948061.956293132</v>
      </c>
      <c r="P851" s="182">
        <v>900930.45311170234</v>
      </c>
      <c r="Q851" s="182">
        <v>8.9976105872249246E-3</v>
      </c>
      <c r="R851" s="182">
        <v>0</v>
      </c>
      <c r="S851" s="182">
        <f t="shared" si="101"/>
        <v>170041072.52575892</v>
      </c>
      <c r="T851" s="192">
        <f t="shared" si="99"/>
        <v>9.0284656989567669E-3</v>
      </c>
      <c r="Y851" s="192" t="e">
        <f t="shared" si="100"/>
        <v>#DIV/0!</v>
      </c>
    </row>
    <row r="852" spans="1:25" ht="14.4">
      <c r="A852" s="187">
        <v>59806.139999999796</v>
      </c>
      <c r="B852" s="182">
        <v>17379613.022609811</v>
      </c>
      <c r="C852" s="182">
        <v>868751.56078402267</v>
      </c>
      <c r="D852" s="182">
        <v>16510861.461825788</v>
      </c>
      <c r="E852" s="182">
        <v>0</v>
      </c>
      <c r="F852" s="189">
        <f t="shared" si="102"/>
        <v>0</v>
      </c>
      <c r="G852" s="182">
        <v>17379613.022609811</v>
      </c>
      <c r="H852" s="182"/>
      <c r="I852" s="182">
        <v>16510861.461825788</v>
      </c>
      <c r="J852" s="182"/>
      <c r="K852" s="182">
        <v>15659487.581456145</v>
      </c>
      <c r="L852" s="182"/>
      <c r="M852" s="182">
        <v>15659487.581456145</v>
      </c>
      <c r="N852" s="182">
        <v>0</v>
      </c>
      <c r="O852" s="182">
        <v>16528239.142240169</v>
      </c>
      <c r="P852" s="182">
        <v>868751.56078402267</v>
      </c>
      <c r="Q852" s="182">
        <v>8.9907168179739205E-3</v>
      </c>
      <c r="R852" s="182">
        <v>0</v>
      </c>
      <c r="S852" s="182">
        <f t="shared" si="101"/>
        <v>170180608.02000359</v>
      </c>
      <c r="T852" s="192">
        <f t="shared" si="99"/>
        <v>9.021539687954272E-3</v>
      </c>
      <c r="Y852" s="192" t="e">
        <f t="shared" si="100"/>
        <v>#DIV/0!</v>
      </c>
    </row>
    <row r="853" spans="1:25" ht="14.4">
      <c r="A853" s="187">
        <v>59836.559999999794</v>
      </c>
      <c r="B853" s="182">
        <v>16294496.500045523</v>
      </c>
      <c r="C853" s="182">
        <v>795685.32562182611</v>
      </c>
      <c r="D853" s="182">
        <v>15498811.174423696</v>
      </c>
      <c r="E853" s="182">
        <v>0</v>
      </c>
      <c r="F853" s="189">
        <f t="shared" si="102"/>
        <v>0</v>
      </c>
      <c r="G853" s="182">
        <v>16294496.500045523</v>
      </c>
      <c r="H853" s="182"/>
      <c r="I853" s="182">
        <v>15498811.174423696</v>
      </c>
      <c r="J853" s="182"/>
      <c r="K853" s="182">
        <v>14700129.100061486</v>
      </c>
      <c r="L853" s="182"/>
      <c r="M853" s="182">
        <v>14700129.100061486</v>
      </c>
      <c r="N853" s="182">
        <v>0</v>
      </c>
      <c r="O853" s="182">
        <v>15495814.425683312</v>
      </c>
      <c r="P853" s="182">
        <v>795685.32562182611</v>
      </c>
      <c r="Q853" s="182">
        <v>8.9829053922085844E-3</v>
      </c>
      <c r="R853" s="182">
        <v>0</v>
      </c>
      <c r="S853" s="182">
        <f t="shared" si="101"/>
        <v>170311482.25806391</v>
      </c>
      <c r="T853" s="192">
        <f t="shared" si="99"/>
        <v>9.0150562501059017E-3</v>
      </c>
      <c r="Y853" s="192" t="e">
        <f t="shared" si="100"/>
        <v>#DIV/0!</v>
      </c>
    </row>
    <row r="854" spans="1:25" ht="14.4">
      <c r="A854" s="187">
        <v>59866.979999999792</v>
      </c>
      <c r="B854" s="182">
        <v>13630171.32761671</v>
      </c>
      <c r="C854" s="182">
        <v>713942.52872399928</v>
      </c>
      <c r="D854" s="182">
        <v>12916228.79889271</v>
      </c>
      <c r="E854" s="182">
        <v>0</v>
      </c>
      <c r="F854" s="189">
        <f t="shared" si="102"/>
        <v>0</v>
      </c>
      <c r="G854" s="182">
        <v>13630171.32761671</v>
      </c>
      <c r="H854" s="182"/>
      <c r="I854" s="182">
        <v>12916228.79889271</v>
      </c>
      <c r="J854" s="182"/>
      <c r="K854" s="182">
        <v>12322590.249356281</v>
      </c>
      <c r="L854" s="182"/>
      <c r="M854" s="182">
        <v>12322590.249356281</v>
      </c>
      <c r="N854" s="182">
        <v>0</v>
      </c>
      <c r="O854" s="182">
        <v>13036532.778080281</v>
      </c>
      <c r="P854" s="182">
        <v>713942.52872399928</v>
      </c>
      <c r="Q854" s="182">
        <v>8.9723028599433263E-3</v>
      </c>
      <c r="R854" s="182">
        <v>0</v>
      </c>
      <c r="S854" s="182">
        <f t="shared" si="101"/>
        <v>170421061.09528551</v>
      </c>
      <c r="T854" s="192">
        <f t="shared" si="99"/>
        <v>9.0096357285791573E-3</v>
      </c>
      <c r="Y854" s="192" t="e">
        <f t="shared" si="100"/>
        <v>#DIV/0!</v>
      </c>
    </row>
    <row r="855" spans="1:25" ht="14.4">
      <c r="A855" s="187">
        <v>59897.39999999979</v>
      </c>
      <c r="B855" s="182">
        <v>14030104.488037001</v>
      </c>
      <c r="C855" s="182">
        <v>678016.4397755512</v>
      </c>
      <c r="D855" s="182">
        <v>13352088.048261451</v>
      </c>
      <c r="E855" s="182">
        <v>0</v>
      </c>
      <c r="F855" s="189">
        <f t="shared" si="102"/>
        <v>0</v>
      </c>
      <c r="G855" s="182">
        <v>14030104.488037001</v>
      </c>
      <c r="H855" s="182"/>
      <c r="I855" s="182">
        <v>13352088.048261451</v>
      </c>
      <c r="J855" s="182"/>
      <c r="K855" s="182">
        <v>12681049.889557993</v>
      </c>
      <c r="L855" s="182"/>
      <c r="M855" s="182">
        <v>12681049.889557993</v>
      </c>
      <c r="N855" s="182">
        <v>0</v>
      </c>
      <c r="O855" s="182">
        <v>13359066.329333544</v>
      </c>
      <c r="P855" s="182">
        <v>678016.4397755512</v>
      </c>
      <c r="Q855" s="182">
        <v>8.9665873374868976E-3</v>
      </c>
      <c r="R855" s="182">
        <v>0</v>
      </c>
      <c r="S855" s="182">
        <f t="shared" si="101"/>
        <v>170533756.34485346</v>
      </c>
      <c r="T855" s="192">
        <f>S855/S843-1</f>
        <v>9.0040687597523483E-3</v>
      </c>
      <c r="Y855" s="192" t="e">
        <f>X855/X843-1</f>
        <v>#DIV/0!</v>
      </c>
    </row>
    <row r="856" spans="1:25" ht="14.4">
      <c r="A856" s="187"/>
      <c r="B856" s="203"/>
      <c r="C856" s="190"/>
      <c r="D856" s="204"/>
      <c r="E856" s="188"/>
      <c r="F856" s="188"/>
      <c r="G856" s="182"/>
      <c r="H856" s="193"/>
      <c r="I856" s="182"/>
      <c r="J856" s="182"/>
      <c r="K856" s="205"/>
      <c r="L856" s="205"/>
      <c r="M856" s="205"/>
      <c r="N856" s="205"/>
      <c r="O856" s="205"/>
      <c r="P856" s="205"/>
      <c r="Q856" s="192"/>
      <c r="S856" s="189"/>
      <c r="T856" s="192"/>
      <c r="Y856" s="192"/>
    </row>
    <row r="857" spans="1:25">
      <c r="A857" s="187"/>
      <c r="B857" s="182"/>
      <c r="C857" s="182"/>
      <c r="D857" s="182"/>
      <c r="E857" s="182"/>
      <c r="F857" s="182"/>
      <c r="G857" s="182"/>
      <c r="H857" s="182"/>
      <c r="I857" s="182"/>
      <c r="J857" s="182"/>
      <c r="K857" s="188"/>
      <c r="L857" s="188"/>
      <c r="M857" s="188"/>
      <c r="N857" s="188"/>
      <c r="O857" s="188"/>
      <c r="P857" s="188"/>
    </row>
    <row r="858" spans="1:25">
      <c r="A858" s="187"/>
      <c r="B858" s="182"/>
      <c r="C858" s="182"/>
      <c r="D858" s="182"/>
      <c r="E858" s="182"/>
      <c r="F858" s="182"/>
      <c r="G858" s="182"/>
      <c r="H858" s="182"/>
      <c r="I858" s="182"/>
      <c r="J858" s="182"/>
      <c r="K858" s="206" t="s">
        <v>191</v>
      </c>
      <c r="L858" s="206"/>
      <c r="M858" s="207" t="s">
        <v>192</v>
      </c>
      <c r="N858" s="206" t="s">
        <v>199</v>
      </c>
      <c r="O858" s="181" t="s">
        <v>200</v>
      </c>
      <c r="P858" s="181" t="s">
        <v>18</v>
      </c>
    </row>
    <row r="859" spans="1:25">
      <c r="A859" s="187"/>
      <c r="B859" s="184" t="s">
        <v>187</v>
      </c>
      <c r="C859" s="181" t="s">
        <v>188</v>
      </c>
      <c r="D859" s="181" t="s">
        <v>189</v>
      </c>
      <c r="E859" s="188"/>
      <c r="F859" s="188"/>
      <c r="G859" s="182"/>
      <c r="H859" s="193"/>
      <c r="I859" s="182"/>
      <c r="J859" s="208"/>
      <c r="K859" s="209">
        <f>SUM(K172:K183)</f>
        <v>105274631.34600002</v>
      </c>
      <c r="L859" s="210"/>
      <c r="M859" s="209">
        <f>SUM(M172:M183)</f>
        <v>105013790.92332682</v>
      </c>
      <c r="N859" s="207"/>
      <c r="O859" s="193"/>
      <c r="P859" s="182"/>
      <c r="R859" s="189">
        <f>M859/1000</f>
        <v>105013.79092332681</v>
      </c>
    </row>
    <row r="860" spans="1:25" ht="14.4">
      <c r="A860" s="211" t="s">
        <v>201</v>
      </c>
      <c r="B860" s="182">
        <f>SUM(B184:B195)</f>
        <v>111100357</v>
      </c>
      <c r="C860" s="182">
        <f>SUM(C184:C195)</f>
        <v>1005727.1827816428</v>
      </c>
      <c r="D860" s="182">
        <f>SUM(D184:D195)</f>
        <v>110094629.81721836</v>
      </c>
      <c r="E860" s="182">
        <f>SUM(E184:E195)</f>
        <v>-1197879.5278877523</v>
      </c>
      <c r="F860" s="182"/>
      <c r="G860" s="182">
        <f>SUM(G184:G195)</f>
        <v>112298236.52788775</v>
      </c>
      <c r="H860" s="182"/>
      <c r="I860" s="182">
        <f>SUM(I184:I195)</f>
        <v>111292509.34510611</v>
      </c>
      <c r="J860" s="208"/>
      <c r="K860" s="209">
        <f>SUM(K184:K195)</f>
        <v>102749430.46299998</v>
      </c>
      <c r="L860" s="212"/>
      <c r="M860" s="209">
        <f>SUM(M184:M195)</f>
        <v>103860476.39683698</v>
      </c>
      <c r="N860" s="213">
        <f>M860/M859-1</f>
        <v>-1.0982505405712883E-2</v>
      </c>
      <c r="O860" s="182">
        <f>SUM(O184:O195)</f>
        <v>103740787.228</v>
      </c>
      <c r="R860" s="189">
        <f>M860/1000</f>
        <v>103860.47639683698</v>
      </c>
    </row>
    <row r="861" spans="1:25" ht="14.4">
      <c r="A861" s="211" t="s">
        <v>202</v>
      </c>
      <c r="B861" s="182">
        <f>SUM(B196:B207)</f>
        <v>111237416</v>
      </c>
      <c r="C861" s="182">
        <f>SUM(C196:C207)</f>
        <v>1176712.3456560627</v>
      </c>
      <c r="D861" s="182">
        <f>SUM(D196:D207)</f>
        <v>110060703.65434393</v>
      </c>
      <c r="E861" s="182">
        <f>SUM(E196:E207)</f>
        <v>2182061.4652346317</v>
      </c>
      <c r="F861" s="182"/>
      <c r="G861" s="182">
        <f>SUM(G196:G207)</f>
        <v>109055354.53476538</v>
      </c>
      <c r="H861" s="193"/>
      <c r="I861" s="182">
        <f>SUM(I196:I207)</f>
        <v>107878642.18910931</v>
      </c>
      <c r="J861" s="208"/>
      <c r="K861" s="209">
        <f>SUM(K196:K207)</f>
        <v>102762241.56299999</v>
      </c>
      <c r="L861" s="212"/>
      <c r="M861" s="209">
        <f>SUM(M196:M207)</f>
        <v>100734123.29167974</v>
      </c>
      <c r="N861" s="213">
        <f t="shared" ref="N861:N905" si="103">M861/M860-1</f>
        <v>-3.0101470873403868E-2</v>
      </c>
      <c r="O861" s="182">
        <f>SUM(O196:O207)</f>
        <v>103923413.52399999</v>
      </c>
      <c r="P861" s="193"/>
      <c r="R861" s="189">
        <f>M861/1000</f>
        <v>100734.12329167975</v>
      </c>
    </row>
    <row r="862" spans="1:25" ht="14.4">
      <c r="A862" s="214" t="s">
        <v>203</v>
      </c>
      <c r="B862" s="182">
        <f>SUM(B208:B219)</f>
        <v>114603532.5</v>
      </c>
      <c r="C862" s="182">
        <f>SUM(C208:C219)</f>
        <v>2160570.9581011315</v>
      </c>
      <c r="D862" s="182">
        <f>SUM(D208:D219)</f>
        <v>112442961.54189886</v>
      </c>
      <c r="E862" s="182">
        <f>SUM(E208:E219)</f>
        <v>3898943.2943694452</v>
      </c>
      <c r="F862" s="182"/>
      <c r="G862" s="182">
        <f>SUM(G208:G219)</f>
        <v>110704589.20563057</v>
      </c>
      <c r="H862" s="193"/>
      <c r="I862" s="182">
        <f>SUM(I208:I219)</f>
        <v>108544018.24752943</v>
      </c>
      <c r="J862" s="208"/>
      <c r="K862" s="209">
        <f>SUM(K208:K219)</f>
        <v>105003375.51700002</v>
      </c>
      <c r="L862" s="212"/>
      <c r="M862" s="209">
        <f>SUM(M208:M219)</f>
        <v>101400074.28755978</v>
      </c>
      <c r="N862" s="213">
        <f t="shared" si="103"/>
        <v>6.6109772351097273E-3</v>
      </c>
      <c r="O862" s="182">
        <f>SUM(O208:O219)</f>
        <v>107148747.877</v>
      </c>
      <c r="P862" s="182">
        <f>SUM(P208:P219)</f>
        <v>2145372.33</v>
      </c>
      <c r="R862" s="189">
        <f>M862/1000</f>
        <v>101400.07428755978</v>
      </c>
    </row>
    <row r="863" spans="1:25" ht="14.4">
      <c r="A863" s="214" t="s">
        <v>204</v>
      </c>
      <c r="B863" s="182">
        <f>SUM(B220:B231)</f>
        <v>111542271.5</v>
      </c>
      <c r="C863" s="182">
        <f>SUM(C220:C231)</f>
        <v>2171052.3128367001</v>
      </c>
      <c r="D863" s="182">
        <f>SUM(D220:D231)</f>
        <v>109371219.18716328</v>
      </c>
      <c r="E863" s="182">
        <f>SUM(E220:E231)</f>
        <v>2075014.0151245799</v>
      </c>
      <c r="F863" s="182"/>
      <c r="G863" s="182">
        <f>SUM(G220:G231)</f>
        <v>109467257.48487541</v>
      </c>
      <c r="H863" s="193"/>
      <c r="I863" s="182">
        <f>SUM(I220:I231)</f>
        <v>107296205.17203873</v>
      </c>
      <c r="J863" s="208"/>
      <c r="K863" s="209">
        <f>SUM(K220:K231)</f>
        <v>103557642.19500001</v>
      </c>
      <c r="L863" s="212"/>
      <c r="M863" s="209">
        <f>SUM(M220:M231)</f>
        <v>101569361.18816426</v>
      </c>
      <c r="N863" s="213">
        <f t="shared" si="103"/>
        <v>1.6694948380846508E-3</v>
      </c>
      <c r="O863" s="182">
        <f>SUM(O220:O231)</f>
        <v>105721576.06200001</v>
      </c>
      <c r="P863" s="182">
        <f>SUM(P220:P231)</f>
        <v>2163934.3849999998</v>
      </c>
      <c r="R863" s="189">
        <f t="shared" ref="R863:R868" si="104">M863/1000</f>
        <v>101569.36118816426</v>
      </c>
    </row>
    <row r="864" spans="1:25" ht="14.4">
      <c r="A864" s="214" t="s">
        <v>205</v>
      </c>
      <c r="B864" s="182">
        <f>SUM(B232:B243)</f>
        <v>110865505</v>
      </c>
      <c r="C864" s="182">
        <f>SUM(C232:C243)</f>
        <v>2244008.3846274205</v>
      </c>
      <c r="D864" s="182">
        <f>SUM(D232:D243)</f>
        <v>108621496.61537258</v>
      </c>
      <c r="E864" s="182">
        <f>SUM(E232:E243)</f>
        <v>-770102.32769864518</v>
      </c>
      <c r="F864" s="182"/>
      <c r="G864" s="182">
        <f>SUM(G232:G243)</f>
        <v>111635607.32769865</v>
      </c>
      <c r="H864" s="193"/>
      <c r="I864" s="182">
        <f>SUM(I232:I243)</f>
        <v>109391598.94307123</v>
      </c>
      <c r="J864" s="208"/>
      <c r="K864" s="209">
        <f>SUM(K232:K243)</f>
        <v>102127929.55717479</v>
      </c>
      <c r="L864" s="212"/>
      <c r="M864" s="209">
        <f>SUM(M232:M243)</f>
        <v>102853385.09982459</v>
      </c>
      <c r="N864" s="213">
        <f t="shared" si="103"/>
        <v>1.2641842940033676E-2</v>
      </c>
      <c r="O864" s="182">
        <f>SUM(O232:O243)</f>
        <v>104370119.41267258</v>
      </c>
      <c r="P864" s="182">
        <f>SUM(P232:P243)</f>
        <v>2242190.2790000001</v>
      </c>
      <c r="R864" s="189">
        <f t="shared" si="104"/>
        <v>102853.38509982459</v>
      </c>
    </row>
    <row r="865" spans="1:18" ht="14.4">
      <c r="A865" s="214" t="s">
        <v>206</v>
      </c>
      <c r="B865" s="182">
        <f>SUM(B244:B255)</f>
        <v>111655211</v>
      </c>
      <c r="C865" s="182">
        <f>SUM(C244:C255)</f>
        <v>2152457.854711581</v>
      </c>
      <c r="D865" s="182">
        <f>SUM(D244:D255)</f>
        <v>109502753.14528841</v>
      </c>
      <c r="E865" s="182">
        <f>SUM(E244:E255)</f>
        <v>-150976.27803615201</v>
      </c>
      <c r="F865" s="182"/>
      <c r="G865" s="182">
        <f>SUM(G244:G255)</f>
        <v>111806187.27803616</v>
      </c>
      <c r="H865" s="193"/>
      <c r="I865" s="182">
        <f>SUM(I244:I255)</f>
        <v>109653729.42332456</v>
      </c>
      <c r="J865" s="208"/>
      <c r="K865" s="209">
        <f>SUM(K244:K255)</f>
        <v>103058588.63236545</v>
      </c>
      <c r="L865" s="212"/>
      <c r="M865" s="209">
        <f>SUM(M244:M255)</f>
        <v>103198401.78352302</v>
      </c>
      <c r="N865" s="213">
        <f t="shared" si="103"/>
        <v>3.3544514199856934E-3</v>
      </c>
      <c r="O865" s="182">
        <f>SUM(O244:O255)</f>
        <v>105211467.66136545</v>
      </c>
      <c r="P865" s="182">
        <f>SUM(P244:P255)</f>
        <v>2152879.0289999996</v>
      </c>
      <c r="R865" s="189">
        <f t="shared" si="104"/>
        <v>103198.40178352302</v>
      </c>
    </row>
    <row r="866" spans="1:18" ht="14.4">
      <c r="A866" s="214" t="s">
        <v>207</v>
      </c>
      <c r="B866" s="182">
        <f>SUM(B256:B267)</f>
        <v>115963089</v>
      </c>
      <c r="C866" s="182">
        <f>SUM(C256:C267)</f>
        <v>5597231.3937441316</v>
      </c>
      <c r="D866" s="182">
        <f>SUM(D256:D267)</f>
        <v>110365857.60625586</v>
      </c>
      <c r="E866" s="182">
        <f>SUM(E256:E267)</f>
        <v>-439469.86718586273</v>
      </c>
      <c r="F866" s="182"/>
      <c r="G866" s="182">
        <f>SUM(G256:G267)</f>
        <v>116402558.86718586</v>
      </c>
      <c r="H866" s="193"/>
      <c r="I866" s="182">
        <f>SUM(I256:I267)</f>
        <v>110805327.47344175</v>
      </c>
      <c r="J866" s="208"/>
      <c r="K866" s="209">
        <f>SUM(K256:K267)</f>
        <v>104431097.12769566</v>
      </c>
      <c r="L866" s="212"/>
      <c r="M866" s="209">
        <f>SUM(M256:M267)</f>
        <v>104849039.96203335</v>
      </c>
      <c r="N866" s="213">
        <f t="shared" si="103"/>
        <v>1.5994803698344384E-2</v>
      </c>
      <c r="O866" s="182">
        <f>SUM(O256:O267)</f>
        <v>110030573.46669567</v>
      </c>
      <c r="P866" s="182">
        <f>SUM(P256:P267)</f>
        <v>5599476.3390000006</v>
      </c>
      <c r="R866" s="189">
        <f t="shared" si="104"/>
        <v>104849.03996203335</v>
      </c>
    </row>
    <row r="867" spans="1:18" ht="14.4">
      <c r="A867" s="184">
        <v>2015</v>
      </c>
      <c r="B867" s="182">
        <f>SUM(B268:B279)</f>
        <v>119963512.73953487</v>
      </c>
      <c r="C867" s="182">
        <f>SUM(C268:C279)</f>
        <v>6413783.9236885123</v>
      </c>
      <c r="D867" s="182">
        <f>SUM(D268:D279)</f>
        <v>113549728.81584637</v>
      </c>
      <c r="E867" s="182">
        <f>SUM(E268:E279)</f>
        <v>2465651.4266112363</v>
      </c>
      <c r="F867" s="182"/>
      <c r="G867" s="182">
        <f>SUM(G268:G279)</f>
        <v>117497861.31292364</v>
      </c>
      <c r="H867" s="193"/>
      <c r="I867" s="182">
        <f>SUM(I268:I279)</f>
        <v>111084077.38923512</v>
      </c>
      <c r="J867" s="208"/>
      <c r="K867" s="209">
        <f>SUM(K268:K279)</f>
        <v>107852743.84175399</v>
      </c>
      <c r="L867" s="212"/>
      <c r="M867" s="209">
        <f>SUM(M268:M279)</f>
        <v>105502722.70999373</v>
      </c>
      <c r="N867" s="213">
        <f t="shared" si="103"/>
        <v>6.2345134318548823E-3</v>
      </c>
      <c r="O867" s="182">
        <f>SUM(O268:O279)</f>
        <v>114266537.98059317</v>
      </c>
      <c r="P867" s="182">
        <f>SUM(P268:P279)</f>
        <v>6413794.1388392001</v>
      </c>
      <c r="R867" s="189">
        <f t="shared" si="104"/>
        <v>105502.72270999373</v>
      </c>
    </row>
    <row r="868" spans="1:18" ht="14.4">
      <c r="A868" s="215">
        <v>2016</v>
      </c>
      <c r="B868" s="182">
        <f>SUM(B280:B291)</f>
        <v>119624759.69152738</v>
      </c>
      <c r="C868" s="182">
        <f>SUM(C280:C291)</f>
        <v>6535642.6389770703</v>
      </c>
      <c r="D868" s="182">
        <f>SUM(D280:D291)</f>
        <v>113089117.05255032</v>
      </c>
      <c r="E868" s="182">
        <f>SUM(E280:E291)</f>
        <v>0</v>
      </c>
      <c r="F868" s="182"/>
      <c r="G868" s="182">
        <f>SUM(G280:G291)</f>
        <v>119624759.69152738</v>
      </c>
      <c r="H868" s="193"/>
      <c r="I868" s="182">
        <f>SUM(I280:I291)</f>
        <v>113089117.05255032</v>
      </c>
      <c r="J868" s="208"/>
      <c r="K868" s="209">
        <f>SUM(K280:K291)</f>
        <v>107428768.09586079</v>
      </c>
      <c r="L868" s="212"/>
      <c r="M868" s="209">
        <f>SUM(M280:M291)</f>
        <v>107428768.09586079</v>
      </c>
      <c r="N868" s="213">
        <f t="shared" si="103"/>
        <v>1.8255883226458325E-2</v>
      </c>
      <c r="O868" s="182">
        <f>SUM(O280:O291)</f>
        <v>113964410.73483787</v>
      </c>
      <c r="P868" s="182">
        <f>SUM(P280:P291)</f>
        <v>6535642.6389770703</v>
      </c>
      <c r="R868" s="189">
        <f t="shared" si="104"/>
        <v>107428.7680958608</v>
      </c>
    </row>
    <row r="869" spans="1:18" ht="14.4">
      <c r="A869" s="184">
        <v>2017</v>
      </c>
      <c r="B869" s="182">
        <f>SUM(B292:B303)</f>
        <v>118831903.29271215</v>
      </c>
      <c r="C869" s="182">
        <f>SUM(C292:C303)</f>
        <v>5947872.7771574194</v>
      </c>
      <c r="D869" s="182">
        <f>SUM(D292:D303)</f>
        <v>112884030.51555476</v>
      </c>
      <c r="E869" s="182">
        <f>SUM(E292:E303)</f>
        <v>0</v>
      </c>
      <c r="F869" s="182"/>
      <c r="G869" s="182">
        <f>SUM(G292:G303)</f>
        <v>118831903.29271215</v>
      </c>
      <c r="H869" s="193"/>
      <c r="I869" s="182">
        <f>SUM(I292:I303)</f>
        <v>112884030.51555476</v>
      </c>
      <c r="J869" s="208"/>
      <c r="K869" s="209">
        <f>SUM(K292:K303)</f>
        <v>107261282.85883455</v>
      </c>
      <c r="L869" s="212"/>
      <c r="M869" s="209">
        <f>SUM(M292:M303)</f>
        <v>107261282.85883455</v>
      </c>
      <c r="N869" s="213">
        <f t="shared" si="103"/>
        <v>-1.5590352565226784E-3</v>
      </c>
      <c r="O869" s="182">
        <f>SUM(O292:O303)</f>
        <v>113209155.63599196</v>
      </c>
      <c r="P869" s="182">
        <f>SUM(P292:P303)</f>
        <v>5947872.7771574194</v>
      </c>
      <c r="R869" s="189">
        <f>M869/1000</f>
        <v>107261.28285883454</v>
      </c>
    </row>
    <row r="870" spans="1:18" ht="14.4">
      <c r="A870" s="215">
        <v>2018</v>
      </c>
      <c r="B870" s="182">
        <f>SUM(B304:B315)</f>
        <v>119562964.28621197</v>
      </c>
      <c r="C870" s="182">
        <f>SUM(C304:C315)</f>
        <v>6017997.707893013</v>
      </c>
      <c r="D870" s="182">
        <f>SUM(D304:D315)</f>
        <v>113544966.57831894</v>
      </c>
      <c r="E870" s="182">
        <f>SUM(E304:E315)</f>
        <v>0</v>
      </c>
      <c r="F870" s="182"/>
      <c r="G870" s="182">
        <f>SUM(G304:G315)</f>
        <v>119562964.28621197</v>
      </c>
      <c r="H870" s="193"/>
      <c r="I870" s="182">
        <f>SUM(I304:I315)</f>
        <v>113544966.57831894</v>
      </c>
      <c r="J870" s="208"/>
      <c r="K870" s="209">
        <f>SUM(K304:K315)</f>
        <v>107887888.05211881</v>
      </c>
      <c r="L870" s="212"/>
      <c r="M870" s="209">
        <f>SUM(M304:M315)</f>
        <v>107887888.05211881</v>
      </c>
      <c r="N870" s="213">
        <f t="shared" si="103"/>
        <v>5.8418580925321262E-3</v>
      </c>
      <c r="O870" s="182">
        <f>SUM(O304:O315)</f>
        <v>113905885.76001182</v>
      </c>
      <c r="P870" s="182">
        <f>SUM(P304:P315)</f>
        <v>6017997.707893013</v>
      </c>
      <c r="R870" s="189">
        <f t="shared" ref="R870:R905" si="105">M870/1000</f>
        <v>107887.88805211881</v>
      </c>
    </row>
    <row r="871" spans="1:18" ht="14.4">
      <c r="A871" s="184">
        <v>2019</v>
      </c>
      <c r="B871" s="182">
        <f>SUM(B316:B327)</f>
        <v>120277084.01589832</v>
      </c>
      <c r="C871" s="182">
        <f>SUM(C316:C327)</f>
        <v>6089032.4415023159</v>
      </c>
      <c r="D871" s="182">
        <f>SUM(D316:D327)</f>
        <v>114188051.57439598</v>
      </c>
      <c r="E871" s="182">
        <f>SUM(E316:E327)</f>
        <v>0</v>
      </c>
      <c r="F871" s="182"/>
      <c r="G871" s="182">
        <f>SUM(G316:G327)</f>
        <v>120277084.01589832</v>
      </c>
      <c r="H871" s="193"/>
      <c r="I871" s="182">
        <f>SUM(I316:I327)</f>
        <v>114188051.57439598</v>
      </c>
      <c r="J871" s="208"/>
      <c r="K871" s="209">
        <f>SUM(K316:K327)</f>
        <v>108496611.11475174</v>
      </c>
      <c r="L871" s="212"/>
      <c r="M871" s="209">
        <f>SUM(M316:M327)</f>
        <v>108496611.11475174</v>
      </c>
      <c r="N871" s="213">
        <f t="shared" si="103"/>
        <v>5.6421816537819414E-3</v>
      </c>
      <c r="O871" s="182">
        <f>SUM(O316:O327)</f>
        <v>114586123.55625406</v>
      </c>
      <c r="P871" s="182">
        <f>SUM(P316:P327)</f>
        <v>6089512.4415023159</v>
      </c>
      <c r="R871" s="189">
        <f t="shared" si="105"/>
        <v>108496.61111475174</v>
      </c>
    </row>
    <row r="872" spans="1:18" ht="14.4">
      <c r="A872" s="215">
        <v>2020</v>
      </c>
      <c r="B872" s="182">
        <f>SUM(B328:B339)</f>
        <v>121585152.66596977</v>
      </c>
      <c r="C872" s="182">
        <f>SUM(C328:C339)</f>
        <v>6161568.0983049814</v>
      </c>
      <c r="D872" s="182">
        <f>SUM(D328:D339)</f>
        <v>115423584.56766482</v>
      </c>
      <c r="E872" s="182">
        <f>SUM(E328:E339)</f>
        <v>0</v>
      </c>
      <c r="F872" s="182"/>
      <c r="G872" s="182">
        <f>SUM(G328:G339)</f>
        <v>121585152.66596977</v>
      </c>
      <c r="H872" s="193"/>
      <c r="I872" s="182">
        <f>SUM(I328:I339)</f>
        <v>115423584.56766482</v>
      </c>
      <c r="J872" s="208"/>
      <c r="K872" s="209">
        <f>SUM(K328:K339)</f>
        <v>109670195.47376893</v>
      </c>
      <c r="L872" s="212"/>
      <c r="M872" s="209">
        <f>SUM(M328:M339)</f>
        <v>109670195.47376893</v>
      </c>
      <c r="N872" s="213">
        <f t="shared" si="103"/>
        <v>1.0816783556271137E-2</v>
      </c>
      <c r="O872" s="182">
        <f>SUM(O328:O339)</f>
        <v>115831763.57207391</v>
      </c>
      <c r="P872" s="182">
        <f>SUM(P328:P339)</f>
        <v>6161568.0983049814</v>
      </c>
      <c r="R872" s="189">
        <f t="shared" si="105"/>
        <v>109670.19547376894</v>
      </c>
    </row>
    <row r="873" spans="1:18" ht="14.4">
      <c r="A873" s="215">
        <v>2021</v>
      </c>
      <c r="B873" s="182">
        <f>SUM(B340:B351)</f>
        <v>121781986.72731742</v>
      </c>
      <c r="C873" s="182">
        <f>SUM(C340:C351)</f>
        <v>5643089.0142383976</v>
      </c>
      <c r="D873" s="182">
        <f>SUM(D340:D351)</f>
        <v>116138897.71307904</v>
      </c>
      <c r="E873" s="182">
        <f>SUM(E340:E351)</f>
        <v>0</v>
      </c>
      <c r="F873" s="182"/>
      <c r="G873" s="182">
        <f>SUM(G340:G351)</f>
        <v>121781986.72731742</v>
      </c>
      <c r="H873" s="193"/>
      <c r="I873" s="182">
        <f>SUM(I340:I351)</f>
        <v>116138897.71307904</v>
      </c>
      <c r="J873" s="208"/>
      <c r="K873" s="209">
        <f>SUM(K340:K351)</f>
        <v>110376538.38263163</v>
      </c>
      <c r="L873" s="212"/>
      <c r="M873" s="209">
        <f>SUM(M340:M351)</f>
        <v>110376538.38263163</v>
      </c>
      <c r="N873" s="213">
        <f t="shared" si="103"/>
        <v>6.4406095549600639E-3</v>
      </c>
      <c r="O873" s="182">
        <f>SUM(O340:O351)</f>
        <v>116019627.39687005</v>
      </c>
      <c r="P873" s="182">
        <f>SUM(P340:P351)</f>
        <v>5643089.0142383976</v>
      </c>
      <c r="R873" s="189">
        <f t="shared" si="105"/>
        <v>110376.53838263162</v>
      </c>
    </row>
    <row r="874" spans="1:18" ht="14.4">
      <c r="A874" s="215">
        <v>2022</v>
      </c>
      <c r="B874" s="182">
        <f>SUM(B352:B363)</f>
        <v>121965696.07954988</v>
      </c>
      <c r="C874" s="182">
        <f t="shared" ref="C874:P874" si="106">SUM(C352:C363)</f>
        <v>5207495.753086607</v>
      </c>
      <c r="D874" s="182">
        <f t="shared" si="106"/>
        <v>116758200.32646328</v>
      </c>
      <c r="E874" s="182">
        <f t="shared" si="106"/>
        <v>0</v>
      </c>
      <c r="F874" s="182"/>
      <c r="G874" s="182">
        <f t="shared" si="106"/>
        <v>121965696.07954988</v>
      </c>
      <c r="H874" s="193"/>
      <c r="I874" s="182">
        <f t="shared" si="106"/>
        <v>116758200.32646328</v>
      </c>
      <c r="J874" s="208"/>
      <c r="K874" s="209">
        <f t="shared" si="106"/>
        <v>110987184.43185426</v>
      </c>
      <c r="L874" s="212"/>
      <c r="M874" s="209">
        <f t="shared" si="106"/>
        <v>110987184.43185426</v>
      </c>
      <c r="N874" s="213">
        <f t="shared" si="103"/>
        <v>5.5323899278827415E-3</v>
      </c>
      <c r="O874" s="182">
        <f t="shared" si="106"/>
        <v>116194680.18494086</v>
      </c>
      <c r="P874" s="182">
        <f t="shared" si="106"/>
        <v>5207495.753086607</v>
      </c>
      <c r="R874" s="189">
        <f t="shared" si="105"/>
        <v>110987.18443185426</v>
      </c>
    </row>
    <row r="875" spans="1:18" ht="14.4">
      <c r="A875" s="215">
        <v>2023</v>
      </c>
      <c r="B875" s="182">
        <f>SUM(B364:B375)</f>
        <v>122767655.44048569</v>
      </c>
      <c r="C875" s="182">
        <f t="shared" ref="C875:P875" si="107">SUM(C364:C375)</f>
        <v>5283259.109712</v>
      </c>
      <c r="D875" s="182">
        <f t="shared" si="107"/>
        <v>117484396.33077368</v>
      </c>
      <c r="E875" s="182">
        <f t="shared" si="107"/>
        <v>0</v>
      </c>
      <c r="F875" s="182"/>
      <c r="G875" s="182">
        <f t="shared" si="107"/>
        <v>122767655.44048569</v>
      </c>
      <c r="H875" s="193"/>
      <c r="I875" s="182">
        <f t="shared" si="107"/>
        <v>117484396.33077368</v>
      </c>
      <c r="J875" s="208"/>
      <c r="K875" s="209">
        <f t="shared" si="107"/>
        <v>111675436.8174631</v>
      </c>
      <c r="L875" s="212"/>
      <c r="M875" s="209">
        <f t="shared" si="107"/>
        <v>111675436.8174631</v>
      </c>
      <c r="N875" s="213">
        <f t="shared" si="103"/>
        <v>6.2011879040990703E-3</v>
      </c>
      <c r="O875" s="182">
        <f t="shared" si="107"/>
        <v>116958695.9271751</v>
      </c>
      <c r="P875" s="182">
        <f t="shared" si="107"/>
        <v>5283259.109712</v>
      </c>
      <c r="R875" s="189">
        <f t="shared" si="105"/>
        <v>111675.43681746309</v>
      </c>
    </row>
    <row r="876" spans="1:18" ht="14.4">
      <c r="A876" s="215">
        <v>2024</v>
      </c>
      <c r="B876" s="182">
        <f>SUM(B376:B387)</f>
        <v>123636564.42865704</v>
      </c>
      <c r="C876" s="182">
        <f t="shared" ref="C876:P876" si="108">SUM(C376:C387)</f>
        <v>5359978.0972898668</v>
      </c>
      <c r="D876" s="182">
        <f t="shared" si="108"/>
        <v>118276586.33136719</v>
      </c>
      <c r="E876" s="182">
        <f t="shared" si="108"/>
        <v>0</v>
      </c>
      <c r="F876" s="182"/>
      <c r="G876" s="182">
        <f t="shared" si="108"/>
        <v>123636564.42865704</v>
      </c>
      <c r="H876" s="193"/>
      <c r="I876" s="182">
        <f t="shared" si="108"/>
        <v>118276586.33136719</v>
      </c>
      <c r="J876" s="208"/>
      <c r="K876" s="209">
        <f t="shared" si="108"/>
        <v>112425820.82519922</v>
      </c>
      <c r="L876" s="212"/>
      <c r="M876" s="209">
        <f t="shared" si="108"/>
        <v>112425820.82519922</v>
      </c>
      <c r="N876" s="213">
        <f t="shared" si="103"/>
        <v>6.7193290585703114E-3</v>
      </c>
      <c r="O876" s="182">
        <f t="shared" si="108"/>
        <v>117785798.92248908</v>
      </c>
      <c r="P876" s="182">
        <f t="shared" si="108"/>
        <v>5359978.0972898668</v>
      </c>
      <c r="R876" s="189">
        <f t="shared" si="105"/>
        <v>112425.82082519922</v>
      </c>
    </row>
    <row r="877" spans="1:18" ht="14.4">
      <c r="A877" s="215">
        <v>2025</v>
      </c>
      <c r="B877" s="182">
        <f>SUM(B388:B399)</f>
        <v>124463005.31190111</v>
      </c>
      <c r="C877" s="182">
        <f t="shared" ref="C877:P877" si="109">SUM(C388:C399)</f>
        <v>5437756.9845458558</v>
      </c>
      <c r="D877" s="182">
        <f t="shared" si="109"/>
        <v>119025248.32735521</v>
      </c>
      <c r="E877" s="182">
        <f t="shared" si="109"/>
        <v>0</v>
      </c>
      <c r="F877" s="182"/>
      <c r="G877" s="182">
        <f t="shared" si="109"/>
        <v>124463005.31190111</v>
      </c>
      <c r="H877" s="193"/>
      <c r="I877" s="182">
        <f t="shared" si="109"/>
        <v>119025248.32735521</v>
      </c>
      <c r="J877" s="208"/>
      <c r="K877" s="209">
        <f t="shared" si="109"/>
        <v>113136247.15509489</v>
      </c>
      <c r="L877" s="212"/>
      <c r="M877" s="209">
        <f t="shared" si="109"/>
        <v>113136247.15509489</v>
      </c>
      <c r="N877" s="213">
        <f t="shared" si="103"/>
        <v>6.3190673163975308E-3</v>
      </c>
      <c r="O877" s="182">
        <f t="shared" si="109"/>
        <v>118574004.13964073</v>
      </c>
      <c r="P877" s="182">
        <f t="shared" si="109"/>
        <v>5437756.9845458558</v>
      </c>
      <c r="R877" s="189">
        <f t="shared" si="105"/>
        <v>113136.2471550949</v>
      </c>
    </row>
    <row r="878" spans="1:18" ht="14.4">
      <c r="A878" s="215">
        <v>2026</v>
      </c>
      <c r="B878" s="182">
        <f>SUM(B400:B411)</f>
        <v>125830815.6531014</v>
      </c>
      <c r="C878" s="182">
        <f t="shared" ref="C878:P878" si="110">SUM(C400:C411)</f>
        <v>5516892.2694632523</v>
      </c>
      <c r="D878" s="182">
        <f t="shared" si="110"/>
        <v>120313923.38363813</v>
      </c>
      <c r="E878" s="182">
        <f t="shared" si="110"/>
        <v>0</v>
      </c>
      <c r="F878" s="182"/>
      <c r="G878" s="182">
        <f t="shared" si="110"/>
        <v>125830815.6531014</v>
      </c>
      <c r="H878" s="193"/>
      <c r="I878" s="182">
        <f t="shared" si="110"/>
        <v>120313923.38363813</v>
      </c>
      <c r="J878" s="208"/>
      <c r="K878" s="209">
        <f t="shared" si="110"/>
        <v>114360282.0644276</v>
      </c>
      <c r="L878" s="212"/>
      <c r="M878" s="209">
        <f t="shared" si="110"/>
        <v>114360282.0644276</v>
      </c>
      <c r="N878" s="213">
        <f t="shared" si="103"/>
        <v>1.0819122430804295E-2</v>
      </c>
      <c r="O878" s="182">
        <f t="shared" si="110"/>
        <v>119877174.33389086</v>
      </c>
      <c r="P878" s="182">
        <f t="shared" si="110"/>
        <v>5516892.2694632523</v>
      </c>
      <c r="R878" s="189">
        <f t="shared" si="105"/>
        <v>114360.28206442759</v>
      </c>
    </row>
    <row r="879" spans="1:18" ht="14.4">
      <c r="A879" s="215">
        <v>2027</v>
      </c>
      <c r="B879" s="182">
        <f>SUM(B412:B423)</f>
        <v>127182784.36050306</v>
      </c>
      <c r="C879" s="182">
        <f t="shared" ref="C879:P879" si="111">SUM(C412:C423)</f>
        <v>5597184.694958142</v>
      </c>
      <c r="D879" s="182">
        <f t="shared" si="111"/>
        <v>121585599.66554491</v>
      </c>
      <c r="E879" s="182">
        <f t="shared" si="111"/>
        <v>0</v>
      </c>
      <c r="F879" s="182"/>
      <c r="G879" s="182">
        <f t="shared" si="111"/>
        <v>127182784.36050306</v>
      </c>
      <c r="H879" s="193"/>
      <c r="I879" s="182">
        <f t="shared" si="111"/>
        <v>121585599.66554491</v>
      </c>
      <c r="J879" s="208"/>
      <c r="K879" s="209">
        <f t="shared" si="111"/>
        <v>115567765.2742832</v>
      </c>
      <c r="L879" s="212"/>
      <c r="M879" s="209">
        <f t="shared" si="111"/>
        <v>115567765.2742832</v>
      </c>
      <c r="N879" s="213">
        <f t="shared" si="103"/>
        <v>1.0558588944152181E-2</v>
      </c>
      <c r="O879" s="182">
        <f t="shared" si="111"/>
        <v>121164949.96924135</v>
      </c>
      <c r="P879" s="182">
        <f t="shared" si="111"/>
        <v>5597184.694958142</v>
      </c>
      <c r="R879" s="189">
        <f t="shared" si="105"/>
        <v>115567.7652742832</v>
      </c>
    </row>
    <row r="880" spans="1:18" ht="14.4">
      <c r="A880" s="215">
        <v>2028</v>
      </c>
      <c r="B880" s="182">
        <f>SUM(B424:B435)</f>
        <v>128994833.70369811</v>
      </c>
      <c r="C880" s="182">
        <f t="shared" ref="C880:P880" si="112">SUM(C424:C435)</f>
        <v>5678651.2506737476</v>
      </c>
      <c r="D880" s="182">
        <f t="shared" si="112"/>
        <v>123316182.45302436</v>
      </c>
      <c r="E880" s="182">
        <f t="shared" si="112"/>
        <v>0</v>
      </c>
      <c r="F880" s="182"/>
      <c r="G880" s="182">
        <f t="shared" si="112"/>
        <v>128994833.70369811</v>
      </c>
      <c r="H880" s="193"/>
      <c r="I880" s="182">
        <f t="shared" si="112"/>
        <v>123316182.45302436</v>
      </c>
      <c r="J880" s="208"/>
      <c r="K880" s="209">
        <f t="shared" si="112"/>
        <v>117212032.6155965</v>
      </c>
      <c r="L880" s="212"/>
      <c r="M880" s="209">
        <f t="shared" si="112"/>
        <v>117212032.6155965</v>
      </c>
      <c r="N880" s="213">
        <f t="shared" si="103"/>
        <v>1.4227733290601119E-2</v>
      </c>
      <c r="O880" s="182">
        <f t="shared" si="112"/>
        <v>122890683.86627027</v>
      </c>
      <c r="P880" s="182">
        <f t="shared" si="112"/>
        <v>5678651.2506737476</v>
      </c>
      <c r="R880" s="189">
        <f t="shared" si="105"/>
        <v>117212.0326155965</v>
      </c>
    </row>
    <row r="881" spans="1:18" ht="14.4">
      <c r="A881" s="215">
        <v>2029</v>
      </c>
      <c r="B881" s="182">
        <f>SUM(B436:B447)</f>
        <v>130940144.33338581</v>
      </c>
      <c r="C881" s="182">
        <f t="shared" ref="C881:P881" si="113">SUM(C436:C447)</f>
        <v>5761309.1765801413</v>
      </c>
      <c r="D881" s="182">
        <f t="shared" si="113"/>
        <v>125178835.15680566</v>
      </c>
      <c r="E881" s="182">
        <f t="shared" si="113"/>
        <v>0</v>
      </c>
      <c r="F881" s="182"/>
      <c r="G881" s="182">
        <f t="shared" si="113"/>
        <v>130940144.33338581</v>
      </c>
      <c r="H881" s="193"/>
      <c r="I881" s="182">
        <f t="shared" si="113"/>
        <v>125178835.15680566</v>
      </c>
      <c r="J881" s="208"/>
      <c r="K881" s="209">
        <f t="shared" si="113"/>
        <v>118983517.04500088</v>
      </c>
      <c r="L881" s="212"/>
      <c r="M881" s="209">
        <f t="shared" si="113"/>
        <v>118983517.04500088</v>
      </c>
      <c r="N881" s="213">
        <f t="shared" si="103"/>
        <v>1.5113503194796207E-2</v>
      </c>
      <c r="O881" s="182">
        <f t="shared" si="113"/>
        <v>124744826.22158101</v>
      </c>
      <c r="P881" s="182">
        <f t="shared" si="113"/>
        <v>5761309.1765801413</v>
      </c>
      <c r="R881" s="189">
        <f t="shared" si="105"/>
        <v>118983.51704500089</v>
      </c>
    </row>
    <row r="882" spans="1:18" ht="14.4">
      <c r="A882" s="215">
        <v>2030</v>
      </c>
      <c r="B882" s="182">
        <f>SUM(B448:B459)</f>
        <v>133247203.46915175</v>
      </c>
      <c r="C882" s="182">
        <f t="shared" ref="C882:P882" si="114">SUM(C448:C459)</f>
        <v>5845175.9666736173</v>
      </c>
      <c r="D882" s="182">
        <f t="shared" si="114"/>
        <v>127402027.50247812</v>
      </c>
      <c r="E882" s="182">
        <f t="shared" si="114"/>
        <v>0</v>
      </c>
      <c r="F882" s="182"/>
      <c r="G882" s="182">
        <f t="shared" si="114"/>
        <v>133247203.46915175</v>
      </c>
      <c r="H882" s="193"/>
      <c r="I882" s="182">
        <f t="shared" si="114"/>
        <v>127402027.50247812</v>
      </c>
      <c r="J882" s="208"/>
      <c r="K882" s="209">
        <f t="shared" si="114"/>
        <v>121097517.18136244</v>
      </c>
      <c r="L882" s="212"/>
      <c r="M882" s="209">
        <f t="shared" si="114"/>
        <v>121097517.18136244</v>
      </c>
      <c r="N882" s="213">
        <f t="shared" si="103"/>
        <v>1.7767167998253175E-2</v>
      </c>
      <c r="O882" s="182">
        <f t="shared" si="114"/>
        <v>126942693.14803605</v>
      </c>
      <c r="P882" s="182">
        <f t="shared" si="114"/>
        <v>5845175.9666736173</v>
      </c>
      <c r="R882" s="189">
        <f t="shared" si="105"/>
        <v>121097.51718136243</v>
      </c>
    </row>
    <row r="883" spans="1:18" ht="14.4">
      <c r="A883" s="215">
        <v>2031</v>
      </c>
      <c r="B883" s="182">
        <f>SUM(B460:B471)</f>
        <v>135111346.86535555</v>
      </c>
      <c r="C883" s="182">
        <f t="shared" ref="C883:P883" si="115">SUM(C460:C471)</f>
        <v>5930269.372730853</v>
      </c>
      <c r="D883" s="182">
        <f t="shared" si="115"/>
        <v>129181077.4926247</v>
      </c>
      <c r="E883" s="182">
        <f t="shared" si="115"/>
        <v>0</v>
      </c>
      <c r="F883" s="182"/>
      <c r="G883" s="182">
        <f t="shared" si="115"/>
        <v>135111346.86535555</v>
      </c>
      <c r="H883" s="193"/>
      <c r="I883" s="182">
        <f t="shared" si="115"/>
        <v>129181077.4926247</v>
      </c>
      <c r="J883" s="208"/>
      <c r="K883" s="209">
        <f t="shared" si="115"/>
        <v>122788292.26723891</v>
      </c>
      <c r="L883" s="212"/>
      <c r="M883" s="209">
        <f t="shared" si="115"/>
        <v>122788292.26723891</v>
      </c>
      <c r="N883" s="213">
        <f t="shared" si="103"/>
        <v>1.3962095385855688E-2</v>
      </c>
      <c r="O883" s="182">
        <f t="shared" si="115"/>
        <v>128718561.63996977</v>
      </c>
      <c r="P883" s="182">
        <f t="shared" si="115"/>
        <v>5930269.372730853</v>
      </c>
      <c r="R883" s="189">
        <f t="shared" si="105"/>
        <v>122788.29226723891</v>
      </c>
    </row>
    <row r="884" spans="1:18" ht="14.4">
      <c r="A884" s="215">
        <v>2032</v>
      </c>
      <c r="B884" s="182">
        <f>SUM(B472:B483)</f>
        <v>137076151.04629812</v>
      </c>
      <c r="C884" s="182">
        <f t="shared" ref="C884:P884" si="116">SUM(C472:C483)</f>
        <v>6016607.408118696</v>
      </c>
      <c r="D884" s="182">
        <f t="shared" si="116"/>
        <v>131059543.63817939</v>
      </c>
      <c r="E884" s="182">
        <f t="shared" si="116"/>
        <v>0</v>
      </c>
      <c r="F884" s="182"/>
      <c r="G884" s="182">
        <f t="shared" si="116"/>
        <v>137076151.04629812</v>
      </c>
      <c r="H884" s="193"/>
      <c r="I884" s="182">
        <f t="shared" si="116"/>
        <v>131059543.63817939</v>
      </c>
      <c r="J884" s="208"/>
      <c r="K884" s="209">
        <f t="shared" si="116"/>
        <v>124572983.52592666</v>
      </c>
      <c r="L884" s="212"/>
      <c r="M884" s="209">
        <f t="shared" si="116"/>
        <v>124572983.52592666</v>
      </c>
      <c r="N884" s="213">
        <f t="shared" si="103"/>
        <v>1.4534702175053482E-2</v>
      </c>
      <c r="O884" s="182">
        <f t="shared" si="116"/>
        <v>130589590.93404536</v>
      </c>
      <c r="P884" s="182">
        <f t="shared" si="116"/>
        <v>6016607.408118696</v>
      </c>
      <c r="R884" s="189">
        <f t="shared" si="105"/>
        <v>124572.98352592667</v>
      </c>
    </row>
    <row r="885" spans="1:18" ht="14.4">
      <c r="A885" s="215">
        <v>2033</v>
      </c>
      <c r="B885" s="182">
        <f>SUM(B484:B495)</f>
        <v>138119807.53825477</v>
      </c>
      <c r="C885" s="182">
        <f t="shared" ref="C885:P885" si="117">SUM(C484:C495)</f>
        <v>6104208.3516604053</v>
      </c>
      <c r="D885" s="182">
        <f>SUM(D484:D495)</f>
        <v>132015599.18659435</v>
      </c>
      <c r="E885" s="182">
        <f t="shared" si="117"/>
        <v>0</v>
      </c>
      <c r="F885" s="182"/>
      <c r="G885" s="182">
        <f t="shared" si="117"/>
        <v>138119807.53825477</v>
      </c>
      <c r="H885" s="193"/>
      <c r="I885" s="182">
        <f t="shared" si="117"/>
        <v>132015599.18659435</v>
      </c>
      <c r="J885" s="208"/>
      <c r="K885" s="209">
        <f t="shared" si="117"/>
        <v>125480259.30462651</v>
      </c>
      <c r="L885" s="212"/>
      <c r="M885" s="209">
        <f t="shared" si="117"/>
        <v>125480259.30462651</v>
      </c>
      <c r="N885" s="213">
        <f t="shared" si="103"/>
        <v>7.2830862119555029E-3</v>
      </c>
      <c r="O885" s="182">
        <f t="shared" si="117"/>
        <v>131584467.65628691</v>
      </c>
      <c r="P885" s="182">
        <f t="shared" si="117"/>
        <v>6104208.3516604053</v>
      </c>
      <c r="R885" s="189">
        <f t="shared" si="105"/>
        <v>125480.25930462651</v>
      </c>
    </row>
    <row r="886" spans="1:18" ht="14.4">
      <c r="A886" s="215">
        <v>2034</v>
      </c>
      <c r="B886" s="182">
        <f>SUM(B496:B507)</f>
        <v>139688168.0462589</v>
      </c>
      <c r="C886" s="182">
        <f t="shared" ref="C886:P886" si="118">SUM(C496:C507)</f>
        <v>6193090.7515591597</v>
      </c>
      <c r="D886" s="182">
        <f t="shared" si="118"/>
        <v>133495077.29469977</v>
      </c>
      <c r="E886" s="182">
        <f t="shared" si="118"/>
        <v>0</v>
      </c>
      <c r="F886" s="182"/>
      <c r="G886" s="182">
        <f t="shared" si="118"/>
        <v>139688168.0462589</v>
      </c>
      <c r="H886" s="193"/>
      <c r="I886" s="182">
        <f t="shared" si="118"/>
        <v>133495077.29469977</v>
      </c>
      <c r="J886" s="208"/>
      <c r="K886" s="209">
        <f t="shared" si="118"/>
        <v>126885668.47033058</v>
      </c>
      <c r="L886" s="212"/>
      <c r="M886" s="209">
        <f t="shared" si="118"/>
        <v>126885668.47033058</v>
      </c>
      <c r="N886" s="213">
        <f t="shared" si="103"/>
        <v>1.1200241165362668E-2</v>
      </c>
      <c r="O886" s="182">
        <f t="shared" si="118"/>
        <v>133078759.22188975</v>
      </c>
      <c r="P886" s="182">
        <f t="shared" si="118"/>
        <v>6193090.7515591597</v>
      </c>
      <c r="R886" s="189">
        <f t="shared" si="105"/>
        <v>126885.66847033058</v>
      </c>
    </row>
    <row r="887" spans="1:18" ht="14.4">
      <c r="A887" s="215">
        <v>2035</v>
      </c>
      <c r="B887" s="182">
        <f>SUM(B508:B519)</f>
        <v>141446629.55916294</v>
      </c>
      <c r="C887" s="182">
        <f t="shared" ref="C887:P887" si="119">SUM(C508:C519)</f>
        <v>6283273.4293797258</v>
      </c>
      <c r="D887" s="182">
        <f t="shared" si="119"/>
        <v>135163356.12978321</v>
      </c>
      <c r="E887" s="182">
        <f t="shared" si="119"/>
        <v>0</v>
      </c>
      <c r="F887" s="182"/>
      <c r="G887" s="182">
        <f t="shared" si="119"/>
        <v>141446629.55916294</v>
      </c>
      <c r="H887" s="193"/>
      <c r="I887" s="182">
        <f t="shared" si="119"/>
        <v>135163356.12978321</v>
      </c>
      <c r="J887" s="208"/>
      <c r="K887" s="209">
        <f t="shared" si="119"/>
        <v>128470793.18861239</v>
      </c>
      <c r="L887" s="212"/>
      <c r="M887" s="209">
        <f t="shared" si="119"/>
        <v>128470793.18861239</v>
      </c>
      <c r="N887" s="213">
        <f t="shared" si="103"/>
        <v>1.2492543384853949E-2</v>
      </c>
      <c r="O887" s="182">
        <f t="shared" si="119"/>
        <v>134754066.61799216</v>
      </c>
      <c r="P887" s="182">
        <f t="shared" si="119"/>
        <v>6283273.4293797258</v>
      </c>
      <c r="R887" s="189">
        <f t="shared" si="105"/>
        <v>128470.79318861238</v>
      </c>
    </row>
    <row r="888" spans="1:18" ht="14.4">
      <c r="A888" s="215">
        <v>2036</v>
      </c>
      <c r="B888" s="182">
        <f>SUM(B520:B531)</f>
        <v>143024923.66472349</v>
      </c>
      <c r="C888" s="182">
        <f t="shared" ref="C888:P888" si="120">SUM(C520:C531)</f>
        <v>6374775.4840891054</v>
      </c>
      <c r="D888" s="182">
        <f t="shared" si="120"/>
        <v>136650148.18063438</v>
      </c>
      <c r="E888" s="182">
        <f t="shared" si="120"/>
        <v>0</v>
      </c>
      <c r="F888" s="182"/>
      <c r="G888" s="182">
        <f t="shared" si="120"/>
        <v>143024923.66472349</v>
      </c>
      <c r="H888" s="193"/>
      <c r="I888" s="182">
        <f t="shared" si="120"/>
        <v>136650148.18063438</v>
      </c>
      <c r="J888" s="208"/>
      <c r="K888" s="209">
        <f t="shared" si="120"/>
        <v>129881941.85203961</v>
      </c>
      <c r="L888" s="212"/>
      <c r="M888" s="209">
        <f t="shared" si="120"/>
        <v>129881941.85203961</v>
      </c>
      <c r="N888" s="213">
        <f t="shared" si="103"/>
        <v>1.0984198263300771E-2</v>
      </c>
      <c r="O888" s="182">
        <f t="shared" si="120"/>
        <v>136256717.33612871</v>
      </c>
      <c r="P888" s="182">
        <f t="shared" si="120"/>
        <v>6374775.4840891054</v>
      </c>
      <c r="R888" s="189">
        <f t="shared" si="105"/>
        <v>129881.9418520396</v>
      </c>
    </row>
    <row r="889" spans="1:18" ht="14.4">
      <c r="A889" s="215">
        <v>2037</v>
      </c>
      <c r="B889" s="182">
        <f>SUM(B532:B543)</f>
        <v>144233500.57559451</v>
      </c>
      <c r="C889" s="182">
        <f t="shared" ref="C889:P889" si="121">SUM(C532:C543)</f>
        <v>6467616.296157063</v>
      </c>
      <c r="D889" s="182">
        <f t="shared" si="121"/>
        <v>137765884.27943742</v>
      </c>
      <c r="E889" s="182">
        <f t="shared" si="121"/>
        <v>0</v>
      </c>
      <c r="F889" s="182"/>
      <c r="G889" s="182">
        <f t="shared" si="121"/>
        <v>144233500.57559451</v>
      </c>
      <c r="H889" s="193"/>
      <c r="I889" s="182">
        <f t="shared" si="121"/>
        <v>137765884.27943742</v>
      </c>
      <c r="J889" s="208"/>
      <c r="K889" s="209">
        <f t="shared" si="121"/>
        <v>130941392.31594923</v>
      </c>
      <c r="L889" s="212"/>
      <c r="M889" s="209">
        <f t="shared" si="121"/>
        <v>130941392.31594923</v>
      </c>
      <c r="N889" s="213">
        <f t="shared" si="103"/>
        <v>8.1570266720876194E-3</v>
      </c>
      <c r="O889" s="182">
        <f t="shared" si="121"/>
        <v>137409008.61210626</v>
      </c>
      <c r="P889" s="182">
        <f t="shared" si="121"/>
        <v>6467616.296157063</v>
      </c>
      <c r="R889" s="189">
        <f t="shared" si="105"/>
        <v>130941.39231594923</v>
      </c>
    </row>
    <row r="890" spans="1:18" ht="14.4">
      <c r="A890" s="215">
        <v>2038</v>
      </c>
      <c r="B890" s="182">
        <f>SUM(B544:B555)</f>
        <v>145885208.95398358</v>
      </c>
      <c r="C890" s="182">
        <f t="shared" ref="C890:P890" si="122">SUM(C544:C555)</f>
        <v>6561815.5317174317</v>
      </c>
      <c r="D890" s="182">
        <f t="shared" si="122"/>
        <v>139323393.42226613</v>
      </c>
      <c r="E890" s="182">
        <f t="shared" si="122"/>
        <v>0</v>
      </c>
      <c r="F890" s="182"/>
      <c r="G890" s="182">
        <f t="shared" si="122"/>
        <v>145885208.95398358</v>
      </c>
      <c r="H890" s="193"/>
      <c r="I890" s="182">
        <f t="shared" si="122"/>
        <v>139323393.42226613</v>
      </c>
      <c r="J890" s="208"/>
      <c r="K890" s="209">
        <f t="shared" si="122"/>
        <v>132420799.94922984</v>
      </c>
      <c r="L890" s="212"/>
      <c r="M890" s="209">
        <f t="shared" si="122"/>
        <v>132420799.94922984</v>
      </c>
      <c r="N890" s="213">
        <f t="shared" si="103"/>
        <v>1.1298242726111685E-2</v>
      </c>
      <c r="O890" s="182">
        <f t="shared" si="122"/>
        <v>138982615.48094726</v>
      </c>
      <c r="P890" s="182">
        <f t="shared" si="122"/>
        <v>6561815.5317174317</v>
      </c>
      <c r="R890" s="189">
        <f t="shared" si="105"/>
        <v>132420.79994922984</v>
      </c>
    </row>
    <row r="891" spans="1:18" ht="14.4">
      <c r="A891" s="215">
        <v>2039</v>
      </c>
      <c r="B891" s="182">
        <f>SUM(B556:B567)</f>
        <v>147619563.53291151</v>
      </c>
      <c r="C891" s="182">
        <f t="shared" ref="C891:P891" si="123">SUM(C556:C567)</f>
        <v>6657393.1467910539</v>
      </c>
      <c r="D891" s="182">
        <f t="shared" si="123"/>
        <v>140962170.38612044</v>
      </c>
      <c r="E891" s="182">
        <f t="shared" si="123"/>
        <v>0</v>
      </c>
      <c r="F891" s="182"/>
      <c r="G891" s="182">
        <f t="shared" si="123"/>
        <v>147619563.53291151</v>
      </c>
      <c r="H891" s="193"/>
      <c r="I891" s="182">
        <f t="shared" si="123"/>
        <v>140962170.38612044</v>
      </c>
      <c r="J891" s="208"/>
      <c r="K891" s="209">
        <f t="shared" si="123"/>
        <v>133977499.71636945</v>
      </c>
      <c r="L891" s="212"/>
      <c r="M891" s="209">
        <f t="shared" si="123"/>
        <v>133977499.71636945</v>
      </c>
      <c r="N891" s="213">
        <f t="shared" si="103"/>
        <v>1.1755704298240577E-2</v>
      </c>
      <c r="O891" s="182">
        <f t="shared" si="123"/>
        <v>140634892.86316052</v>
      </c>
      <c r="P891" s="182">
        <f t="shared" si="123"/>
        <v>6657393.1467910539</v>
      </c>
      <c r="R891" s="189">
        <f t="shared" si="105"/>
        <v>133977.49971636946</v>
      </c>
    </row>
    <row r="892" spans="1:18" ht="14.4">
      <c r="A892" s="215">
        <v>2040</v>
      </c>
      <c r="B892" s="182">
        <f>SUM(B568:B579)</f>
        <v>149622201.72226676</v>
      </c>
      <c r="C892" s="182">
        <f t="shared" ref="C892:P892" si="124">SUM(C568:C579)</f>
        <v>6754369.3915713467</v>
      </c>
      <c r="D892" s="182">
        <f t="shared" si="124"/>
        <v>142867832.33069545</v>
      </c>
      <c r="E892" s="182">
        <f t="shared" si="124"/>
        <v>0</v>
      </c>
      <c r="F892" s="182"/>
      <c r="G892" s="182">
        <f t="shared" si="124"/>
        <v>149622201.72226676</v>
      </c>
      <c r="H892" s="193"/>
      <c r="I892" s="182">
        <f t="shared" si="124"/>
        <v>142867832.33069545</v>
      </c>
      <c r="J892" s="208"/>
      <c r="K892" s="209">
        <f t="shared" si="124"/>
        <v>135787600.38830698</v>
      </c>
      <c r="L892" s="212"/>
      <c r="M892" s="209">
        <f t="shared" si="124"/>
        <v>135787600.38830698</v>
      </c>
      <c r="N892" s="213">
        <f t="shared" si="103"/>
        <v>1.3510482549454306E-2</v>
      </c>
      <c r="O892" s="182">
        <f t="shared" si="124"/>
        <v>142541969.77987832</v>
      </c>
      <c r="P892" s="182">
        <f t="shared" si="124"/>
        <v>6754369.3915713467</v>
      </c>
      <c r="R892" s="189">
        <f t="shared" si="105"/>
        <v>135787.60038830698</v>
      </c>
    </row>
    <row r="893" spans="1:18" ht="14.4">
      <c r="A893" s="215">
        <v>2041</v>
      </c>
      <c r="B893" s="182">
        <f>SUM(B580:B591)</f>
        <v>151299380.48374793</v>
      </c>
      <c r="C893" s="182">
        <f t="shared" ref="C893:P893" si="125">SUM(C580:C591)</f>
        <v>6852764.8147733333</v>
      </c>
      <c r="D893" s="182">
        <f t="shared" si="125"/>
        <v>144446615.66897461</v>
      </c>
      <c r="E893" s="182">
        <f t="shared" si="125"/>
        <v>0</v>
      </c>
      <c r="F893" s="182"/>
      <c r="G893" s="182">
        <f t="shared" si="125"/>
        <v>151299380.48374793</v>
      </c>
      <c r="H893" s="193"/>
      <c r="I893" s="182">
        <f t="shared" si="125"/>
        <v>144446615.66897461</v>
      </c>
      <c r="J893" s="208"/>
      <c r="K893" s="209">
        <f t="shared" si="125"/>
        <v>137287017.0596315</v>
      </c>
      <c r="L893" s="212"/>
      <c r="M893" s="209">
        <f t="shared" si="125"/>
        <v>137287017.0596315</v>
      </c>
      <c r="N893" s="213">
        <f t="shared" si="103"/>
        <v>1.1042368132559099E-2</v>
      </c>
      <c r="O893" s="182">
        <f t="shared" si="125"/>
        <v>144139781.87440485</v>
      </c>
      <c r="P893" s="182">
        <f t="shared" si="125"/>
        <v>6852764.8147733333</v>
      </c>
      <c r="R893" s="189">
        <f t="shared" si="105"/>
        <v>137287.0170596315</v>
      </c>
    </row>
    <row r="894" spans="1:18" ht="14.4">
      <c r="A894" s="215">
        <v>2042</v>
      </c>
      <c r="B894" s="182">
        <f>SUM(B592:B603)</f>
        <v>152979164.54310295</v>
      </c>
      <c r="C894" s="182">
        <f t="shared" ref="C894:P894" si="126">SUM(C592:C603)</f>
        <v>6952600.2680471679</v>
      </c>
      <c r="D894" s="182">
        <f t="shared" si="126"/>
        <v>146026564.2750558</v>
      </c>
      <c r="E894" s="182">
        <f t="shared" si="126"/>
        <v>0</v>
      </c>
      <c r="F894" s="182"/>
      <c r="G894" s="182">
        <f t="shared" si="126"/>
        <v>152979164.54310295</v>
      </c>
      <c r="H894" s="193"/>
      <c r="I894" s="182">
        <f t="shared" si="126"/>
        <v>146026564.2750558</v>
      </c>
      <c r="J894" s="208"/>
      <c r="K894" s="209">
        <f t="shared" si="126"/>
        <v>138787475.77820075</v>
      </c>
      <c r="L894" s="212"/>
      <c r="M894" s="209">
        <f t="shared" si="126"/>
        <v>138787475.77820075</v>
      </c>
      <c r="N894" s="213">
        <f t="shared" si="103"/>
        <v>1.0929356254550493E-2</v>
      </c>
      <c r="O894" s="182">
        <f t="shared" si="126"/>
        <v>145740076.0462479</v>
      </c>
      <c r="P894" s="182">
        <f t="shared" si="126"/>
        <v>6952600.2680471679</v>
      </c>
      <c r="R894" s="189">
        <f t="shared" si="105"/>
        <v>138787.47577820075</v>
      </c>
    </row>
    <row r="895" spans="1:18" ht="14.4">
      <c r="A895" s="215">
        <v>2043</v>
      </c>
      <c r="B895" s="182">
        <f>SUM(B604:B615)</f>
        <v>154661573.90851545</v>
      </c>
      <c r="C895" s="182">
        <f t="shared" ref="C895:P895" si="127">SUM(C604:C615)</f>
        <v>7053896.9104570448</v>
      </c>
      <c r="D895" s="182">
        <f t="shared" si="127"/>
        <v>147607676.99805838</v>
      </c>
      <c r="E895" s="182">
        <f t="shared" si="127"/>
        <v>0</v>
      </c>
      <c r="F895" s="182"/>
      <c r="G895" s="182">
        <f t="shared" si="127"/>
        <v>154661573.90851545</v>
      </c>
      <c r="H895" s="193"/>
      <c r="I895" s="182">
        <f t="shared" si="127"/>
        <v>147607676.99805838</v>
      </c>
      <c r="J895" s="208"/>
      <c r="K895" s="209">
        <f t="shared" si="127"/>
        <v>140288974.44734117</v>
      </c>
      <c r="L895" s="212"/>
      <c r="M895" s="209">
        <f t="shared" si="127"/>
        <v>140288974.44734117</v>
      </c>
      <c r="N895" s="213">
        <f t="shared" si="103"/>
        <v>1.0818689948219884E-2</v>
      </c>
      <c r="O895" s="182">
        <f t="shared" si="127"/>
        <v>147342871.35779816</v>
      </c>
      <c r="P895" s="182">
        <f t="shared" si="127"/>
        <v>7053896.9104570448</v>
      </c>
      <c r="R895" s="189">
        <f t="shared" si="105"/>
        <v>140288.97444734117</v>
      </c>
    </row>
    <row r="896" spans="1:18" ht="14.4">
      <c r="A896" s="215">
        <v>2044</v>
      </c>
      <c r="B896" s="182">
        <f>SUM(B616:B627)</f>
        <v>156346628.87595949</v>
      </c>
      <c r="C896" s="182">
        <f t="shared" ref="C896:P896" si="128">SUM(C616:C627)</f>
        <v>7156676.2130265124</v>
      </c>
      <c r="D896" s="182">
        <f t="shared" si="128"/>
        <v>149189952.66293299</v>
      </c>
      <c r="E896" s="182">
        <f t="shared" si="128"/>
        <v>0</v>
      </c>
      <c r="F896" s="182"/>
      <c r="G896" s="182">
        <f t="shared" si="128"/>
        <v>156346628.87595949</v>
      </c>
      <c r="H896" s="193"/>
      <c r="I896" s="182">
        <f t="shared" si="128"/>
        <v>149189952.66293299</v>
      </c>
      <c r="J896" s="208"/>
      <c r="K896" s="209">
        <f t="shared" si="128"/>
        <v>141791510.93260702</v>
      </c>
      <c r="L896" s="212"/>
      <c r="M896" s="209">
        <f t="shared" si="128"/>
        <v>141791510.93260702</v>
      </c>
      <c r="N896" s="213">
        <f t="shared" si="103"/>
        <v>1.0710296309349943E-2</v>
      </c>
      <c r="O896" s="182">
        <f t="shared" si="128"/>
        <v>148948187.14563352</v>
      </c>
      <c r="P896" s="182">
        <f t="shared" si="128"/>
        <v>7156676.2130265124</v>
      </c>
      <c r="R896" s="189">
        <f t="shared" si="105"/>
        <v>141791.51093260702</v>
      </c>
    </row>
    <row r="897" spans="1:18" ht="14.4">
      <c r="A897" s="215">
        <v>2045</v>
      </c>
      <c r="B897" s="182">
        <f>SUM(B628:B639)</f>
        <v>158034350.03350931</v>
      </c>
      <c r="C897" s="182">
        <f t="shared" ref="C897:P897" si="129">SUM(C628:C639)</f>
        <v>7260959.9633511361</v>
      </c>
      <c r="D897" s="182">
        <f t="shared" si="129"/>
        <v>150773390.07015818</v>
      </c>
      <c r="E897" s="182">
        <f t="shared" si="129"/>
        <v>0</v>
      </c>
      <c r="F897" s="182"/>
      <c r="G897" s="182">
        <f t="shared" si="129"/>
        <v>158034350.03350931</v>
      </c>
      <c r="H897" s="193"/>
      <c r="I897" s="182">
        <f t="shared" si="129"/>
        <v>150773390.07015818</v>
      </c>
      <c r="J897" s="208"/>
      <c r="K897" s="209">
        <f t="shared" si="129"/>
        <v>143295083.06127393</v>
      </c>
      <c r="L897" s="212"/>
      <c r="M897" s="209">
        <f t="shared" si="129"/>
        <v>143295083.06127393</v>
      </c>
      <c r="N897" s="213">
        <f t="shared" si="103"/>
        <v>1.0604105413486664E-2</v>
      </c>
      <c r="O897" s="182">
        <f t="shared" si="129"/>
        <v>150556043.02462506</v>
      </c>
      <c r="P897" s="182">
        <f t="shared" si="129"/>
        <v>7260959.9633511361</v>
      </c>
      <c r="R897" s="189">
        <f t="shared" si="105"/>
        <v>143295.08306127394</v>
      </c>
    </row>
    <row r="898" spans="1:18" ht="14.4">
      <c r="A898" s="215">
        <v>2046</v>
      </c>
      <c r="B898" s="182">
        <f>SUM(B640:B651)</f>
        <v>159724758.26571381</v>
      </c>
      <c r="C898" s="182">
        <f t="shared" ref="C898:P898" si="130">SUM(C640:C651)</f>
        <v>7366770.2702795491</v>
      </c>
      <c r="D898" s="182">
        <f t="shared" si="130"/>
        <v>152357987.99543425</v>
      </c>
      <c r="E898" s="182">
        <f t="shared" si="130"/>
        <v>0</v>
      </c>
      <c r="F898" s="182"/>
      <c r="G898" s="182">
        <f t="shared" si="130"/>
        <v>159724758.26571381</v>
      </c>
      <c r="H898" s="193"/>
      <c r="I898" s="182">
        <f t="shared" si="130"/>
        <v>152357987.99543425</v>
      </c>
      <c r="J898" s="208"/>
      <c r="K898" s="209">
        <f t="shared" si="130"/>
        <v>144799688.62182498</v>
      </c>
      <c r="L898" s="212"/>
      <c r="M898" s="209">
        <f t="shared" si="130"/>
        <v>144799688.62182498</v>
      </c>
      <c r="N898" s="213">
        <f t="shared" si="103"/>
        <v>1.0500050165068497E-2</v>
      </c>
      <c r="O898" s="182">
        <f t="shared" si="130"/>
        <v>152166458.89210454</v>
      </c>
      <c r="P898" s="182">
        <f t="shared" si="130"/>
        <v>7366770.2702795491</v>
      </c>
      <c r="R898" s="189">
        <f t="shared" si="105"/>
        <v>144799.68862182499</v>
      </c>
    </row>
    <row r="899" spans="1:18" ht="14.4">
      <c r="A899" s="215">
        <v>2047</v>
      </c>
      <c r="B899" s="182">
        <f>SUM(B652:B663)</f>
        <v>161417874.75803649</v>
      </c>
      <c r="C899" s="182">
        <f t="shared" ref="C899:P899" si="131">SUM(C652:C663)</f>
        <v>7474129.5686638765</v>
      </c>
      <c r="D899" s="182">
        <f t="shared" si="131"/>
        <v>153943745.18937263</v>
      </c>
      <c r="E899" s="182">
        <f t="shared" si="131"/>
        <v>0</v>
      </c>
      <c r="F899" s="182"/>
      <c r="G899" s="182">
        <f t="shared" si="131"/>
        <v>161417874.75803649</v>
      </c>
      <c r="H899" s="193"/>
      <c r="I899" s="182">
        <f t="shared" si="131"/>
        <v>153943745.18937263</v>
      </c>
      <c r="J899" s="208"/>
      <c r="K899" s="209">
        <f t="shared" si="131"/>
        <v>146305325.36343098</v>
      </c>
      <c r="L899" s="212"/>
      <c r="M899" s="209">
        <f t="shared" si="131"/>
        <v>146305325.36343098</v>
      </c>
      <c r="N899" s="213">
        <f t="shared" si="103"/>
        <v>1.0398066155641317E-2</v>
      </c>
      <c r="O899" s="182">
        <f t="shared" si="131"/>
        <v>153779454.93209487</v>
      </c>
      <c r="P899" s="182">
        <f t="shared" si="131"/>
        <v>7474129.5686638765</v>
      </c>
      <c r="R899" s="189">
        <f t="shared" si="105"/>
        <v>146305.32536343098</v>
      </c>
    </row>
    <row r="900" spans="1:18" ht="14.4">
      <c r="A900" s="215">
        <v>2048</v>
      </c>
      <c r="B900" s="182">
        <f>SUM(B664:B675)</f>
        <v>163113721.00136203</v>
      </c>
      <c r="C900" s="182">
        <f t="shared" ref="C900:P900" si="132">SUM(C664:C675)</f>
        <v>7583060.624180573</v>
      </c>
      <c r="D900" s="182">
        <f t="shared" si="132"/>
        <v>155530660.37718144</v>
      </c>
      <c r="E900" s="182">
        <f t="shared" si="132"/>
        <v>0</v>
      </c>
      <c r="F900" s="182"/>
      <c r="G900" s="182">
        <f t="shared" si="132"/>
        <v>163113721.00136203</v>
      </c>
      <c r="H900" s="193"/>
      <c r="I900" s="182">
        <f t="shared" si="132"/>
        <v>155530660.37718144</v>
      </c>
      <c r="J900" s="208"/>
      <c r="K900" s="209">
        <f t="shared" si="132"/>
        <v>147811990.9954229</v>
      </c>
      <c r="L900" s="212"/>
      <c r="M900" s="209">
        <f t="shared" si="132"/>
        <v>147811990.9954229</v>
      </c>
      <c r="N900" s="213">
        <f t="shared" si="103"/>
        <v>1.029809153049821E-2</v>
      </c>
      <c r="O900" s="182">
        <f t="shared" si="132"/>
        <v>155395051.61960346</v>
      </c>
      <c r="P900" s="182">
        <f t="shared" si="132"/>
        <v>7583060.624180573</v>
      </c>
      <c r="R900" s="189">
        <f t="shared" si="105"/>
        <v>147811.99099542291</v>
      </c>
    </row>
    <row r="901" spans="1:18" ht="14.4">
      <c r="A901" s="215">
        <v>2049</v>
      </c>
      <c r="B901" s="182">
        <f>SUM(B676:B687)</f>
        <v>164812318.79657057</v>
      </c>
      <c r="C901" s="182">
        <f t="shared" ref="C901:P901" si="133">SUM(C676:C687)</f>
        <v>7693586.5382227479</v>
      </c>
      <c r="D901" s="182">
        <f t="shared" si="133"/>
        <v>157118732.25834784</v>
      </c>
      <c r="E901" s="182">
        <f t="shared" si="133"/>
        <v>0</v>
      </c>
      <c r="F901" s="182"/>
      <c r="G901" s="182">
        <f t="shared" si="133"/>
        <v>164812318.79657057</v>
      </c>
      <c r="H901" s="193"/>
      <c r="I901" s="182">
        <f t="shared" si="133"/>
        <v>157118732.25834784</v>
      </c>
      <c r="J901" s="208"/>
      <c r="K901" s="209">
        <f t="shared" si="133"/>
        <v>149319683.18675759</v>
      </c>
      <c r="L901" s="212"/>
      <c r="M901" s="209">
        <f t="shared" si="133"/>
        <v>149319683.18675759</v>
      </c>
      <c r="N901" s="213">
        <f t="shared" si="103"/>
        <v>1.0200066863190971E-2</v>
      </c>
      <c r="O901" s="182">
        <f t="shared" si="133"/>
        <v>157013269.72498035</v>
      </c>
      <c r="P901" s="182">
        <f t="shared" si="133"/>
        <v>7693586.5382227479</v>
      </c>
      <c r="R901" s="189">
        <f t="shared" si="105"/>
        <v>149319.68318675758</v>
      </c>
    </row>
    <row r="902" spans="1:18" ht="14.4">
      <c r="A902" s="215">
        <v>2050</v>
      </c>
      <c r="B902" s="182">
        <f>SUM(B688:B699)</f>
        <v>166513690.25918055</v>
      </c>
      <c r="C902" s="182">
        <f t="shared" ref="C902:P902" si="134">SUM(C688:C699)</f>
        <v>7805730.7528649699</v>
      </c>
      <c r="D902" s="182">
        <f t="shared" si="134"/>
        <v>158707959.50631559</v>
      </c>
      <c r="E902" s="182">
        <f t="shared" si="134"/>
        <v>0</v>
      </c>
      <c r="F902" s="182"/>
      <c r="G902" s="182">
        <f t="shared" si="134"/>
        <v>166513690.25918055</v>
      </c>
      <c r="H902" s="193"/>
      <c r="I902" s="182">
        <f t="shared" si="134"/>
        <v>158707959.50631559</v>
      </c>
      <c r="J902" s="208"/>
      <c r="K902" s="209">
        <f t="shared" si="134"/>
        <v>150828399.56547639</v>
      </c>
      <c r="L902" s="212"/>
      <c r="M902" s="209">
        <f t="shared" si="134"/>
        <v>150828399.56547639</v>
      </c>
      <c r="N902" s="213">
        <f t="shared" si="103"/>
        <v>1.0103935037364176E-2</v>
      </c>
      <c r="O902" s="182">
        <f t="shared" si="134"/>
        <v>158634130.31834137</v>
      </c>
      <c r="P902" s="182">
        <f t="shared" si="134"/>
        <v>7805730.7528649699</v>
      </c>
      <c r="R902" s="189">
        <f t="shared" si="105"/>
        <v>150828.3995654764</v>
      </c>
    </row>
    <row r="903" spans="1:18" ht="14.4">
      <c r="A903" s="215">
        <v>2051</v>
      </c>
      <c r="B903" s="182">
        <f>SUM(B700:B711)</f>
        <v>168217857.82406113</v>
      </c>
      <c r="C903" s="182">
        <f t="shared" ref="C903:P903" si="135">SUM(C700:C711)</f>
        <v>7919517.0559017146</v>
      </c>
      <c r="D903" s="182">
        <f t="shared" si="135"/>
        <v>160298340.76815939</v>
      </c>
      <c r="E903" s="182">
        <f t="shared" si="135"/>
        <v>0</v>
      </c>
      <c r="F903" s="182"/>
      <c r="G903" s="182">
        <f t="shared" si="135"/>
        <v>168217857.82406113</v>
      </c>
      <c r="H903" s="193"/>
      <c r="I903" s="182">
        <f t="shared" si="135"/>
        <v>160298340.76815939</v>
      </c>
      <c r="J903" s="208"/>
      <c r="K903" s="209">
        <f t="shared" si="135"/>
        <v>152338137.7181564</v>
      </c>
      <c r="L903" s="212"/>
      <c r="M903" s="209">
        <f t="shared" si="135"/>
        <v>152338137.7181564</v>
      </c>
      <c r="N903" s="213">
        <f t="shared" si="103"/>
        <v>1.0009641135419134E-2</v>
      </c>
      <c r="O903" s="182">
        <f t="shared" si="135"/>
        <v>160257654.77405816</v>
      </c>
      <c r="P903" s="182">
        <f t="shared" si="135"/>
        <v>7919517.0559017146</v>
      </c>
      <c r="R903" s="189">
        <f t="shared" si="105"/>
        <v>152338.13771815639</v>
      </c>
    </row>
    <row r="904" spans="1:18" ht="14.4">
      <c r="A904" s="215">
        <v>2052</v>
      </c>
      <c r="B904" s="182">
        <f>SUM(B712:B723)</f>
        <v>169924844.25021517</v>
      </c>
      <c r="C904" s="182">
        <f t="shared" ref="C904:P904" si="136">SUM(C712:C723)</f>
        <v>8034969.5859604822</v>
      </c>
      <c r="D904" s="182">
        <f t="shared" si="136"/>
        <v>161889874.6642547</v>
      </c>
      <c r="E904" s="182">
        <f t="shared" si="136"/>
        <v>0</v>
      </c>
      <c r="F904" s="182"/>
      <c r="G904" s="182">
        <f t="shared" si="136"/>
        <v>169924844.25021517</v>
      </c>
      <c r="H904" s="193"/>
      <c r="I904" s="182">
        <f t="shared" si="136"/>
        <v>161889874.6642547</v>
      </c>
      <c r="J904" s="208"/>
      <c r="K904" s="209">
        <f t="shared" si="136"/>
        <v>153848895.18935436</v>
      </c>
      <c r="L904" s="212"/>
      <c r="M904" s="209">
        <f t="shared" si="136"/>
        <v>153848895.18935436</v>
      </c>
      <c r="N904" s="213">
        <f t="shared" si="103"/>
        <v>9.9171323335529582E-3</v>
      </c>
      <c r="O904" s="182">
        <f t="shared" si="136"/>
        <v>161883864.77531484</v>
      </c>
      <c r="P904" s="182">
        <f t="shared" si="136"/>
        <v>8034969.5859604822</v>
      </c>
      <c r="R904" s="189">
        <f t="shared" si="105"/>
        <v>153848.89518935437</v>
      </c>
    </row>
    <row r="905" spans="1:18" ht="14.4">
      <c r="A905" s="215">
        <v>2053</v>
      </c>
      <c r="B905" s="182">
        <f>SUM(B724:B735)</f>
        <v>171634672.62563446</v>
      </c>
      <c r="C905" s="182">
        <f t="shared" ref="C905:P905" si="137">SUM(C724:C735)</f>
        <v>8152112.8376907185</v>
      </c>
      <c r="D905" s="182">
        <f t="shared" si="137"/>
        <v>163482559.78794375</v>
      </c>
      <c r="E905" s="182">
        <f t="shared" si="137"/>
        <v>0</v>
      </c>
      <c r="F905" s="182"/>
      <c r="G905" s="182">
        <f t="shared" si="137"/>
        <v>171634672.62563446</v>
      </c>
      <c r="H905" s="193"/>
      <c r="I905" s="182">
        <f t="shared" si="137"/>
        <v>163482559.78794375</v>
      </c>
      <c r="J905" s="208"/>
      <c r="K905" s="209">
        <f t="shared" si="137"/>
        <v>155360669.48104316</v>
      </c>
      <c r="L905" s="212"/>
      <c r="M905" s="209">
        <f t="shared" si="137"/>
        <v>155360669.48104316</v>
      </c>
      <c r="N905" s="213">
        <f t="shared" si="103"/>
        <v>9.8263578027526499E-3</v>
      </c>
      <c r="O905" s="182">
        <f t="shared" si="137"/>
        <v>163512782.31873384</v>
      </c>
      <c r="P905" s="182">
        <f t="shared" si="137"/>
        <v>8152112.8376907185</v>
      </c>
      <c r="R905" s="189">
        <f t="shared" si="105"/>
        <v>155360.66948104315</v>
      </c>
    </row>
    <row r="906" spans="1:18">
      <c r="A906" s="215">
        <v>2054</v>
      </c>
      <c r="B906" s="182"/>
    </row>
    <row r="907" spans="1:18">
      <c r="A907" s="215">
        <v>2055</v>
      </c>
      <c r="B907" s="182"/>
    </row>
    <row r="908" spans="1:18">
      <c r="A908" s="215">
        <v>2056</v>
      </c>
      <c r="B908" s="182"/>
    </row>
    <row r="909" spans="1:18">
      <c r="A909" s="215">
        <v>2057</v>
      </c>
      <c r="B909" s="182"/>
    </row>
    <row r="910" spans="1:18">
      <c r="A910" s="215">
        <v>2058</v>
      </c>
      <c r="B910" s="182"/>
    </row>
    <row r="911" spans="1:18">
      <c r="A911" s="215">
        <v>2059</v>
      </c>
      <c r="B911" s="182"/>
    </row>
    <row r="912" spans="1:18">
      <c r="A912" s="215">
        <v>2060</v>
      </c>
    </row>
    <row r="913" spans="1:1">
      <c r="A913" s="215">
        <v>2061</v>
      </c>
    </row>
    <row r="914" spans="1:1">
      <c r="A914" s="215">
        <v>2062</v>
      </c>
    </row>
    <row r="915" spans="1:1">
      <c r="A915" s="215">
        <v>2063</v>
      </c>
    </row>
  </sheetData>
  <conditionalFormatting sqref="F15:F855">
    <cfRule type="top10" dxfId="2" priority="2" percent="1" rank="10"/>
    <cfRule type="top10" dxfId="1" priority="3" percent="1" bottom="1" rank="10"/>
  </conditionalFormatting>
  <conditionalFormatting sqref="Y159:Y267">
    <cfRule type="cellIs" dxfId="0" priority="1" operator="greaterThan">
      <formula>0</formula>
    </cfRule>
  </conditionalFormatting>
  <pageMargins left="0.75" right="0.5" top="0.75" bottom="0.75" header="0.5" footer="0.5"/>
  <pageSetup scale="10" orientation="portrait" r:id="rId1"/>
  <headerFooter alignWithMargins="0"/>
  <picture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I20"/>
  <sheetViews>
    <sheetView workbookViewId="0">
      <selection activeCell="B2" sqref="B1:B2"/>
    </sheetView>
  </sheetViews>
  <sheetFormatPr defaultRowHeight="14.4"/>
  <cols>
    <col min="3" max="3" width="14.33203125" bestFit="1" customWidth="1"/>
    <col min="4" max="4" width="14.5546875" customWidth="1"/>
    <col min="7" max="7" width="14.109375" customWidth="1"/>
    <col min="8" max="8" width="16.109375" customWidth="1"/>
  </cols>
  <sheetData>
    <row r="1" spans="2:9" s="418" customFormat="1">
      <c r="B1" s="453" t="s">
        <v>312</v>
      </c>
    </row>
    <row r="2" spans="2:9" s="418" customFormat="1">
      <c r="B2" s="453" t="s">
        <v>290</v>
      </c>
    </row>
    <row r="4" spans="2:9">
      <c r="B4" s="220">
        <v>42005</v>
      </c>
      <c r="C4" s="219">
        <v>7810522.8243425768</v>
      </c>
      <c r="D4" s="1">
        <v>7810522.8243425768</v>
      </c>
      <c r="E4" s="2">
        <f>D4/C4-1</f>
        <v>0</v>
      </c>
      <c r="G4" s="221">
        <f>C4</f>
        <v>7810522.8243425768</v>
      </c>
      <c r="H4" s="221">
        <f>D4</f>
        <v>7810522.8243425768</v>
      </c>
    </row>
    <row r="5" spans="2:9">
      <c r="B5" s="220">
        <v>42036</v>
      </c>
      <c r="C5" s="219">
        <v>6882924.5583732324</v>
      </c>
      <c r="D5" s="1">
        <v>6882924.5583732324</v>
      </c>
      <c r="E5" s="2">
        <f t="shared" ref="E5:E15" si="0">D5/C5-1</f>
        <v>0</v>
      </c>
      <c r="G5" s="221">
        <f t="shared" ref="G5:H15" si="1">C5</f>
        <v>6882924.5583732324</v>
      </c>
      <c r="H5" s="221">
        <f t="shared" si="1"/>
        <v>6882924.5583732324</v>
      </c>
    </row>
    <row r="6" spans="2:9">
      <c r="B6" s="220">
        <v>42064</v>
      </c>
      <c r="C6" s="219">
        <v>7782505.3322780812</v>
      </c>
      <c r="D6" s="1">
        <v>7782505.3322780812</v>
      </c>
      <c r="E6" s="2">
        <f t="shared" si="0"/>
        <v>0</v>
      </c>
      <c r="G6" s="221">
        <f t="shared" si="1"/>
        <v>7782505.3322780812</v>
      </c>
      <c r="H6" s="221">
        <f t="shared" si="1"/>
        <v>7782505.3322780812</v>
      </c>
    </row>
    <row r="7" spans="2:9">
      <c r="B7" s="220">
        <v>42095</v>
      </c>
      <c r="C7" s="219">
        <v>8023206.6113212341</v>
      </c>
      <c r="D7" s="1">
        <v>8023206.6113212341</v>
      </c>
      <c r="E7" s="2">
        <f t="shared" si="0"/>
        <v>0</v>
      </c>
      <c r="G7" s="221">
        <f t="shared" si="1"/>
        <v>8023206.6113212341</v>
      </c>
      <c r="H7" s="221">
        <f t="shared" si="1"/>
        <v>8023206.6113212341</v>
      </c>
    </row>
    <row r="8" spans="2:9">
      <c r="B8" s="220">
        <v>42125</v>
      </c>
      <c r="C8" s="219">
        <v>9314253.7221317366</v>
      </c>
      <c r="D8" s="1">
        <v>9314253.7221317366</v>
      </c>
      <c r="E8" s="2">
        <f t="shared" si="0"/>
        <v>0</v>
      </c>
      <c r="G8" s="221">
        <f t="shared" si="1"/>
        <v>9314253.7221317366</v>
      </c>
      <c r="H8" s="221">
        <f t="shared" si="1"/>
        <v>9314253.7221317366</v>
      </c>
    </row>
    <row r="9" spans="2:9">
      <c r="B9" s="220">
        <v>42156</v>
      </c>
      <c r="C9" s="219">
        <v>9919683.7710102182</v>
      </c>
      <c r="D9" s="1">
        <v>9919683.7710102182</v>
      </c>
      <c r="E9" s="2">
        <f t="shared" si="0"/>
        <v>0</v>
      </c>
      <c r="G9" s="221">
        <f t="shared" si="1"/>
        <v>9919683.7710102182</v>
      </c>
      <c r="H9" s="221">
        <f t="shared" si="1"/>
        <v>9919683.7710102182</v>
      </c>
    </row>
    <row r="10" spans="2:9">
      <c r="B10" s="220">
        <v>42186</v>
      </c>
      <c r="C10" s="219">
        <v>10525011.84827715</v>
      </c>
      <c r="D10" s="1">
        <v>10525011.84827715</v>
      </c>
      <c r="E10" s="2">
        <f t="shared" si="0"/>
        <v>0</v>
      </c>
      <c r="G10" s="221">
        <f t="shared" si="1"/>
        <v>10525011.84827715</v>
      </c>
      <c r="H10" s="221">
        <f t="shared" si="1"/>
        <v>10525011.84827715</v>
      </c>
    </row>
    <row r="11" spans="2:9">
      <c r="B11" s="220">
        <v>42217</v>
      </c>
      <c r="C11" s="219">
        <v>10677489.456405235</v>
      </c>
      <c r="D11" s="1">
        <v>10623561.601701204</v>
      </c>
      <c r="E11" s="2">
        <f t="shared" si="0"/>
        <v>-5.050611843187669E-3</v>
      </c>
      <c r="G11" s="221">
        <f t="shared" si="1"/>
        <v>10677489.456405235</v>
      </c>
      <c r="H11" s="221">
        <f t="shared" si="1"/>
        <v>10623561.601701204</v>
      </c>
    </row>
    <row r="12" spans="2:9">
      <c r="B12" s="220">
        <v>42248</v>
      </c>
      <c r="C12" s="219">
        <v>9813478.3436242305</v>
      </c>
      <c r="D12" s="1">
        <v>10127512.937170416</v>
      </c>
      <c r="E12" s="2">
        <f t="shared" si="0"/>
        <v>3.2000334901662209E-2</v>
      </c>
      <c r="G12" s="221">
        <f t="shared" si="1"/>
        <v>9813478.3436242305</v>
      </c>
      <c r="H12" s="221">
        <f t="shared" si="1"/>
        <v>10127512.937170416</v>
      </c>
    </row>
    <row r="13" spans="2:9">
      <c r="B13" s="220">
        <v>42278</v>
      </c>
      <c r="C13" s="219">
        <v>9197322.4285161402</v>
      </c>
      <c r="D13" s="1">
        <v>9337236.8027550541</v>
      </c>
      <c r="E13" s="2">
        <f t="shared" si="0"/>
        <v>1.52125116115438E-2</v>
      </c>
      <c r="G13" s="221">
        <f t="shared" si="1"/>
        <v>9197322.4285161402</v>
      </c>
      <c r="H13" s="221">
        <f t="shared" si="1"/>
        <v>9337236.8027550541</v>
      </c>
    </row>
    <row r="14" spans="2:9">
      <c r="B14" s="220">
        <v>42309</v>
      </c>
      <c r="C14" s="219">
        <v>7682683.1313840365</v>
      </c>
      <c r="D14" s="1">
        <v>7615971.5568351345</v>
      </c>
      <c r="E14" s="2">
        <f t="shared" si="0"/>
        <v>-8.6833692614995961E-3</v>
      </c>
      <c r="G14" s="221">
        <f t="shared" si="1"/>
        <v>7682683.1313840365</v>
      </c>
      <c r="H14" s="221">
        <f>D14*1.015</f>
        <v>7730211.1301876605</v>
      </c>
    </row>
    <row r="15" spans="2:9">
      <c r="B15" s="220">
        <v>42339</v>
      </c>
      <c r="C15" s="219">
        <v>7873640.6823298568</v>
      </c>
      <c r="D15" s="1">
        <v>7741663.3217608323</v>
      </c>
      <c r="E15" s="2">
        <f t="shared" si="0"/>
        <v>-1.6761923218722719E-2</v>
      </c>
      <c r="G15" s="221">
        <f t="shared" si="1"/>
        <v>7873640.6823298568</v>
      </c>
      <c r="H15" s="221">
        <f>D15*1.015</f>
        <v>7857788.2715872442</v>
      </c>
    </row>
    <row r="16" spans="2:9">
      <c r="C16" s="221">
        <f>SUM(C4:C15)</f>
        <v>105502722.70999373</v>
      </c>
      <c r="D16" s="221">
        <f>SUM(D4:D15)</f>
        <v>105704054.88795687</v>
      </c>
      <c r="H16" s="221">
        <f>SUM(H4:H15)</f>
        <v>105934419.41113581</v>
      </c>
      <c r="I16" s="2">
        <f>H16/D16-1</f>
        <v>2.179334779759623E-3</v>
      </c>
    </row>
    <row r="20" spans="8:8">
      <c r="H20" s="1">
        <f>summary!M20</f>
        <v>104849039.96203335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P93"/>
  <sheetViews>
    <sheetView zoomScale="80" zoomScaleNormal="80" zoomScaleSheetLayoutView="70" workbookViewId="0">
      <selection activeCell="B2" sqref="B1:B2"/>
    </sheetView>
  </sheetViews>
  <sheetFormatPr defaultColWidth="9.109375" defaultRowHeight="13.2"/>
  <cols>
    <col min="1" max="1" width="9.109375" style="321"/>
    <col min="2" max="2" width="17.6640625" style="321" customWidth="1"/>
    <col min="3" max="3" width="9.109375" style="321"/>
    <col min="4" max="4" width="10.5546875" style="321" bestFit="1" customWidth="1"/>
    <col min="5" max="5" width="12.33203125" style="321" customWidth="1"/>
    <col min="6" max="7" width="9.33203125" style="321" bestFit="1" customWidth="1"/>
    <col min="8" max="8" width="11.88671875" style="321" customWidth="1"/>
    <col min="9" max="9" width="11" style="321" customWidth="1"/>
    <col min="10" max="14" width="9.109375" style="321"/>
    <col min="15" max="15" width="10.109375" style="321" bestFit="1" customWidth="1"/>
    <col min="16" max="16384" width="9.109375" style="321"/>
  </cols>
  <sheetData>
    <row r="1" spans="1:9" ht="14.4">
      <c r="B1" s="453" t="s">
        <v>313</v>
      </c>
    </row>
    <row r="2" spans="1:9" ht="14.4">
      <c r="B2" s="453" t="s">
        <v>290</v>
      </c>
    </row>
    <row r="4" spans="1:9" ht="16.8" customHeight="1">
      <c r="A4" s="450" t="s">
        <v>268</v>
      </c>
      <c r="B4" s="451"/>
      <c r="C4" s="451"/>
      <c r="D4" s="451"/>
      <c r="E4" s="451"/>
      <c r="F4" s="451"/>
      <c r="G4" s="451"/>
      <c r="H4" s="451"/>
      <c r="I4" s="451"/>
    </row>
    <row r="5" spans="1:9">
      <c r="B5" s="322"/>
      <c r="C5" s="322"/>
      <c r="D5" s="322"/>
      <c r="E5" s="322"/>
      <c r="F5" s="322"/>
      <c r="G5" s="322"/>
      <c r="H5" s="322"/>
    </row>
    <row r="6" spans="1:9">
      <c r="B6" s="452" t="s">
        <v>29</v>
      </c>
      <c r="C6" s="452"/>
      <c r="D6" s="452"/>
      <c r="E6" s="452"/>
      <c r="F6" s="452"/>
      <c r="G6" s="452"/>
      <c r="H6" s="452"/>
    </row>
    <row r="8" spans="1:9">
      <c r="B8" s="323" t="s">
        <v>30</v>
      </c>
      <c r="C8" s="324"/>
      <c r="D8" s="324"/>
      <c r="E8" s="324"/>
      <c r="F8" s="325">
        <f>AVERAGE(F19:F54)</f>
        <v>298647.41484785336</v>
      </c>
      <c r="G8" s="326">
        <f>(D54/D19)^(1/35)-1</f>
        <v>2.0698506165083508E-2</v>
      </c>
    </row>
    <row r="9" spans="1:9">
      <c r="F9" s="327"/>
      <c r="G9" s="327"/>
    </row>
    <row r="10" spans="1:9">
      <c r="B10" s="328" t="s">
        <v>31</v>
      </c>
      <c r="C10" s="324"/>
      <c r="D10" s="324"/>
      <c r="E10" s="324"/>
      <c r="F10" s="325">
        <f>AVERAGE(F29:F54)</f>
        <v>289772.30312699848</v>
      </c>
      <c r="G10" s="326">
        <f>(D54/D29)^(1/25)-1</f>
        <v>1.7647230713571771E-2</v>
      </c>
    </row>
    <row r="11" spans="1:9">
      <c r="B11" s="329"/>
      <c r="F11" s="327"/>
      <c r="G11" s="327"/>
    </row>
    <row r="12" spans="1:9">
      <c r="B12" s="330" t="s">
        <v>32</v>
      </c>
      <c r="F12" s="331">
        <f>AVERAGE(C60:C68)</f>
        <v>274555.5783758217</v>
      </c>
      <c r="G12" s="332">
        <f>(B68/B59:B59)^(1/9)-1</f>
        <v>1.2959195729786099E-2</v>
      </c>
    </row>
    <row r="13" spans="1:9">
      <c r="B13" s="330" t="s">
        <v>33</v>
      </c>
      <c r="F13" s="331">
        <f>AVERAGE(F60:F68)</f>
        <v>295491.92764438357</v>
      </c>
      <c r="G13" s="332">
        <f>(E68/E59)^(1/9)-1</f>
        <v>1.3646571062149393E-2</v>
      </c>
      <c r="I13" s="333"/>
    </row>
    <row r="15" spans="1:9">
      <c r="B15" s="451" t="s">
        <v>34</v>
      </c>
      <c r="C15" s="451"/>
      <c r="D15" s="451"/>
      <c r="E15" s="451"/>
      <c r="F15" s="451"/>
      <c r="G15" s="451"/>
      <c r="H15" s="451"/>
    </row>
    <row r="16" spans="1:9">
      <c r="A16" s="334"/>
      <c r="B16" s="335"/>
      <c r="C16" s="335"/>
      <c r="D16" s="336"/>
      <c r="E16" s="336"/>
      <c r="F16" s="336"/>
      <c r="G16" s="336"/>
      <c r="H16" s="336"/>
    </row>
    <row r="17" spans="2:15">
      <c r="D17" s="327"/>
      <c r="F17" s="335" t="s">
        <v>35</v>
      </c>
      <c r="G17" s="335"/>
      <c r="H17" s="335"/>
    </row>
    <row r="18" spans="2:15">
      <c r="C18" s="327"/>
      <c r="D18" s="337"/>
      <c r="E18" s="338"/>
      <c r="F18" s="339" t="s">
        <v>36</v>
      </c>
      <c r="G18" s="324"/>
      <c r="H18" s="340" t="s">
        <v>37</v>
      </c>
      <c r="I18" s="341"/>
    </row>
    <row r="19" spans="2:15">
      <c r="B19" s="327">
        <v>1980</v>
      </c>
      <c r="D19" s="342">
        <v>9865588.442341052</v>
      </c>
      <c r="E19" s="338"/>
      <c r="F19" s="325">
        <f>D19-9457225</f>
        <v>408363.442341052</v>
      </c>
      <c r="G19" s="324"/>
      <c r="H19" s="326">
        <f>(D19/9457225)-1</f>
        <v>4.3180049363428674E-2</v>
      </c>
      <c r="I19" s="343"/>
      <c r="N19" s="344"/>
      <c r="O19" s="342"/>
    </row>
    <row r="20" spans="2:15">
      <c r="B20" s="327">
        <v>1981</v>
      </c>
      <c r="D20" s="342">
        <v>10205657.726047793</v>
      </c>
      <c r="E20" s="338"/>
      <c r="F20" s="325">
        <f>+D20-D19</f>
        <v>340069.28370674141</v>
      </c>
      <c r="G20" s="324"/>
      <c r="H20" s="326">
        <f>(D20/D19)-1</f>
        <v>3.4470248348008825E-2</v>
      </c>
      <c r="I20" s="343"/>
      <c r="N20" s="344"/>
      <c r="O20" s="342"/>
    </row>
    <row r="21" spans="2:15">
      <c r="B21" s="327">
        <v>1982</v>
      </c>
      <c r="D21" s="342">
        <v>10493831.019667393</v>
      </c>
      <c r="E21" s="338"/>
      <c r="F21" s="325">
        <f t="shared" ref="F21:F51" si="0">+D21-D20</f>
        <v>288173.29361959919</v>
      </c>
      <c r="G21" s="324"/>
      <c r="H21" s="326">
        <f t="shared" ref="H21:H51" si="1">(D21/D20)-1</f>
        <v>2.8236621426573683E-2</v>
      </c>
      <c r="I21" s="343"/>
      <c r="N21" s="344"/>
      <c r="O21" s="342"/>
    </row>
    <row r="22" spans="2:15">
      <c r="B22" s="327">
        <v>1983</v>
      </c>
      <c r="D22" s="342">
        <v>10774151.295002569</v>
      </c>
      <c r="E22" s="338"/>
      <c r="F22" s="325">
        <f t="shared" si="0"/>
        <v>280320.27533517592</v>
      </c>
      <c r="G22" s="324"/>
      <c r="H22" s="326">
        <f t="shared" si="1"/>
        <v>2.6712863472815984E-2</v>
      </c>
      <c r="I22" s="343"/>
      <c r="N22" s="344"/>
      <c r="O22" s="342"/>
    </row>
    <row r="23" spans="2:15">
      <c r="B23" s="327">
        <v>1984</v>
      </c>
      <c r="D23" s="342">
        <v>11067367.761370424</v>
      </c>
      <c r="E23" s="338"/>
      <c r="F23" s="325">
        <f t="shared" si="0"/>
        <v>293216.46636785567</v>
      </c>
      <c r="G23" s="324"/>
      <c r="H23" s="326">
        <f t="shared" si="1"/>
        <v>2.7214808697169524E-2</v>
      </c>
      <c r="I23" s="343"/>
      <c r="N23" s="344"/>
      <c r="O23" s="342"/>
    </row>
    <row r="24" spans="2:15">
      <c r="B24" s="327">
        <v>1985</v>
      </c>
      <c r="D24" s="342">
        <v>11376750.34696055</v>
      </c>
      <c r="E24" s="338"/>
      <c r="F24" s="325">
        <f t="shared" si="0"/>
        <v>309382.58559012599</v>
      </c>
      <c r="G24" s="324"/>
      <c r="H24" s="326">
        <f t="shared" si="1"/>
        <v>2.7954486763329234E-2</v>
      </c>
      <c r="I24" s="343"/>
      <c r="N24" s="344"/>
      <c r="O24" s="342"/>
    </row>
    <row r="25" spans="2:15">
      <c r="B25" s="327">
        <v>1986</v>
      </c>
      <c r="D25" s="342">
        <v>11695182.011258701</v>
      </c>
      <c r="E25" s="338"/>
      <c r="F25" s="325">
        <f t="shared" si="0"/>
        <v>318431.66429815069</v>
      </c>
      <c r="G25" s="324"/>
      <c r="H25" s="326">
        <f t="shared" si="1"/>
        <v>2.7989685506566886E-2</v>
      </c>
      <c r="I25" s="343"/>
      <c r="N25" s="344"/>
      <c r="O25" s="342"/>
    </row>
    <row r="26" spans="2:15">
      <c r="B26" s="327">
        <v>1987</v>
      </c>
      <c r="D26" s="342">
        <v>12019128.653086932</v>
      </c>
      <c r="E26" s="338"/>
      <c r="F26" s="325">
        <f t="shared" si="0"/>
        <v>323946.64182823151</v>
      </c>
      <c r="G26" s="324"/>
      <c r="H26" s="326">
        <f t="shared" si="1"/>
        <v>2.7699153507519059E-2</v>
      </c>
      <c r="I26" s="343"/>
      <c r="N26" s="344"/>
      <c r="O26" s="342"/>
    </row>
    <row r="27" spans="2:15">
      <c r="B27" s="327">
        <v>1988</v>
      </c>
      <c r="D27" s="342">
        <v>12335893.087534234</v>
      </c>
      <c r="E27" s="338"/>
      <c r="F27" s="325">
        <f t="shared" si="0"/>
        <v>316764.43444730155</v>
      </c>
      <c r="G27" s="324"/>
      <c r="H27" s="326">
        <f t="shared" si="1"/>
        <v>2.6355024859971543E-2</v>
      </c>
      <c r="I27" s="343"/>
      <c r="N27" s="344"/>
      <c r="O27" s="342"/>
    </row>
    <row r="28" spans="2:15">
      <c r="B28" s="327">
        <v>1989</v>
      </c>
      <c r="D28" s="342">
        <v>12674452.053220762</v>
      </c>
      <c r="E28" s="324"/>
      <c r="F28" s="325">
        <f t="shared" si="0"/>
        <v>338558.96568652801</v>
      </c>
      <c r="G28" s="324"/>
      <c r="H28" s="326">
        <f t="shared" si="1"/>
        <v>2.7445030796242165E-2</v>
      </c>
      <c r="I28" s="343"/>
      <c r="N28" s="344"/>
      <c r="O28" s="342"/>
    </row>
    <row r="29" spans="2:15">
      <c r="B29" s="327">
        <v>1990</v>
      </c>
      <c r="D29" s="342">
        <v>13049785.923558632</v>
      </c>
      <c r="E29" s="324"/>
      <c r="F29" s="325">
        <f t="shared" si="0"/>
        <v>375333.87033786997</v>
      </c>
      <c r="G29" s="324"/>
      <c r="H29" s="326">
        <f t="shared" si="1"/>
        <v>2.961341987502264E-2</v>
      </c>
      <c r="I29" s="343"/>
      <c r="N29" s="344"/>
      <c r="O29" s="342"/>
    </row>
    <row r="30" spans="2:15">
      <c r="B30" s="327">
        <v>1991</v>
      </c>
      <c r="D30" s="342">
        <v>13382304.092750674</v>
      </c>
      <c r="E30" s="324"/>
      <c r="F30" s="325">
        <f t="shared" si="0"/>
        <v>332518.1691920422</v>
      </c>
      <c r="G30" s="324"/>
      <c r="H30" s="326">
        <f t="shared" si="1"/>
        <v>2.5480737472616477E-2</v>
      </c>
      <c r="I30" s="343"/>
      <c r="N30" s="344"/>
      <c r="O30" s="342"/>
    </row>
    <row r="31" spans="2:15">
      <c r="B31" s="327">
        <v>1992</v>
      </c>
      <c r="D31" s="342">
        <v>13672615.051105028</v>
      </c>
      <c r="E31" s="324"/>
      <c r="F31" s="325">
        <f t="shared" si="0"/>
        <v>290310.9583543539</v>
      </c>
      <c r="G31" s="324"/>
      <c r="H31" s="326">
        <f t="shared" si="1"/>
        <v>2.1693645305192133E-2</v>
      </c>
      <c r="I31" s="343"/>
      <c r="N31" s="344"/>
      <c r="O31" s="342"/>
    </row>
    <row r="32" spans="2:15">
      <c r="B32" s="327">
        <v>1993</v>
      </c>
      <c r="D32" s="342">
        <v>13958617.241941659</v>
      </c>
      <c r="E32" s="324"/>
      <c r="F32" s="325">
        <f t="shared" si="0"/>
        <v>286002.19083663076</v>
      </c>
      <c r="G32" s="324"/>
      <c r="H32" s="326">
        <f t="shared" si="1"/>
        <v>2.0917885113244328E-2</v>
      </c>
      <c r="I32" s="343"/>
      <c r="N32" s="344"/>
      <c r="O32" s="342"/>
    </row>
    <row r="33" spans="2:16">
      <c r="B33" s="327">
        <v>1994</v>
      </c>
      <c r="D33" s="342">
        <v>14262054.872502541</v>
      </c>
      <c r="E33" s="324"/>
      <c r="F33" s="325">
        <f t="shared" si="0"/>
        <v>303437.63056088239</v>
      </c>
      <c r="G33" s="324"/>
      <c r="H33" s="326">
        <f t="shared" si="1"/>
        <v>2.1738373171315217E-2</v>
      </c>
      <c r="I33" s="343"/>
      <c r="N33" s="344"/>
      <c r="O33" s="342"/>
    </row>
    <row r="34" spans="2:16">
      <c r="B34" s="327">
        <v>1995</v>
      </c>
      <c r="D34" s="342">
        <v>14566837.748975718</v>
      </c>
      <c r="E34" s="324"/>
      <c r="F34" s="325">
        <f t="shared" si="0"/>
        <v>304782.87647317722</v>
      </c>
      <c r="G34" s="324"/>
      <c r="H34" s="326">
        <f t="shared" si="1"/>
        <v>2.1370193790293479E-2</v>
      </c>
      <c r="I34" s="343"/>
      <c r="N34" s="344"/>
      <c r="O34" s="342"/>
    </row>
    <row r="35" spans="2:16">
      <c r="B35" s="327">
        <v>1996</v>
      </c>
      <c r="D35" s="342">
        <v>14883120.113101294</v>
      </c>
      <c r="E35" s="324"/>
      <c r="F35" s="325">
        <f t="shared" si="0"/>
        <v>316282.36412557587</v>
      </c>
      <c r="G35" s="324"/>
      <c r="H35" s="326">
        <f t="shared" si="1"/>
        <v>2.171249310083212E-2</v>
      </c>
      <c r="I35" s="343"/>
      <c r="N35" s="344"/>
      <c r="O35" s="342"/>
    </row>
    <row r="36" spans="2:16">
      <c r="B36" s="327">
        <v>1997</v>
      </c>
      <c r="D36" s="342">
        <v>15204751.37982443</v>
      </c>
      <c r="E36" s="324"/>
      <c r="F36" s="325">
        <f t="shared" si="0"/>
        <v>321631.26672313549</v>
      </c>
      <c r="G36" s="324"/>
      <c r="H36" s="326">
        <f t="shared" si="1"/>
        <v>2.1610473091593807E-2</v>
      </c>
      <c r="I36" s="343"/>
      <c r="N36" s="344"/>
      <c r="O36" s="342"/>
    </row>
    <row r="37" spans="2:16">
      <c r="B37" s="327">
        <v>1998</v>
      </c>
      <c r="D37" s="342">
        <v>15504319.282613039</v>
      </c>
      <c r="E37" s="324"/>
      <c r="F37" s="325">
        <f t="shared" si="0"/>
        <v>299567.90278860927</v>
      </c>
      <c r="G37" s="324"/>
      <c r="H37" s="326">
        <f t="shared" si="1"/>
        <v>1.9702255913642386E-2</v>
      </c>
      <c r="I37" s="343"/>
      <c r="N37" s="344"/>
      <c r="O37" s="342"/>
    </row>
    <row r="38" spans="2:16">
      <c r="B38" s="327">
        <v>1999</v>
      </c>
      <c r="D38" s="342">
        <v>15787590.070392355</v>
      </c>
      <c r="E38" s="324"/>
      <c r="F38" s="325">
        <f t="shared" si="0"/>
        <v>283270.78777931631</v>
      </c>
      <c r="G38" s="324"/>
      <c r="H38" s="326">
        <f t="shared" si="1"/>
        <v>1.8270443391667168E-2</v>
      </c>
      <c r="I38" s="343"/>
      <c r="N38" s="344"/>
      <c r="O38" s="342"/>
    </row>
    <row r="39" spans="2:16">
      <c r="B39" s="327">
        <v>2000</v>
      </c>
      <c r="D39" s="342">
        <v>16078890.494282061</v>
      </c>
      <c r="E39" s="324"/>
      <c r="F39" s="325">
        <f t="shared" si="0"/>
        <v>291300.42388970591</v>
      </c>
      <c r="G39" s="324"/>
      <c r="H39" s="326">
        <f t="shared" si="1"/>
        <v>1.845122799558907E-2</v>
      </c>
      <c r="I39" s="343"/>
      <c r="N39" s="344"/>
      <c r="O39" s="342"/>
    </row>
    <row r="40" spans="2:16">
      <c r="B40" s="327">
        <v>2001</v>
      </c>
      <c r="D40" s="342">
        <v>16388303.35713686</v>
      </c>
      <c r="E40" s="324"/>
      <c r="F40" s="325">
        <f t="shared" si="0"/>
        <v>309412.86285479926</v>
      </c>
      <c r="G40" s="324"/>
      <c r="H40" s="326">
        <f t="shared" si="1"/>
        <v>1.924342124009315E-2</v>
      </c>
      <c r="I40" s="343"/>
      <c r="N40" s="344"/>
      <c r="O40" s="342"/>
    </row>
    <row r="41" spans="2:16">
      <c r="B41" s="327">
        <v>2002</v>
      </c>
      <c r="D41" s="342">
        <v>16714101.643436439</v>
      </c>
      <c r="E41" s="324"/>
      <c r="F41" s="325">
        <f t="shared" si="0"/>
        <v>325798.28629957885</v>
      </c>
      <c r="G41" s="324"/>
      <c r="H41" s="326">
        <f t="shared" si="1"/>
        <v>1.9879927726484281E-2</v>
      </c>
      <c r="I41" s="343"/>
      <c r="N41" s="344"/>
      <c r="O41" s="342"/>
      <c r="P41" s="345"/>
    </row>
    <row r="42" spans="2:16">
      <c r="B42" s="327">
        <v>2003</v>
      </c>
      <c r="D42" s="342">
        <v>17054677.240649778</v>
      </c>
      <c r="E42" s="324"/>
      <c r="F42" s="325">
        <f t="shared" si="0"/>
        <v>340575.59721333906</v>
      </c>
      <c r="G42" s="324"/>
      <c r="H42" s="326">
        <f t="shared" si="1"/>
        <v>2.0376542184490143E-2</v>
      </c>
      <c r="I42" s="343"/>
      <c r="N42" s="344"/>
      <c r="O42" s="342"/>
      <c r="P42" s="345"/>
    </row>
    <row r="43" spans="2:16">
      <c r="B43" s="327">
        <v>2004</v>
      </c>
      <c r="D43" s="342">
        <v>17451718.741511848</v>
      </c>
      <c r="E43" s="324"/>
      <c r="F43" s="325">
        <f t="shared" si="0"/>
        <v>397041.50086206943</v>
      </c>
      <c r="G43" s="324"/>
      <c r="H43" s="326">
        <f t="shared" si="1"/>
        <v>2.3280505122414308E-2</v>
      </c>
      <c r="I43" s="343"/>
      <c r="N43" s="344"/>
      <c r="O43" s="342"/>
      <c r="P43" s="345"/>
    </row>
    <row r="44" spans="2:16">
      <c r="B44" s="327">
        <v>2005</v>
      </c>
      <c r="D44" s="342">
        <v>17848513.044241201</v>
      </c>
      <c r="E44" s="324"/>
      <c r="F44" s="325">
        <f t="shared" si="0"/>
        <v>396794.30272935331</v>
      </c>
      <c r="G44" s="324"/>
      <c r="H44" s="326">
        <f t="shared" si="1"/>
        <v>2.2736689068080906E-2</v>
      </c>
      <c r="I44" s="343"/>
      <c r="N44" s="344"/>
      <c r="O44" s="342"/>
      <c r="P44" s="345"/>
    </row>
    <row r="45" spans="2:16">
      <c r="B45" s="327">
        <v>2006</v>
      </c>
      <c r="D45" s="342">
        <v>18160049.687811039</v>
      </c>
      <c r="E45" s="324"/>
      <c r="F45" s="325">
        <f t="shared" si="0"/>
        <v>311536.64356983826</v>
      </c>
      <c r="G45" s="324"/>
      <c r="H45" s="326">
        <f t="shared" si="1"/>
        <v>1.7454487261635121E-2</v>
      </c>
      <c r="I45" s="343"/>
      <c r="N45" s="344"/>
      <c r="O45" s="342"/>
      <c r="P45" s="345"/>
    </row>
    <row r="46" spans="2:16">
      <c r="B46" s="327">
        <v>2007</v>
      </c>
      <c r="D46" s="342">
        <v>18371970.223515984</v>
      </c>
      <c r="E46" s="324"/>
      <c r="F46" s="325">
        <f t="shared" si="0"/>
        <v>211920.53570494428</v>
      </c>
      <c r="G46" s="324"/>
      <c r="H46" s="326">
        <f t="shared" si="1"/>
        <v>1.166960109405335E-2</v>
      </c>
      <c r="I46" s="343"/>
      <c r="N46" s="344"/>
      <c r="O46" s="342"/>
      <c r="P46" s="345"/>
    </row>
    <row r="47" spans="2:16">
      <c r="B47" s="327">
        <v>2008</v>
      </c>
      <c r="D47" s="342">
        <v>18532848.995339315</v>
      </c>
      <c r="E47" s="326"/>
      <c r="F47" s="325">
        <f t="shared" si="0"/>
        <v>160878.77182333171</v>
      </c>
      <c r="G47" s="324"/>
      <c r="H47" s="326">
        <f t="shared" si="1"/>
        <v>8.7567511739925497E-3</v>
      </c>
      <c r="I47" s="343"/>
      <c r="N47" s="344"/>
      <c r="O47" s="342"/>
      <c r="P47" s="345"/>
    </row>
    <row r="48" spans="2:16">
      <c r="B48" s="327">
        <v>2009</v>
      </c>
      <c r="D48" s="342">
        <v>18683477.087605253</v>
      </c>
      <c r="E48" s="326"/>
      <c r="F48" s="325">
        <f t="shared" si="0"/>
        <v>150628.09226593748</v>
      </c>
      <c r="G48" s="324"/>
      <c r="H48" s="326">
        <f t="shared" si="1"/>
        <v>8.127627452412689E-3</v>
      </c>
      <c r="I48" s="343"/>
      <c r="N48" s="344"/>
      <c r="O48" s="342"/>
      <c r="P48" s="345"/>
    </row>
    <row r="49" spans="1:16">
      <c r="B49" s="327">
        <v>2010</v>
      </c>
      <c r="D49" s="342">
        <v>18884323.153080493</v>
      </c>
      <c r="E49" s="326"/>
      <c r="F49" s="325">
        <f t="shared" si="0"/>
        <v>200846.06547524035</v>
      </c>
      <c r="G49" s="324"/>
      <c r="H49" s="326">
        <f t="shared" si="1"/>
        <v>1.0749929712413175E-2</v>
      </c>
      <c r="I49" s="343"/>
      <c r="N49" s="344"/>
      <c r="O49" s="342"/>
      <c r="P49" s="345"/>
    </row>
    <row r="50" spans="1:16">
      <c r="B50" s="327">
        <v>2011</v>
      </c>
      <c r="D50" s="342">
        <v>19127455.257854287</v>
      </c>
      <c r="E50" s="326"/>
      <c r="F50" s="325">
        <f t="shared" si="0"/>
        <v>243132.10477379337</v>
      </c>
      <c r="G50" s="324"/>
      <c r="H50" s="326">
        <f t="shared" si="1"/>
        <v>1.2874811705079869E-2</v>
      </c>
      <c r="I50" s="343"/>
    </row>
    <row r="51" spans="1:16">
      <c r="B51" s="327">
        <v>2012</v>
      </c>
      <c r="D51" s="342">
        <v>19375896.62022185</v>
      </c>
      <c r="E51" s="326"/>
      <c r="F51" s="325">
        <f t="shared" si="0"/>
        <v>248441.36236756295</v>
      </c>
      <c r="G51" s="324"/>
      <c r="H51" s="326">
        <f t="shared" si="1"/>
        <v>1.2988730545614224E-2</v>
      </c>
      <c r="I51" s="343"/>
    </row>
    <row r="52" spans="1:16">
      <c r="B52" s="327">
        <v>2013</v>
      </c>
      <c r="D52" s="342">
        <v>19632745.763058599</v>
      </c>
      <c r="E52" s="326"/>
      <c r="F52" s="325">
        <f>+D52-D51</f>
        <v>256849.14283674955</v>
      </c>
      <c r="G52" s="324"/>
      <c r="H52" s="326">
        <f>(D52/D51)-1</f>
        <v>1.3256116497271542E-2</v>
      </c>
      <c r="I52" s="343"/>
    </row>
    <row r="53" spans="1:16">
      <c r="B53" s="327">
        <v>2014</v>
      </c>
      <c r="D53" s="342">
        <v>19917509.610301442</v>
      </c>
      <c r="E53" s="326"/>
      <c r="F53" s="325">
        <f>+D53-D52</f>
        <v>284763.84724284336</v>
      </c>
      <c r="G53" s="324"/>
      <c r="H53" s="326">
        <f t="shared" ref="H53:H54" si="2">(D53/D52)-1</f>
        <v>1.4504534958052595E-2</v>
      </c>
      <c r="I53" s="343"/>
    </row>
    <row r="54" spans="1:16">
      <c r="B54" s="327">
        <v>2015</v>
      </c>
      <c r="D54" s="342">
        <v>20208531.934522722</v>
      </c>
      <c r="E54" s="326"/>
      <c r="F54" s="325">
        <f>+D54-D53</f>
        <v>291022.32422127947</v>
      </c>
      <c r="G54" s="324"/>
      <c r="H54" s="326">
        <f t="shared" si="2"/>
        <v>1.4611381137266344E-2</v>
      </c>
      <c r="I54" s="343"/>
      <c r="L54" s="354">
        <f>(D54/D51)^(1/3)-1</f>
        <v>1.4123824186396128E-2</v>
      </c>
    </row>
    <row r="55" spans="1:16">
      <c r="B55" s="327"/>
      <c r="D55" s="342"/>
      <c r="F55" s="331"/>
      <c r="H55" s="332"/>
      <c r="I55" s="343"/>
    </row>
    <row r="56" spans="1:16">
      <c r="A56" s="451" t="s">
        <v>38</v>
      </c>
      <c r="B56" s="451"/>
      <c r="C56" s="451"/>
      <c r="D56" s="451"/>
      <c r="E56" s="451"/>
      <c r="F56" s="451"/>
      <c r="G56" s="451"/>
      <c r="H56" s="451"/>
      <c r="I56" s="451"/>
    </row>
    <row r="57" spans="1:16">
      <c r="B57" s="346"/>
      <c r="E57" s="347"/>
    </row>
    <row r="58" spans="1:16">
      <c r="B58" s="348" t="s">
        <v>1</v>
      </c>
      <c r="C58" s="349"/>
      <c r="D58" s="350"/>
      <c r="E58" s="348" t="s">
        <v>1</v>
      </c>
      <c r="F58" s="349"/>
      <c r="G58" s="350"/>
      <c r="H58" s="351" t="s">
        <v>36</v>
      </c>
      <c r="I58" s="350" t="s">
        <v>37</v>
      </c>
    </row>
    <row r="59" spans="1:16">
      <c r="A59" s="327">
        <v>2016</v>
      </c>
      <c r="B59" s="352">
        <v>20111498.874999996</v>
      </c>
      <c r="C59" s="325">
        <v>282903.33333332837</v>
      </c>
      <c r="D59" s="326">
        <v>1.4267441823544669E-2</v>
      </c>
      <c r="E59" s="352">
        <v>20497926.462129477</v>
      </c>
      <c r="F59" s="325">
        <f>+E59-D54</f>
        <v>289394.5276067555</v>
      </c>
      <c r="G59" s="326">
        <f>(E59/D54)-1</f>
        <v>1.4320413206877936E-2</v>
      </c>
      <c r="H59" s="325">
        <f t="shared" ref="H59:H83" si="3">E59-B59</f>
        <v>386427.58712948114</v>
      </c>
      <c r="I59" s="326">
        <f t="shared" ref="I59:I83" si="4">(E59/B59)-1</f>
        <v>1.9214260932577165E-2</v>
      </c>
      <c r="L59" s="354">
        <f>(E63/D54)^(1/5)-1</f>
        <v>1.4095837616557416E-2</v>
      </c>
    </row>
    <row r="60" spans="1:16">
      <c r="A60" s="327">
        <v>2017</v>
      </c>
      <c r="B60" s="352">
        <v>20397518.208333328</v>
      </c>
      <c r="C60" s="325">
        <f t="shared" ref="C60:C83" si="5">+B60-B59</f>
        <v>286019.33333333209</v>
      </c>
      <c r="D60" s="326">
        <f t="shared" ref="D60:D83" si="6">(B60/B59)-1</f>
        <v>1.4221681591762181E-2</v>
      </c>
      <c r="E60" s="352">
        <v>20789909.034648355</v>
      </c>
      <c r="F60" s="325">
        <f>+E60-E59</f>
        <v>291982.57251887769</v>
      </c>
      <c r="G60" s="326">
        <f>(E60/E59)-1</f>
        <v>1.4244493122673951E-2</v>
      </c>
      <c r="H60" s="325">
        <f>E60-B60</f>
        <v>392390.82631502673</v>
      </c>
      <c r="I60" s="326">
        <f t="shared" si="4"/>
        <v>1.9237184754894221E-2</v>
      </c>
      <c r="L60" s="345"/>
    </row>
    <row r="61" spans="1:16">
      <c r="A61" s="327">
        <v>2018</v>
      </c>
      <c r="B61" s="352">
        <v>20681747.208333328</v>
      </c>
      <c r="C61" s="325">
        <f t="shared" si="5"/>
        <v>284229</v>
      </c>
      <c r="D61" s="326">
        <f t="shared" si="6"/>
        <v>1.393448933821162E-2</v>
      </c>
      <c r="E61" s="352">
        <v>21084790.28781775</v>
      </c>
      <c r="F61" s="325">
        <f>+E61-E60</f>
        <v>294881.25316939503</v>
      </c>
      <c r="G61" s="326">
        <f>(E61/E60)-1</f>
        <v>1.4183864521867262E-2</v>
      </c>
      <c r="H61" s="325">
        <f>E61-B61</f>
        <v>403043.07948442176</v>
      </c>
      <c r="I61" s="326">
        <f t="shared" si="4"/>
        <v>1.9487864126006782E-2</v>
      </c>
      <c r="L61" s="345"/>
    </row>
    <row r="62" spans="1:16">
      <c r="A62" s="327">
        <v>2019</v>
      </c>
      <c r="B62" s="352">
        <v>20964533.458333328</v>
      </c>
      <c r="C62" s="325">
        <f t="shared" si="5"/>
        <v>282786.25</v>
      </c>
      <c r="D62" s="326">
        <f t="shared" si="6"/>
        <v>1.3673228240893343E-2</v>
      </c>
      <c r="E62" s="352">
        <v>21379566.406935688</v>
      </c>
      <c r="F62" s="325">
        <f t="shared" ref="F62:F83" si="7">+E62-E61</f>
        <v>294776.11911793798</v>
      </c>
      <c r="G62" s="326">
        <f t="shared" ref="G62:G83" si="8">(E62/E61)-1</f>
        <v>1.3980509888602111E-2</v>
      </c>
      <c r="H62" s="325">
        <f>E62-B62</f>
        <v>415032.94860235974</v>
      </c>
      <c r="I62" s="326">
        <f t="shared" si="4"/>
        <v>1.9796908403768354E-2</v>
      </c>
      <c r="L62" s="345"/>
    </row>
    <row r="63" spans="1:16">
      <c r="A63" s="327">
        <v>2020</v>
      </c>
      <c r="B63" s="352">
        <v>21242555.105668236</v>
      </c>
      <c r="C63" s="325">
        <f t="shared" si="5"/>
        <v>278021.6473349072</v>
      </c>
      <c r="D63" s="326">
        <f t="shared" si="6"/>
        <v>1.326152322385199E-2</v>
      </c>
      <c r="E63" s="352">
        <v>21673535.711390611</v>
      </c>
      <c r="F63" s="325">
        <f t="shared" si="7"/>
        <v>293969.30445492268</v>
      </c>
      <c r="G63" s="326">
        <f t="shared" si="8"/>
        <v>1.3750012458604299E-2</v>
      </c>
      <c r="H63" s="325">
        <f>E63-B63</f>
        <v>430980.60572237521</v>
      </c>
      <c r="I63" s="326">
        <f t="shared" si="4"/>
        <v>2.0288548320977373E-2</v>
      </c>
      <c r="L63" s="345"/>
    </row>
    <row r="64" spans="1:16">
      <c r="A64" s="327">
        <v>2021</v>
      </c>
      <c r="B64" s="352">
        <v>21516520.016721193</v>
      </c>
      <c r="C64" s="325">
        <f t="shared" si="5"/>
        <v>273964.91105295718</v>
      </c>
      <c r="D64" s="326">
        <f t="shared" si="6"/>
        <v>1.2896984834929404E-2</v>
      </c>
      <c r="E64" s="352">
        <v>21967555.140114419</v>
      </c>
      <c r="F64" s="325">
        <f t="shared" si="7"/>
        <v>294019.42872380838</v>
      </c>
      <c r="G64" s="326">
        <f t="shared" si="8"/>
        <v>1.3565826667094605E-2</v>
      </c>
      <c r="H64" s="325">
        <f t="shared" si="3"/>
        <v>451035.12339322641</v>
      </c>
      <c r="I64" s="326">
        <f t="shared" si="4"/>
        <v>2.0962270991903509E-2</v>
      </c>
      <c r="L64" s="345"/>
    </row>
    <row r="65" spans="1:12">
      <c r="A65" s="327">
        <v>2022</v>
      </c>
      <c r="B65" s="352">
        <v>21786746.219807822</v>
      </c>
      <c r="C65" s="325">
        <f t="shared" si="5"/>
        <v>270226.20308662951</v>
      </c>
      <c r="D65" s="326">
        <f t="shared" si="6"/>
        <v>1.2559010605647458E-2</v>
      </c>
      <c r="E65" s="352">
        <v>22262855.274211507</v>
      </c>
      <c r="F65" s="325">
        <f t="shared" si="7"/>
        <v>295300.13409708813</v>
      </c>
      <c r="G65" s="326">
        <f t="shared" si="8"/>
        <v>1.344255800035965E-2</v>
      </c>
      <c r="H65" s="325">
        <f>E65-B65</f>
        <v>476109.05440368503</v>
      </c>
      <c r="I65" s="326">
        <f t="shared" si="4"/>
        <v>2.1853150975376989E-2</v>
      </c>
      <c r="L65" s="345"/>
    </row>
    <row r="66" spans="1:12">
      <c r="A66" s="327">
        <v>2023</v>
      </c>
      <c r="B66" s="352">
        <v>22054060.965312202</v>
      </c>
      <c r="C66" s="325">
        <f t="shared" si="5"/>
        <v>267314.74550437927</v>
      </c>
      <c r="D66" s="326">
        <f t="shared" si="6"/>
        <v>1.2269603859494493E-2</v>
      </c>
      <c r="E66" s="352">
        <v>22559651.458081409</v>
      </c>
      <c r="F66" s="325">
        <f t="shared" si="7"/>
        <v>296796.18386990204</v>
      </c>
      <c r="G66" s="326">
        <f t="shared" si="8"/>
        <v>1.3331451883159762E-2</v>
      </c>
      <c r="H66" s="325">
        <f t="shared" si="3"/>
        <v>505590.49276920781</v>
      </c>
      <c r="I66" s="326">
        <f t="shared" si="4"/>
        <v>2.2925051924197914E-2</v>
      </c>
      <c r="L66" s="345"/>
    </row>
    <row r="67" spans="1:12">
      <c r="A67" s="327">
        <v>2024</v>
      </c>
      <c r="B67" s="352">
        <v>22319377.542911619</v>
      </c>
      <c r="C67" s="325">
        <f t="shared" si="5"/>
        <v>265316.57759941742</v>
      </c>
      <c r="D67" s="326">
        <f t="shared" si="6"/>
        <v>1.2030282224063882E-2</v>
      </c>
      <c r="E67" s="352">
        <v>22857847.931535646</v>
      </c>
      <c r="F67" s="325">
        <f t="shared" si="7"/>
        <v>298196.47345423698</v>
      </c>
      <c r="G67" s="326">
        <f t="shared" si="8"/>
        <v>1.3218133002113275E-2</v>
      </c>
      <c r="H67" s="325">
        <f t="shared" si="3"/>
        <v>538470.38862402737</v>
      </c>
      <c r="I67" s="326">
        <f t="shared" si="4"/>
        <v>2.4125690225399676E-2</v>
      </c>
      <c r="L67" s="345"/>
    </row>
    <row r="68" spans="1:12">
      <c r="A68" s="327">
        <v>2025</v>
      </c>
      <c r="B68" s="352">
        <v>22582499.080382392</v>
      </c>
      <c r="C68" s="325">
        <f t="shared" si="5"/>
        <v>263121.53747077286</v>
      </c>
      <c r="D68" s="326">
        <f t="shared" si="6"/>
        <v>1.1788928117054009E-2</v>
      </c>
      <c r="E68" s="352">
        <v>23157353.81092893</v>
      </c>
      <c r="F68" s="325">
        <f t="shared" si="7"/>
        <v>299505.87939328328</v>
      </c>
      <c r="G68" s="326">
        <f t="shared" si="8"/>
        <v>1.3102978035831381E-2</v>
      </c>
      <c r="H68" s="325">
        <f t="shared" si="3"/>
        <v>574854.73054653779</v>
      </c>
      <c r="I68" s="326">
        <f t="shared" si="4"/>
        <v>2.5455762380431901E-2</v>
      </c>
      <c r="L68" s="345"/>
    </row>
    <row r="69" spans="1:12">
      <c r="A69" s="327">
        <v>2026</v>
      </c>
      <c r="B69" s="352">
        <v>22840849.573456738</v>
      </c>
      <c r="C69" s="325">
        <f t="shared" si="5"/>
        <v>258350.49307434633</v>
      </c>
      <c r="D69" s="326">
        <f t="shared" si="6"/>
        <v>1.1440296849110743E-2</v>
      </c>
      <c r="E69" s="352">
        <v>23458163.314039022</v>
      </c>
      <c r="F69" s="325">
        <f t="shared" si="7"/>
        <v>300809.50311009213</v>
      </c>
      <c r="G69" s="326">
        <f t="shared" si="8"/>
        <v>1.2989804688656958E-2</v>
      </c>
      <c r="H69" s="325">
        <f t="shared" si="3"/>
        <v>617313.74058228359</v>
      </c>
      <c r="I69" s="326">
        <f t="shared" si="4"/>
        <v>2.7026741654113451E-2</v>
      </c>
      <c r="L69" s="345"/>
    </row>
    <row r="70" spans="1:12">
      <c r="A70" s="327">
        <v>2027</v>
      </c>
      <c r="B70" s="352">
        <v>23094443.676456556</v>
      </c>
      <c r="C70" s="325">
        <f t="shared" si="5"/>
        <v>253594.10299981758</v>
      </c>
      <c r="D70" s="326">
        <f t="shared" si="6"/>
        <v>1.1102656325643778E-2</v>
      </c>
      <c r="E70" s="352">
        <v>23760176.155054826</v>
      </c>
      <c r="F70" s="325">
        <f t="shared" si="7"/>
        <v>302012.84101580456</v>
      </c>
      <c r="G70" s="326">
        <f t="shared" si="8"/>
        <v>1.287453058334953E-2</v>
      </c>
      <c r="H70" s="325">
        <f t="shared" si="3"/>
        <v>665732.47859827057</v>
      </c>
      <c r="I70" s="326">
        <f t="shared" si="4"/>
        <v>2.8826521561848395E-2</v>
      </c>
      <c r="L70" s="345"/>
    </row>
    <row r="71" spans="1:12">
      <c r="A71" s="327">
        <v>2028</v>
      </c>
      <c r="B71" s="352">
        <v>23344169.246994328</v>
      </c>
      <c r="C71" s="325">
        <f t="shared" si="5"/>
        <v>249725.57053777203</v>
      </c>
      <c r="D71" s="326">
        <f t="shared" si="6"/>
        <v>1.0813231703535431E-2</v>
      </c>
      <c r="E71" s="352">
        <v>24063199.40527292</v>
      </c>
      <c r="F71" s="325">
        <f t="shared" si="7"/>
        <v>303023.2502180934</v>
      </c>
      <c r="G71" s="326">
        <f t="shared" si="8"/>
        <v>1.2753409244132596E-2</v>
      </c>
      <c r="H71" s="325">
        <f t="shared" si="3"/>
        <v>719030.15827859193</v>
      </c>
      <c r="I71" s="326">
        <f t="shared" si="4"/>
        <v>3.0801274214166785E-2</v>
      </c>
      <c r="L71" s="345"/>
    </row>
    <row r="72" spans="1:12">
      <c r="A72" s="327">
        <v>2029</v>
      </c>
      <c r="B72" s="352">
        <v>23591007.976304889</v>
      </c>
      <c r="C72" s="325">
        <f t="shared" si="5"/>
        <v>246838.72931056097</v>
      </c>
      <c r="D72" s="326">
        <f t="shared" si="6"/>
        <v>1.0573892208322722E-2</v>
      </c>
      <c r="E72" s="352">
        <v>24366050.374774378</v>
      </c>
      <c r="F72" s="325">
        <f t="shared" si="7"/>
        <v>302850.96950145811</v>
      </c>
      <c r="G72" s="326">
        <f t="shared" si="8"/>
        <v>1.2585648500053281E-2</v>
      </c>
      <c r="H72" s="325">
        <f t="shared" si="3"/>
        <v>775042.39846948907</v>
      </c>
      <c r="I72" s="326">
        <f t="shared" si="4"/>
        <v>3.2853297292254391E-2</v>
      </c>
      <c r="L72" s="345"/>
    </row>
    <row r="73" spans="1:12">
      <c r="A73" s="327">
        <v>2030</v>
      </c>
      <c r="B73" s="352">
        <v>23834297.316575438</v>
      </c>
      <c r="C73" s="325">
        <f t="shared" si="5"/>
        <v>243289.34027054906</v>
      </c>
      <c r="D73" s="326">
        <f t="shared" si="6"/>
        <v>1.0312799712284937E-2</v>
      </c>
      <c r="E73" s="352">
        <v>24668284.846738841</v>
      </c>
      <c r="F73" s="325">
        <f t="shared" si="7"/>
        <v>302234.47196446359</v>
      </c>
      <c r="G73" s="326">
        <f t="shared" si="8"/>
        <v>1.2403917225639605E-2</v>
      </c>
      <c r="H73" s="325">
        <f t="shared" si="3"/>
        <v>833987.5301634036</v>
      </c>
      <c r="I73" s="326">
        <f t="shared" si="4"/>
        <v>3.499106850460465E-2</v>
      </c>
      <c r="L73" s="345"/>
    </row>
    <row r="74" spans="1:12">
      <c r="A74" s="327">
        <v>2031</v>
      </c>
      <c r="B74" s="352">
        <v>24070464.643388584</v>
      </c>
      <c r="C74" s="325">
        <f t="shared" si="5"/>
        <v>236167.32681314647</v>
      </c>
      <c r="D74" s="326">
        <f t="shared" si="6"/>
        <v>9.908717831127456E-3</v>
      </c>
      <c r="E74" s="352">
        <v>24970519.318703305</v>
      </c>
      <c r="F74" s="325">
        <f t="shared" si="7"/>
        <v>302234.47196446359</v>
      </c>
      <c r="G74" s="326">
        <f t="shared" si="8"/>
        <v>1.2251945112609519E-2</v>
      </c>
      <c r="H74" s="325">
        <f t="shared" si="3"/>
        <v>900054.67531472072</v>
      </c>
      <c r="I74" s="326">
        <f t="shared" si="4"/>
        <v>3.7392492776907815E-2</v>
      </c>
      <c r="L74" s="345"/>
    </row>
    <row r="75" spans="1:12">
      <c r="A75" s="327">
        <v>2032</v>
      </c>
      <c r="B75" s="352">
        <v>24300766.845571373</v>
      </c>
      <c r="C75" s="325">
        <f t="shared" si="5"/>
        <v>230302.2021827884</v>
      </c>
      <c r="D75" s="326">
        <f t="shared" si="6"/>
        <v>9.5678336747873072E-3</v>
      </c>
      <c r="E75" s="352">
        <v>25272753.790667761</v>
      </c>
      <c r="F75" s="325">
        <f t="shared" si="7"/>
        <v>302234.47196445614</v>
      </c>
      <c r="G75" s="326">
        <f t="shared" si="8"/>
        <v>1.2103651834668883E-2</v>
      </c>
      <c r="H75" s="325">
        <f t="shared" si="3"/>
        <v>971986.94509638846</v>
      </c>
      <c r="I75" s="326">
        <f t="shared" si="4"/>
        <v>3.9998200520718452E-2</v>
      </c>
      <c r="L75" s="345"/>
    </row>
    <row r="76" spans="1:12">
      <c r="A76" s="327">
        <v>2033</v>
      </c>
      <c r="B76" s="352">
        <v>24526238.842297424</v>
      </c>
      <c r="C76" s="325">
        <f t="shared" si="5"/>
        <v>225471.99672605097</v>
      </c>
      <c r="D76" s="326">
        <f t="shared" si="6"/>
        <v>9.2783901906841049E-3</v>
      </c>
      <c r="E76" s="352">
        <v>25574988.262632225</v>
      </c>
      <c r="F76" s="325">
        <f t="shared" si="7"/>
        <v>302234.47196446359</v>
      </c>
      <c r="G76" s="326">
        <f t="shared" si="8"/>
        <v>1.1958905407295495E-2</v>
      </c>
      <c r="H76" s="325">
        <f t="shared" si="3"/>
        <v>1048749.4203348011</v>
      </c>
      <c r="I76" s="326">
        <f t="shared" si="4"/>
        <v>4.2760303651864895E-2</v>
      </c>
      <c r="L76" s="345"/>
    </row>
    <row r="77" spans="1:12">
      <c r="A77" s="327">
        <v>2034</v>
      </c>
      <c r="B77" s="352">
        <v>24747932.296365574</v>
      </c>
      <c r="C77" s="325">
        <f t="shared" si="5"/>
        <v>221693.45406815037</v>
      </c>
      <c r="D77" s="326">
        <f t="shared" si="6"/>
        <v>9.0390318504858236E-3</v>
      </c>
      <c r="E77" s="352">
        <v>25877222.734596688</v>
      </c>
      <c r="F77" s="325">
        <f t="shared" si="7"/>
        <v>302234.47196446359</v>
      </c>
      <c r="G77" s="326">
        <f t="shared" si="8"/>
        <v>1.1817580084916735E-2</v>
      </c>
      <c r="H77" s="325">
        <f t="shared" si="3"/>
        <v>1129290.4382311143</v>
      </c>
      <c r="I77" s="326">
        <f t="shared" si="4"/>
        <v>4.5631708730549558E-2</v>
      </c>
      <c r="L77" s="345"/>
    </row>
    <row r="78" spans="1:12">
      <c r="A78" s="327">
        <v>2035</v>
      </c>
      <c r="B78" s="352">
        <v>24966630.313924938</v>
      </c>
      <c r="C78" s="325">
        <f t="shared" si="5"/>
        <v>218698.01755936444</v>
      </c>
      <c r="D78" s="326">
        <f t="shared" si="6"/>
        <v>8.83702181420154E-3</v>
      </c>
      <c r="E78" s="352">
        <v>26179457.206561152</v>
      </c>
      <c r="F78" s="325">
        <f t="shared" si="7"/>
        <v>302234.47196446359</v>
      </c>
      <c r="G78" s="326">
        <f t="shared" si="8"/>
        <v>1.1679555996571001E-2</v>
      </c>
      <c r="H78" s="325">
        <f t="shared" si="3"/>
        <v>1212826.8926362135</v>
      </c>
      <c r="I78" s="326">
        <f t="shared" si="4"/>
        <v>4.8577916898932427E-2</v>
      </c>
      <c r="L78" s="345"/>
    </row>
    <row r="79" spans="1:12">
      <c r="A79" s="327">
        <v>2036</v>
      </c>
      <c r="B79" s="352">
        <v>25182560.17374314</v>
      </c>
      <c r="C79" s="325">
        <f t="shared" si="5"/>
        <v>215929.85981820151</v>
      </c>
      <c r="D79" s="326">
        <f t="shared" si="6"/>
        <v>8.6487386204363581E-3</v>
      </c>
      <c r="E79" s="352">
        <v>26481691.678525615</v>
      </c>
      <c r="F79" s="325">
        <f t="shared" si="7"/>
        <v>302234.47196446359</v>
      </c>
      <c r="G79" s="326">
        <f t="shared" si="8"/>
        <v>1.1544718806802301E-2</v>
      </c>
      <c r="H79" s="325">
        <f t="shared" si="3"/>
        <v>1299131.5047824755</v>
      </c>
      <c r="I79" s="326">
        <f t="shared" si="4"/>
        <v>5.1588539680609058E-2</v>
      </c>
      <c r="L79" s="345"/>
    </row>
    <row r="80" spans="1:12">
      <c r="A80" s="327">
        <v>2037</v>
      </c>
      <c r="B80" s="352">
        <v>25396135.59951004</v>
      </c>
      <c r="C80" s="325">
        <f t="shared" si="5"/>
        <v>213575.42576690018</v>
      </c>
      <c r="D80" s="326">
        <f t="shared" si="6"/>
        <v>8.4810846988301325E-3</v>
      </c>
      <c r="E80" s="352">
        <v>26783926.150490075</v>
      </c>
      <c r="F80" s="325">
        <f t="shared" si="7"/>
        <v>302234.47196445987</v>
      </c>
      <c r="G80" s="326">
        <f t="shared" si="8"/>
        <v>1.1412959399778266E-2</v>
      </c>
      <c r="H80" s="325">
        <f t="shared" si="3"/>
        <v>1387790.5509800352</v>
      </c>
      <c r="I80" s="326">
        <f t="shared" si="4"/>
        <v>5.4645737165098796E-2</v>
      </c>
      <c r="L80" s="345"/>
    </row>
    <row r="81" spans="1:12">
      <c r="A81" s="327">
        <v>2038</v>
      </c>
      <c r="B81" s="352">
        <v>25606294.543012973</v>
      </c>
      <c r="C81" s="325">
        <f t="shared" si="5"/>
        <v>210158.94350293279</v>
      </c>
      <c r="D81" s="326">
        <f t="shared" si="6"/>
        <v>8.2752331621267494E-3</v>
      </c>
      <c r="E81" s="352">
        <v>27086160.622454543</v>
      </c>
      <c r="F81" s="325">
        <f t="shared" si="7"/>
        <v>302234.47196446732</v>
      </c>
      <c r="G81" s="326">
        <f t="shared" si="8"/>
        <v>1.1284173584795276E-2</v>
      </c>
      <c r="H81" s="325">
        <f t="shared" si="3"/>
        <v>1479866.0794415697</v>
      </c>
      <c r="I81" s="326">
        <f t="shared" si="4"/>
        <v>5.7793058537060737E-2</v>
      </c>
      <c r="L81" s="345"/>
    </row>
    <row r="82" spans="1:12">
      <c r="A82" s="327">
        <v>2039</v>
      </c>
      <c r="B82" s="352">
        <v>25811401.151050236</v>
      </c>
      <c r="C82" s="325">
        <f t="shared" si="5"/>
        <v>205106.60803726315</v>
      </c>
      <c r="D82" s="326">
        <f t="shared" si="6"/>
        <v>8.0100073711457664E-3</v>
      </c>
      <c r="E82" s="352">
        <v>27388395.094419003</v>
      </c>
      <c r="F82" s="325">
        <f t="shared" si="7"/>
        <v>302234.47196445987</v>
      </c>
      <c r="G82" s="326">
        <f t="shared" si="8"/>
        <v>1.1158261821496707E-2</v>
      </c>
      <c r="H82" s="325">
        <f t="shared" si="3"/>
        <v>1576993.9433687665</v>
      </c>
      <c r="I82" s="326">
        <f t="shared" si="4"/>
        <v>6.1096797269550862E-2</v>
      </c>
      <c r="L82" s="345"/>
    </row>
    <row r="83" spans="1:12">
      <c r="A83" s="327">
        <v>2040</v>
      </c>
      <c r="B83" s="352">
        <v>26012308.691984195</v>
      </c>
      <c r="C83" s="325">
        <f t="shared" si="5"/>
        <v>200907.54093395919</v>
      </c>
      <c r="D83" s="326">
        <f t="shared" si="6"/>
        <v>7.783674344458591E-3</v>
      </c>
      <c r="E83" s="352">
        <v>27690629.566383466</v>
      </c>
      <c r="F83" s="325">
        <f t="shared" si="7"/>
        <v>302234.47196446359</v>
      </c>
      <c r="G83" s="326">
        <f t="shared" si="8"/>
        <v>1.1035128963290397E-2</v>
      </c>
      <c r="H83" s="325">
        <f t="shared" si="3"/>
        <v>1678320.8743992709</v>
      </c>
      <c r="I83" s="326">
        <f t="shared" si="4"/>
        <v>6.4520258246683504E-2</v>
      </c>
      <c r="L83" s="345"/>
    </row>
    <row r="84" spans="1:12">
      <c r="A84" s="327"/>
      <c r="B84" s="352"/>
      <c r="C84" s="325"/>
      <c r="D84" s="326"/>
      <c r="E84" s="352"/>
      <c r="F84" s="325"/>
      <c r="G84" s="326"/>
      <c r="H84" s="325"/>
      <c r="I84" s="326"/>
      <c r="L84" s="345"/>
    </row>
    <row r="85" spans="1:12">
      <c r="A85" s="327"/>
      <c r="B85" s="353"/>
      <c r="C85" s="331"/>
      <c r="D85" s="332"/>
      <c r="E85" s="353"/>
      <c r="F85" s="331"/>
      <c r="G85" s="332"/>
      <c r="H85" s="331"/>
      <c r="I85" s="332"/>
      <c r="L85" s="345"/>
    </row>
    <row r="86" spans="1:12">
      <c r="B86" s="353"/>
      <c r="L86" s="345"/>
    </row>
    <row r="87" spans="1:12">
      <c r="B87" s="353"/>
    </row>
    <row r="88" spans="1:12">
      <c r="B88" s="353"/>
    </row>
    <row r="89" spans="1:12">
      <c r="B89" s="353"/>
    </row>
    <row r="90" spans="1:12">
      <c r="B90" s="353"/>
    </row>
    <row r="91" spans="1:12">
      <c r="B91" s="353"/>
    </row>
    <row r="92" spans="1:12">
      <c r="B92" s="353"/>
    </row>
    <row r="93" spans="1:12">
      <c r="B93" s="353"/>
    </row>
  </sheetData>
  <mergeCells count="4">
    <mergeCell ref="A4:I4"/>
    <mergeCell ref="B6:H6"/>
    <mergeCell ref="B15:H15"/>
    <mergeCell ref="A56:I56"/>
  </mergeCells>
  <pageMargins left="0.75" right="0.75" top="0.17" bottom="0.18" header="0.5" footer="0.5"/>
  <pageSetup scale="6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244"/>
  <sheetViews>
    <sheetView zoomScaleNormal="100" workbookViewId="0">
      <pane xSplit="2" ySplit="4" topLeftCell="C5" activePane="bottomRight" state="frozen"/>
      <selection activeCell="A25" sqref="A1:XFD1048576"/>
      <selection pane="topRight" activeCell="A25" sqref="A1:XFD1048576"/>
      <selection pane="bottomLeft" activeCell="A25" sqref="A1:XFD1048576"/>
      <selection pane="bottomRight" activeCell="A2" sqref="A1:A2"/>
    </sheetView>
  </sheetViews>
  <sheetFormatPr defaultColWidth="9.109375" defaultRowHeight="13.2"/>
  <cols>
    <col min="1" max="1" width="5.109375" style="233" bestFit="1" customWidth="1"/>
    <col min="2" max="2" width="6.33203125" style="233" bestFit="1" customWidth="1"/>
    <col min="3" max="3" width="10.44140625" style="233" bestFit="1" customWidth="1"/>
    <col min="4" max="4" width="8" style="233" bestFit="1" customWidth="1"/>
    <col min="5" max="5" width="10.33203125" style="233" bestFit="1" customWidth="1"/>
    <col min="6" max="6" width="8.6640625" style="233" bestFit="1" customWidth="1"/>
    <col min="7" max="7" width="10" style="233" bestFit="1" customWidth="1"/>
    <col min="8" max="8" width="10" style="233" customWidth="1"/>
    <col min="9" max="13" width="11" style="233" customWidth="1"/>
    <col min="14" max="14" width="14" style="233" bestFit="1" customWidth="1"/>
    <col min="15" max="18" width="9.109375" style="233"/>
    <col min="19" max="19" width="10.88671875" style="233" bestFit="1" customWidth="1"/>
    <col min="20" max="16384" width="9.109375" style="233"/>
  </cols>
  <sheetData>
    <row r="1" spans="1:17" ht="14.4">
      <c r="A1" s="453" t="s">
        <v>292</v>
      </c>
    </row>
    <row r="2" spans="1:17" ht="14.4">
      <c r="A2" s="453" t="s">
        <v>290</v>
      </c>
    </row>
    <row r="4" spans="1:17" ht="23.4">
      <c r="A4" s="295" t="s">
        <v>65</v>
      </c>
      <c r="B4" s="295" t="s">
        <v>97</v>
      </c>
      <c r="C4" s="296" t="s">
        <v>253</v>
      </c>
      <c r="D4" s="296" t="s">
        <v>254</v>
      </c>
      <c r="E4" s="296" t="s">
        <v>255</v>
      </c>
      <c r="F4" s="297" t="s">
        <v>256</v>
      </c>
      <c r="G4" s="297" t="s">
        <v>226</v>
      </c>
      <c r="H4" s="297" t="s">
        <v>229</v>
      </c>
      <c r="I4" s="297" t="s">
        <v>230</v>
      </c>
      <c r="J4" s="297" t="s">
        <v>231</v>
      </c>
      <c r="K4" s="297" t="s">
        <v>232</v>
      </c>
      <c r="L4" s="297" t="s">
        <v>257</v>
      </c>
      <c r="M4" s="297" t="s">
        <v>258</v>
      </c>
      <c r="N4" s="298" t="s">
        <v>259</v>
      </c>
      <c r="P4" s="233" t="s">
        <v>260</v>
      </c>
      <c r="Q4" s="281" t="s">
        <v>261</v>
      </c>
    </row>
    <row r="5" spans="1:17">
      <c r="A5" s="299">
        <v>1997</v>
      </c>
      <c r="B5" s="299">
        <v>1</v>
      </c>
      <c r="C5" s="242">
        <v>46242.943187607598</v>
      </c>
      <c r="D5" s="242"/>
      <c r="E5" s="242"/>
      <c r="F5" s="242"/>
    </row>
    <row r="6" spans="1:17">
      <c r="A6" s="299">
        <v>1997</v>
      </c>
      <c r="B6" s="299">
        <v>2</v>
      </c>
      <c r="C6" s="242">
        <v>44794.739795601599</v>
      </c>
      <c r="D6" s="242"/>
      <c r="E6" s="242"/>
      <c r="F6" s="242"/>
    </row>
    <row r="7" spans="1:17">
      <c r="A7" s="299">
        <v>1997</v>
      </c>
      <c r="B7" s="299">
        <v>3</v>
      </c>
      <c r="C7" s="242">
        <v>53835.131494838402</v>
      </c>
      <c r="D7" s="242"/>
      <c r="E7" s="242"/>
      <c r="F7" s="242"/>
    </row>
    <row r="8" spans="1:17">
      <c r="A8" s="299">
        <v>1997</v>
      </c>
      <c r="B8" s="299">
        <v>4</v>
      </c>
      <c r="C8" s="242">
        <v>50148.532455672001</v>
      </c>
      <c r="D8" s="242"/>
      <c r="E8" s="242"/>
      <c r="F8" s="242"/>
    </row>
    <row r="9" spans="1:17">
      <c r="A9" s="299">
        <v>1997</v>
      </c>
      <c r="B9" s="299">
        <v>5</v>
      </c>
      <c r="C9" s="242">
        <v>60318.109993386002</v>
      </c>
      <c r="D9" s="242"/>
      <c r="E9" s="242"/>
      <c r="F9" s="242"/>
    </row>
    <row r="10" spans="1:17">
      <c r="A10" s="299">
        <v>1997</v>
      </c>
      <c r="B10" s="299">
        <v>6</v>
      </c>
      <c r="C10" s="242">
        <v>61162.732713759593</v>
      </c>
      <c r="D10" s="242"/>
      <c r="E10" s="242"/>
      <c r="F10" s="242"/>
    </row>
    <row r="11" spans="1:17">
      <c r="A11" s="299">
        <v>1997</v>
      </c>
      <c r="B11" s="299">
        <v>7</v>
      </c>
      <c r="C11" s="242">
        <v>67887.7344321204</v>
      </c>
      <c r="D11" s="242"/>
      <c r="E11" s="242"/>
      <c r="F11" s="242"/>
      <c r="N11" s="242">
        <f t="shared" ref="N11:N74" si="0">SUM(C11:G11)</f>
        <v>67887.7344321204</v>
      </c>
    </row>
    <row r="12" spans="1:17">
      <c r="A12" s="299">
        <v>1997</v>
      </c>
      <c r="B12" s="299">
        <v>8</v>
      </c>
      <c r="C12" s="242">
        <v>68747.588811333597</v>
      </c>
      <c r="D12" s="242"/>
      <c r="E12" s="242"/>
      <c r="F12" s="242"/>
      <c r="N12" s="242">
        <f t="shared" si="0"/>
        <v>68747.588811333597</v>
      </c>
    </row>
    <row r="13" spans="1:17">
      <c r="A13" s="299">
        <v>1997</v>
      </c>
      <c r="B13" s="299">
        <v>9</v>
      </c>
      <c r="C13" s="242">
        <v>58581.4044902436</v>
      </c>
      <c r="D13" s="242"/>
      <c r="E13" s="242"/>
      <c r="F13" s="242"/>
      <c r="N13" s="242">
        <f t="shared" si="0"/>
        <v>58581.4044902436</v>
      </c>
    </row>
    <row r="14" spans="1:17">
      <c r="A14" s="299">
        <v>1997</v>
      </c>
      <c r="B14" s="299">
        <v>10</v>
      </c>
      <c r="C14" s="242">
        <v>54623.464635222001</v>
      </c>
      <c r="D14" s="242"/>
      <c r="E14" s="242"/>
      <c r="F14" s="242"/>
      <c r="N14" s="242">
        <f t="shared" si="0"/>
        <v>54623.464635222001</v>
      </c>
    </row>
    <row r="15" spans="1:17">
      <c r="A15" s="299">
        <v>1997</v>
      </c>
      <c r="B15" s="299">
        <v>11</v>
      </c>
      <c r="C15" s="242">
        <v>46084.994064026396</v>
      </c>
      <c r="D15" s="242"/>
      <c r="E15" s="242"/>
      <c r="F15" s="242"/>
      <c r="N15" s="242">
        <f t="shared" si="0"/>
        <v>46084.994064026396</v>
      </c>
    </row>
    <row r="16" spans="1:17">
      <c r="A16" s="300">
        <v>1997</v>
      </c>
      <c r="B16" s="300">
        <v>12</v>
      </c>
      <c r="C16" s="242">
        <v>46892.0777924172</v>
      </c>
      <c r="D16" s="242">
        <v>22811</v>
      </c>
      <c r="E16" s="242"/>
      <c r="F16" s="242"/>
      <c r="N16" s="242">
        <f t="shared" si="0"/>
        <v>69703.0777924172</v>
      </c>
    </row>
    <row r="17" spans="1:17">
      <c r="A17" s="299">
        <v>1998</v>
      </c>
      <c r="B17" s="299">
        <v>1</v>
      </c>
      <c r="C17" s="242">
        <v>46523.561180359196</v>
      </c>
      <c r="D17" s="242">
        <v>23365</v>
      </c>
      <c r="E17" s="242"/>
      <c r="F17" s="242"/>
      <c r="N17" s="242">
        <f t="shared" si="0"/>
        <v>69888.561180359189</v>
      </c>
    </row>
    <row r="18" spans="1:17">
      <c r="A18" s="299">
        <v>1998</v>
      </c>
      <c r="B18" s="299">
        <v>2</v>
      </c>
      <c r="C18" s="242">
        <v>43561.854395345996</v>
      </c>
      <c r="D18" s="242">
        <v>19761</v>
      </c>
      <c r="E18" s="242"/>
      <c r="F18" s="242"/>
      <c r="N18" s="242">
        <f t="shared" si="0"/>
        <v>63322.854395345996</v>
      </c>
    </row>
    <row r="19" spans="1:17">
      <c r="A19" s="299">
        <v>1998</v>
      </c>
      <c r="B19" s="299">
        <v>3</v>
      </c>
      <c r="C19" s="242">
        <v>47945.404798284006</v>
      </c>
      <c r="D19" s="242">
        <v>21738</v>
      </c>
      <c r="E19" s="242"/>
      <c r="F19" s="242"/>
      <c r="N19" s="242">
        <f t="shared" si="0"/>
        <v>69683.404798283998</v>
      </c>
    </row>
    <row r="20" spans="1:17">
      <c r="A20" s="299">
        <v>1998</v>
      </c>
      <c r="B20" s="299">
        <v>4</v>
      </c>
      <c r="C20" s="242">
        <v>52621.2491297304</v>
      </c>
      <c r="D20" s="242">
        <v>23050</v>
      </c>
      <c r="E20" s="242"/>
      <c r="F20" s="242"/>
      <c r="N20" s="242">
        <f t="shared" si="0"/>
        <v>75671.249129730393</v>
      </c>
    </row>
    <row r="21" spans="1:17">
      <c r="A21" s="299">
        <v>1998</v>
      </c>
      <c r="B21" s="299">
        <v>5</v>
      </c>
      <c r="C21" s="242">
        <v>62311.215938706002</v>
      </c>
      <c r="D21" s="242">
        <v>22549</v>
      </c>
      <c r="E21" s="242"/>
      <c r="F21" s="242"/>
      <c r="N21" s="242">
        <f t="shared" si="0"/>
        <v>84860.215938706009</v>
      </c>
    </row>
    <row r="22" spans="1:17">
      <c r="A22" s="299">
        <v>1998</v>
      </c>
      <c r="B22" s="299">
        <v>6</v>
      </c>
      <c r="C22" s="242">
        <v>67772.518374884399</v>
      </c>
      <c r="D22" s="242">
        <v>24795</v>
      </c>
      <c r="E22" s="242"/>
      <c r="F22" s="242"/>
      <c r="N22" s="242">
        <f t="shared" si="0"/>
        <v>92567.518374884399</v>
      </c>
      <c r="Q22" s="284">
        <f>SUM(N11:N22)</f>
        <v>821622.06804267329</v>
      </c>
    </row>
    <row r="23" spans="1:17">
      <c r="A23" s="299">
        <v>1998</v>
      </c>
      <c r="B23" s="299">
        <v>7</v>
      </c>
      <c r="C23" s="242">
        <v>73895.950822310391</v>
      </c>
      <c r="D23" s="242">
        <v>23216</v>
      </c>
      <c r="E23" s="242"/>
      <c r="F23" s="242"/>
      <c r="N23" s="242">
        <f t="shared" si="0"/>
        <v>97111.950822310391</v>
      </c>
    </row>
    <row r="24" spans="1:17">
      <c r="A24" s="299">
        <v>1998</v>
      </c>
      <c r="B24" s="299">
        <v>8</v>
      </c>
      <c r="C24" s="242">
        <v>74612.899678993199</v>
      </c>
      <c r="D24" s="242">
        <v>23085</v>
      </c>
      <c r="E24" s="242"/>
      <c r="F24" s="242"/>
      <c r="N24" s="242">
        <f t="shared" si="0"/>
        <v>97697.899678993199</v>
      </c>
    </row>
    <row r="25" spans="1:17">
      <c r="A25" s="299">
        <v>1998</v>
      </c>
      <c r="B25" s="299">
        <v>9</v>
      </c>
      <c r="C25" s="242">
        <v>60973.199080138802</v>
      </c>
      <c r="D25" s="242">
        <v>21379</v>
      </c>
      <c r="E25" s="242"/>
      <c r="F25" s="242"/>
      <c r="N25" s="242">
        <f t="shared" si="0"/>
        <v>82352.199080138802</v>
      </c>
    </row>
    <row r="26" spans="1:17">
      <c r="A26" s="299">
        <v>1998</v>
      </c>
      <c r="B26" s="299">
        <v>10</v>
      </c>
      <c r="C26" s="242">
        <v>62789.771908541996</v>
      </c>
      <c r="D26" s="242">
        <v>22545</v>
      </c>
      <c r="E26" s="242"/>
      <c r="F26" s="242"/>
      <c r="N26" s="242">
        <f t="shared" si="0"/>
        <v>85334.771908541996</v>
      </c>
    </row>
    <row r="27" spans="1:17">
      <c r="A27" s="299">
        <v>1998</v>
      </c>
      <c r="B27" s="299">
        <v>11</v>
      </c>
      <c r="C27" s="242">
        <v>51726.203414734809</v>
      </c>
      <c r="D27" s="242">
        <v>20250</v>
      </c>
      <c r="E27" s="242"/>
      <c r="F27" s="242"/>
      <c r="N27" s="242">
        <f t="shared" si="0"/>
        <v>71976.203414734802</v>
      </c>
    </row>
    <row r="28" spans="1:17">
      <c r="A28" s="299">
        <v>1998</v>
      </c>
      <c r="B28" s="299">
        <v>12</v>
      </c>
      <c r="C28" s="242">
        <v>51616.080248594393</v>
      </c>
      <c r="D28" s="242">
        <v>16380</v>
      </c>
      <c r="E28" s="242"/>
      <c r="F28" s="242"/>
      <c r="N28" s="242">
        <f t="shared" si="0"/>
        <v>67996.0802485944</v>
      </c>
    </row>
    <row r="29" spans="1:17">
      <c r="A29" s="299">
        <v>1999</v>
      </c>
      <c r="B29" s="299">
        <v>1</v>
      </c>
      <c r="C29" s="242">
        <v>49855.714213872001</v>
      </c>
      <c r="D29" s="242">
        <v>16155</v>
      </c>
      <c r="E29" s="242"/>
      <c r="F29" s="242"/>
      <c r="N29" s="242">
        <f t="shared" si="0"/>
        <v>66010.714213872008</v>
      </c>
    </row>
    <row r="30" spans="1:17">
      <c r="A30" s="299">
        <v>1999</v>
      </c>
      <c r="B30" s="299">
        <v>2</v>
      </c>
      <c r="C30" s="242">
        <v>44030.097848393998</v>
      </c>
      <c r="D30" s="242">
        <v>15480</v>
      </c>
      <c r="E30" s="242"/>
      <c r="F30" s="242"/>
      <c r="N30" s="242">
        <f t="shared" si="0"/>
        <v>59510.097848393998</v>
      </c>
    </row>
    <row r="31" spans="1:17">
      <c r="A31" s="299">
        <v>1999</v>
      </c>
      <c r="B31" s="299">
        <v>3</v>
      </c>
      <c r="C31" s="242">
        <v>47985.840289035601</v>
      </c>
      <c r="D31" s="242">
        <v>19800</v>
      </c>
      <c r="E31" s="242"/>
      <c r="F31" s="242"/>
      <c r="N31" s="242">
        <f t="shared" si="0"/>
        <v>67785.840289035608</v>
      </c>
    </row>
    <row r="32" spans="1:17">
      <c r="A32" s="299">
        <v>1999</v>
      </c>
      <c r="B32" s="299">
        <v>4</v>
      </c>
      <c r="C32" s="242">
        <v>58019.245590700797</v>
      </c>
      <c r="D32" s="242">
        <v>27045</v>
      </c>
      <c r="E32" s="242"/>
      <c r="F32" s="242"/>
      <c r="N32" s="242">
        <f t="shared" si="0"/>
        <v>85064.245590700797</v>
      </c>
    </row>
    <row r="33" spans="1:17">
      <c r="A33" s="299">
        <v>1999</v>
      </c>
      <c r="B33" s="299">
        <v>5</v>
      </c>
      <c r="C33" s="242">
        <v>63525.128965409996</v>
      </c>
      <c r="D33" s="242">
        <v>22950</v>
      </c>
      <c r="E33" s="242"/>
      <c r="F33" s="242"/>
      <c r="N33" s="242">
        <f t="shared" si="0"/>
        <v>86475.128965409996</v>
      </c>
    </row>
    <row r="34" spans="1:17">
      <c r="A34" s="299">
        <v>1999</v>
      </c>
      <c r="B34" s="299">
        <v>6</v>
      </c>
      <c r="C34" s="242">
        <v>64494.421735119598</v>
      </c>
      <c r="D34" s="242">
        <v>21690</v>
      </c>
      <c r="E34" s="242"/>
      <c r="F34" s="242"/>
      <c r="N34" s="242">
        <f t="shared" si="0"/>
        <v>86184.421735119598</v>
      </c>
      <c r="Q34" s="284">
        <f>SUM(N23:N34)</f>
        <v>953499.55379584548</v>
      </c>
    </row>
    <row r="35" spans="1:17">
      <c r="A35" s="299">
        <v>1999</v>
      </c>
      <c r="B35" s="299">
        <v>7</v>
      </c>
      <c r="C35" s="242">
        <v>71682.438082357199</v>
      </c>
      <c r="D35" s="242">
        <v>22361</v>
      </c>
      <c r="E35" s="242"/>
      <c r="F35" s="242"/>
      <c r="N35" s="242">
        <f t="shared" si="0"/>
        <v>94043.438082357199</v>
      </c>
    </row>
    <row r="36" spans="1:17">
      <c r="A36" s="299">
        <v>1999</v>
      </c>
      <c r="B36" s="299">
        <v>8</v>
      </c>
      <c r="C36" s="242">
        <v>71860.433757403211</v>
      </c>
      <c r="D36" s="242">
        <v>24750</v>
      </c>
      <c r="E36" s="242"/>
      <c r="F36" s="242"/>
      <c r="N36" s="242">
        <f t="shared" si="0"/>
        <v>96610.433757403211</v>
      </c>
    </row>
    <row r="37" spans="1:17">
      <c r="A37" s="299">
        <v>1999</v>
      </c>
      <c r="B37" s="299">
        <v>9</v>
      </c>
      <c r="C37" s="242">
        <v>63743.416021706398</v>
      </c>
      <c r="D37" s="242">
        <v>22365</v>
      </c>
      <c r="E37" s="242"/>
      <c r="F37" s="242"/>
      <c r="N37" s="242">
        <f t="shared" si="0"/>
        <v>86108.416021706391</v>
      </c>
    </row>
    <row r="38" spans="1:17">
      <c r="A38" s="299">
        <v>1999</v>
      </c>
      <c r="B38" s="299">
        <v>10</v>
      </c>
      <c r="C38" s="242">
        <v>58041.498755024397</v>
      </c>
      <c r="D38" s="242">
        <v>27004</v>
      </c>
      <c r="E38" s="242"/>
      <c r="F38" s="242"/>
      <c r="N38" s="242">
        <f t="shared" si="0"/>
        <v>85045.498755024397</v>
      </c>
    </row>
    <row r="39" spans="1:17">
      <c r="A39" s="299">
        <v>1999</v>
      </c>
      <c r="B39" s="299">
        <v>11</v>
      </c>
      <c r="C39" s="242">
        <v>47686.120121975997</v>
      </c>
      <c r="D39" s="242">
        <v>24300</v>
      </c>
      <c r="E39" s="242"/>
      <c r="F39" s="242"/>
      <c r="N39" s="242">
        <f t="shared" si="0"/>
        <v>71986.120121975997</v>
      </c>
    </row>
    <row r="40" spans="1:17">
      <c r="A40" s="299">
        <v>1999</v>
      </c>
      <c r="B40" s="299">
        <v>12</v>
      </c>
      <c r="C40" s="242">
        <v>48111.217599186006</v>
      </c>
      <c r="D40" s="242">
        <v>16965</v>
      </c>
      <c r="E40" s="242">
        <v>528.971</v>
      </c>
      <c r="F40" s="242">
        <v>0</v>
      </c>
      <c r="N40" s="242">
        <f t="shared" si="0"/>
        <v>65605.188599186004</v>
      </c>
    </row>
    <row r="41" spans="1:17">
      <c r="A41" s="299">
        <v>2000</v>
      </c>
      <c r="B41" s="299">
        <v>1</v>
      </c>
      <c r="C41" s="242">
        <v>50042.8490886324</v>
      </c>
      <c r="D41" s="242">
        <v>18581</v>
      </c>
      <c r="E41" s="242">
        <v>729.52499999999998</v>
      </c>
      <c r="F41" s="242">
        <v>0</v>
      </c>
      <c r="N41" s="242">
        <f t="shared" si="0"/>
        <v>69353.374088632394</v>
      </c>
    </row>
    <row r="42" spans="1:17">
      <c r="A42" s="299">
        <v>2000</v>
      </c>
      <c r="B42" s="299">
        <v>2</v>
      </c>
      <c r="C42" s="242">
        <v>47086.895441082001</v>
      </c>
      <c r="D42" s="242">
        <v>17779</v>
      </c>
      <c r="E42" s="242">
        <v>422.71800000000002</v>
      </c>
      <c r="F42" s="242">
        <v>0</v>
      </c>
      <c r="N42" s="242">
        <f t="shared" si="0"/>
        <v>65288.613441082001</v>
      </c>
    </row>
    <row r="43" spans="1:17">
      <c r="A43" s="299">
        <v>2000</v>
      </c>
      <c r="B43" s="299">
        <v>3</v>
      </c>
      <c r="C43" s="242">
        <v>57271.8732764136</v>
      </c>
      <c r="D43" s="242">
        <v>24705</v>
      </c>
      <c r="E43" s="242">
        <v>676.00300000000004</v>
      </c>
      <c r="F43" s="242">
        <v>0</v>
      </c>
      <c r="N43" s="242">
        <f t="shared" si="0"/>
        <v>82652.87627641359</v>
      </c>
    </row>
    <row r="44" spans="1:17">
      <c r="A44" s="299">
        <v>2000</v>
      </c>
      <c r="B44" s="299">
        <v>4</v>
      </c>
      <c r="C44" s="242">
        <v>55358.319863968805</v>
      </c>
      <c r="D44" s="242">
        <v>21870</v>
      </c>
      <c r="E44" s="242">
        <v>584.00800000000004</v>
      </c>
      <c r="F44" s="242">
        <v>0</v>
      </c>
      <c r="N44" s="242">
        <f t="shared" si="0"/>
        <v>77812.327863968807</v>
      </c>
    </row>
    <row r="45" spans="1:17">
      <c r="A45" s="299">
        <v>2000</v>
      </c>
      <c r="B45" s="299">
        <v>5</v>
      </c>
      <c r="C45" s="242">
        <v>64893.824794881606</v>
      </c>
      <c r="D45" s="242">
        <v>24390</v>
      </c>
      <c r="E45" s="242">
        <v>654.25800000000004</v>
      </c>
      <c r="F45" s="242">
        <v>0</v>
      </c>
      <c r="N45" s="242">
        <f t="shared" si="0"/>
        <v>89938.0827948816</v>
      </c>
    </row>
    <row r="46" spans="1:17">
      <c r="A46" s="299">
        <v>2000</v>
      </c>
      <c r="B46" s="299">
        <v>6</v>
      </c>
      <c r="C46" s="242">
        <v>67336.598376339593</v>
      </c>
      <c r="D46" s="242">
        <v>25650</v>
      </c>
      <c r="E46" s="242">
        <v>328.80599999999998</v>
      </c>
      <c r="F46" s="242">
        <v>0</v>
      </c>
      <c r="N46" s="242">
        <f t="shared" si="0"/>
        <v>93315.404376339589</v>
      </c>
      <c r="Q46" s="284">
        <f>SUM(N35:N46)</f>
        <v>977759.77417897107</v>
      </c>
    </row>
    <row r="47" spans="1:17">
      <c r="A47" s="299">
        <v>2000</v>
      </c>
      <c r="B47" s="299">
        <v>7</v>
      </c>
      <c r="C47" s="242">
        <v>73460.658364430405</v>
      </c>
      <c r="D47" s="242">
        <v>28125</v>
      </c>
      <c r="E47" s="242">
        <v>152.71600000000001</v>
      </c>
      <c r="F47" s="242">
        <v>0</v>
      </c>
      <c r="N47" s="242">
        <f t="shared" si="0"/>
        <v>101738.3743644304</v>
      </c>
    </row>
    <row r="48" spans="1:17">
      <c r="A48" s="299">
        <v>2000</v>
      </c>
      <c r="B48" s="299">
        <v>8</v>
      </c>
      <c r="C48" s="242">
        <v>71315.856217006803</v>
      </c>
      <c r="D48" s="242">
        <v>26640</v>
      </c>
      <c r="E48" s="242">
        <v>502.19900000000001</v>
      </c>
      <c r="F48" s="242">
        <v>0</v>
      </c>
      <c r="N48" s="242">
        <f t="shared" si="0"/>
        <v>98458.055217006797</v>
      </c>
    </row>
    <row r="49" spans="1:17">
      <c r="A49" s="299">
        <v>2000</v>
      </c>
      <c r="B49" s="299">
        <v>9</v>
      </c>
      <c r="C49" s="242">
        <v>68080.807435972805</v>
      </c>
      <c r="D49" s="242">
        <v>23490</v>
      </c>
      <c r="E49" s="242">
        <v>553.36199999999997</v>
      </c>
      <c r="F49" s="242">
        <v>0</v>
      </c>
      <c r="N49" s="242">
        <f t="shared" si="0"/>
        <v>92124.169435972799</v>
      </c>
    </row>
    <row r="50" spans="1:17">
      <c r="A50" s="299">
        <v>2000</v>
      </c>
      <c r="B50" s="299">
        <v>10</v>
      </c>
      <c r="C50" s="242">
        <v>56327.532913528798</v>
      </c>
      <c r="D50" s="242">
        <v>22455</v>
      </c>
      <c r="E50" s="242">
        <v>528.36199999999997</v>
      </c>
      <c r="F50" s="242">
        <v>0</v>
      </c>
      <c r="N50" s="242">
        <f t="shared" si="0"/>
        <v>79310.894913528784</v>
      </c>
    </row>
    <row r="51" spans="1:17">
      <c r="A51" s="299">
        <v>2000</v>
      </c>
      <c r="B51" s="299">
        <v>11</v>
      </c>
      <c r="C51" s="242">
        <v>50167.366852041596</v>
      </c>
      <c r="D51" s="242">
        <v>19350</v>
      </c>
      <c r="E51" s="242">
        <v>569.60699999999997</v>
      </c>
      <c r="F51" s="242">
        <v>0</v>
      </c>
      <c r="N51" s="242">
        <f t="shared" si="0"/>
        <v>70086.973852041599</v>
      </c>
    </row>
    <row r="52" spans="1:17">
      <c r="A52" s="299">
        <v>2000</v>
      </c>
      <c r="B52" s="299">
        <v>12</v>
      </c>
      <c r="C52" s="242">
        <v>49761.956163570008</v>
      </c>
      <c r="D52" s="242">
        <v>16875</v>
      </c>
      <c r="E52" s="242">
        <v>549.96299999999997</v>
      </c>
      <c r="F52" s="242">
        <v>0</v>
      </c>
      <c r="N52" s="242">
        <f t="shared" si="0"/>
        <v>67186.919163570012</v>
      </c>
    </row>
    <row r="53" spans="1:17">
      <c r="A53" s="299">
        <v>2001</v>
      </c>
      <c r="B53" s="299">
        <v>1</v>
      </c>
      <c r="C53" s="242">
        <v>53344.137137558399</v>
      </c>
      <c r="D53" s="242">
        <v>25545</v>
      </c>
      <c r="E53" s="242">
        <v>440.91699999999997</v>
      </c>
      <c r="F53" s="242">
        <v>0</v>
      </c>
      <c r="N53" s="242">
        <f t="shared" si="0"/>
        <v>79330.0541375584</v>
      </c>
    </row>
    <row r="54" spans="1:17">
      <c r="A54" s="299">
        <v>2001</v>
      </c>
      <c r="B54" s="299">
        <v>2</v>
      </c>
      <c r="C54" s="242">
        <v>50522.204304070794</v>
      </c>
      <c r="D54" s="242">
        <v>23775</v>
      </c>
      <c r="E54" s="242">
        <v>463.08800000000002</v>
      </c>
      <c r="F54" s="242">
        <v>0</v>
      </c>
      <c r="N54" s="242">
        <f t="shared" si="0"/>
        <v>74760.292304070797</v>
      </c>
    </row>
    <row r="55" spans="1:17">
      <c r="A55" s="299">
        <v>2001</v>
      </c>
      <c r="B55" s="299">
        <v>3</v>
      </c>
      <c r="C55" s="242">
        <v>57666.907058745601</v>
      </c>
      <c r="D55" s="242">
        <v>24250</v>
      </c>
      <c r="E55" s="242">
        <v>597.70799999999997</v>
      </c>
      <c r="F55" s="242">
        <v>0</v>
      </c>
      <c r="N55" s="242">
        <f t="shared" si="0"/>
        <v>82514.615058745592</v>
      </c>
    </row>
    <row r="56" spans="1:17">
      <c r="A56" s="299">
        <v>2001</v>
      </c>
      <c r="B56" s="299">
        <v>4</v>
      </c>
      <c r="C56" s="242">
        <v>56578.629921651591</v>
      </c>
      <c r="D56" s="242">
        <v>22730</v>
      </c>
      <c r="E56" s="242">
        <v>538.69200000000001</v>
      </c>
      <c r="F56" s="242">
        <v>0</v>
      </c>
      <c r="N56" s="242">
        <f t="shared" si="0"/>
        <v>79847.321921651586</v>
      </c>
    </row>
    <row r="57" spans="1:17">
      <c r="A57" s="299">
        <v>2001</v>
      </c>
      <c r="B57" s="299">
        <v>5</v>
      </c>
      <c r="C57" s="242">
        <v>58618.450852583999</v>
      </c>
      <c r="D57" s="242">
        <v>22275</v>
      </c>
      <c r="E57" s="242">
        <v>518.87900000000002</v>
      </c>
      <c r="F57" s="242">
        <v>0</v>
      </c>
      <c r="N57" s="242">
        <f t="shared" si="0"/>
        <v>81412.329852584007</v>
      </c>
    </row>
    <row r="58" spans="1:17">
      <c r="A58" s="299">
        <v>2001</v>
      </c>
      <c r="B58" s="299">
        <v>6</v>
      </c>
      <c r="C58" s="242">
        <v>69406.939859930397</v>
      </c>
      <c r="D58" s="242">
        <v>22185</v>
      </c>
      <c r="E58" s="242">
        <v>422.74299999999999</v>
      </c>
      <c r="F58" s="242">
        <v>0</v>
      </c>
      <c r="N58" s="242">
        <f t="shared" si="0"/>
        <v>92014.682859930399</v>
      </c>
      <c r="Q58" s="284">
        <f>SUM(N47:N58)</f>
        <v>998784.68308109127</v>
      </c>
    </row>
    <row r="59" spans="1:17">
      <c r="A59" s="299">
        <v>2001</v>
      </c>
      <c r="B59" s="299">
        <v>7</v>
      </c>
      <c r="C59" s="242">
        <v>71205.565434141608</v>
      </c>
      <c r="D59" s="242">
        <v>21565</v>
      </c>
      <c r="E59" s="242">
        <v>579.89499999999998</v>
      </c>
      <c r="F59" s="242">
        <v>0</v>
      </c>
      <c r="N59" s="242">
        <f t="shared" si="0"/>
        <v>93350.460434141612</v>
      </c>
    </row>
    <row r="60" spans="1:17">
      <c r="A60" s="299">
        <v>2001</v>
      </c>
      <c r="B60" s="299">
        <v>8</v>
      </c>
      <c r="C60" s="242">
        <v>72239.322165334801</v>
      </c>
      <c r="D60" s="242">
        <v>22950</v>
      </c>
      <c r="E60" s="242">
        <v>603.68399999999997</v>
      </c>
      <c r="F60" s="242">
        <v>0</v>
      </c>
      <c r="N60" s="242">
        <f t="shared" si="0"/>
        <v>95793.006165334795</v>
      </c>
    </row>
    <row r="61" spans="1:17">
      <c r="A61" s="299">
        <v>2001</v>
      </c>
      <c r="B61" s="299">
        <v>9</v>
      </c>
      <c r="C61" s="242">
        <v>64010.244472683604</v>
      </c>
      <c r="D61" s="242">
        <v>18225</v>
      </c>
      <c r="E61" s="242">
        <v>513.78800000000001</v>
      </c>
      <c r="F61" s="242">
        <v>0</v>
      </c>
      <c r="N61" s="242">
        <f t="shared" si="0"/>
        <v>82749.032472683612</v>
      </c>
    </row>
    <row r="62" spans="1:17">
      <c r="A62" s="299">
        <v>2001</v>
      </c>
      <c r="B62" s="299">
        <v>10</v>
      </c>
      <c r="C62" s="242">
        <v>61039.202253741591</v>
      </c>
      <c r="D62" s="242">
        <v>16635</v>
      </c>
      <c r="E62" s="242">
        <v>503.01900000000001</v>
      </c>
      <c r="F62" s="242">
        <v>0</v>
      </c>
      <c r="N62" s="242">
        <f t="shared" si="0"/>
        <v>78177.221253741591</v>
      </c>
    </row>
    <row r="63" spans="1:17">
      <c r="A63" s="299">
        <v>2001</v>
      </c>
      <c r="B63" s="299">
        <v>11</v>
      </c>
      <c r="C63" s="242">
        <v>48849.465022503602</v>
      </c>
      <c r="D63" s="242">
        <v>18225</v>
      </c>
      <c r="E63" s="242">
        <v>500.68700000000001</v>
      </c>
      <c r="F63" s="242">
        <v>0</v>
      </c>
      <c r="N63" s="242">
        <f t="shared" si="0"/>
        <v>67575.152022503607</v>
      </c>
    </row>
    <row r="64" spans="1:17">
      <c r="A64" s="299">
        <v>2001</v>
      </c>
      <c r="B64" s="299">
        <v>12</v>
      </c>
      <c r="C64" s="242">
        <v>53656.244589401998</v>
      </c>
      <c r="D64" s="242">
        <v>16635</v>
      </c>
      <c r="E64" s="242">
        <v>595.255</v>
      </c>
      <c r="F64" s="242">
        <v>0</v>
      </c>
      <c r="N64" s="242">
        <f t="shared" si="0"/>
        <v>70886.499589401996</v>
      </c>
    </row>
    <row r="65" spans="1:17">
      <c r="A65" s="299">
        <v>2002</v>
      </c>
      <c r="B65" s="299">
        <v>1</v>
      </c>
      <c r="C65" s="242">
        <v>55384.332139962004</v>
      </c>
      <c r="D65" s="242">
        <v>16605</v>
      </c>
      <c r="E65" s="242">
        <v>603.52300000000002</v>
      </c>
      <c r="F65" s="242">
        <v>0</v>
      </c>
      <c r="N65" s="242">
        <f t="shared" si="0"/>
        <v>72592.855139962005</v>
      </c>
    </row>
    <row r="66" spans="1:17">
      <c r="A66" s="299">
        <v>2002</v>
      </c>
      <c r="B66" s="299">
        <v>2</v>
      </c>
      <c r="C66" s="242">
        <v>48051.072834525599</v>
      </c>
      <c r="D66" s="242">
        <v>17370</v>
      </c>
      <c r="E66" s="242">
        <v>454.15800000000002</v>
      </c>
      <c r="F66" s="242">
        <v>0</v>
      </c>
      <c r="N66" s="242">
        <f t="shared" si="0"/>
        <v>65875.230834525602</v>
      </c>
    </row>
    <row r="67" spans="1:17">
      <c r="A67" s="299">
        <v>2002</v>
      </c>
      <c r="B67" s="299">
        <v>3</v>
      </c>
      <c r="C67" s="242">
        <v>61457.624701502398</v>
      </c>
      <c r="D67" s="242">
        <v>24080</v>
      </c>
      <c r="E67" s="242">
        <v>422.97800000000001</v>
      </c>
      <c r="F67" s="242">
        <v>0</v>
      </c>
      <c r="N67" s="242">
        <f t="shared" si="0"/>
        <v>85960.602701502401</v>
      </c>
    </row>
    <row r="68" spans="1:17">
      <c r="A68" s="299">
        <v>2002</v>
      </c>
      <c r="B68" s="299">
        <v>4</v>
      </c>
      <c r="C68" s="242">
        <v>63357.725849728806</v>
      </c>
      <c r="D68" s="242">
        <v>25720</v>
      </c>
      <c r="E68" s="242">
        <v>507.98</v>
      </c>
      <c r="F68" s="242">
        <v>0</v>
      </c>
      <c r="N68" s="242">
        <f t="shared" si="0"/>
        <v>89585.705849728794</v>
      </c>
    </row>
    <row r="69" spans="1:17">
      <c r="A69" s="299">
        <v>2002</v>
      </c>
      <c r="B69" s="299">
        <v>5</v>
      </c>
      <c r="C69" s="242">
        <v>68832.3313303584</v>
      </c>
      <c r="D69" s="242">
        <v>22140</v>
      </c>
      <c r="E69" s="242">
        <v>453.29500000000002</v>
      </c>
      <c r="F69" s="242">
        <v>0</v>
      </c>
      <c r="N69" s="242">
        <f t="shared" si="0"/>
        <v>91425.626330358398</v>
      </c>
    </row>
    <row r="70" spans="1:17">
      <c r="A70" s="299">
        <v>2002</v>
      </c>
      <c r="B70" s="299">
        <v>6</v>
      </c>
      <c r="C70" s="242">
        <v>67189.662898041599</v>
      </c>
      <c r="D70" s="242">
        <v>21555</v>
      </c>
      <c r="E70" s="242">
        <v>397.47</v>
      </c>
      <c r="F70" s="242">
        <v>0</v>
      </c>
      <c r="N70" s="242">
        <f t="shared" si="0"/>
        <v>89142.1328980416</v>
      </c>
      <c r="Q70" s="284">
        <f>SUM(N59:N70)</f>
        <v>983113.52569192613</v>
      </c>
    </row>
    <row r="71" spans="1:17">
      <c r="A71" s="299">
        <v>2002</v>
      </c>
      <c r="B71" s="299">
        <v>7</v>
      </c>
      <c r="C71" s="242">
        <v>72728.857030645202</v>
      </c>
      <c r="D71" s="242">
        <v>22905</v>
      </c>
      <c r="E71" s="242">
        <v>505.97</v>
      </c>
      <c r="F71" s="242">
        <v>0</v>
      </c>
      <c r="N71" s="242">
        <f t="shared" si="0"/>
        <v>96139.827030645203</v>
      </c>
    </row>
    <row r="72" spans="1:17">
      <c r="A72" s="299">
        <v>2002</v>
      </c>
      <c r="B72" s="299">
        <v>8</v>
      </c>
      <c r="C72" s="242">
        <v>75071.511302684405</v>
      </c>
      <c r="D72" s="242">
        <v>23895</v>
      </c>
      <c r="E72" s="242">
        <v>575.23500000000001</v>
      </c>
      <c r="F72" s="242">
        <v>0</v>
      </c>
      <c r="N72" s="242">
        <f t="shared" si="0"/>
        <v>99541.746302684405</v>
      </c>
    </row>
    <row r="73" spans="1:17">
      <c r="A73" s="299">
        <v>2002</v>
      </c>
      <c r="B73" s="299">
        <v>9</v>
      </c>
      <c r="C73" s="242">
        <v>69745.654422729596</v>
      </c>
      <c r="D73" s="242">
        <v>23850</v>
      </c>
      <c r="E73" s="242">
        <v>566.84699999999998</v>
      </c>
      <c r="F73" s="242">
        <v>0</v>
      </c>
      <c r="N73" s="242">
        <f t="shared" si="0"/>
        <v>94162.501422729591</v>
      </c>
    </row>
    <row r="74" spans="1:17">
      <c r="A74" s="299">
        <v>2002</v>
      </c>
      <c r="B74" s="299">
        <v>10</v>
      </c>
      <c r="C74" s="242">
        <v>69115.090524564002</v>
      </c>
      <c r="D74" s="242">
        <v>26280</v>
      </c>
      <c r="E74" s="242">
        <v>518.221</v>
      </c>
      <c r="F74" s="242">
        <v>0</v>
      </c>
      <c r="N74" s="242">
        <f t="shared" si="0"/>
        <v>95913.311524564007</v>
      </c>
    </row>
    <row r="75" spans="1:17">
      <c r="A75" s="299">
        <v>2002</v>
      </c>
      <c r="B75" s="299">
        <v>11</v>
      </c>
      <c r="C75" s="242">
        <v>54246.082733707197</v>
      </c>
      <c r="D75" s="242">
        <v>17955</v>
      </c>
      <c r="E75" s="242">
        <v>603.22500000000002</v>
      </c>
      <c r="F75" s="242">
        <v>0</v>
      </c>
      <c r="N75" s="242">
        <f t="shared" ref="N75:N138" si="1">SUM(C75:G75)</f>
        <v>72804.307733707203</v>
      </c>
    </row>
    <row r="76" spans="1:17">
      <c r="A76" s="299">
        <v>2002</v>
      </c>
      <c r="B76" s="299">
        <v>12</v>
      </c>
      <c r="C76" s="242">
        <v>52941.990887007596</v>
      </c>
      <c r="D76" s="242">
        <v>18765</v>
      </c>
      <c r="E76" s="242">
        <v>637.71100000000001</v>
      </c>
      <c r="F76" s="242">
        <v>0</v>
      </c>
      <c r="N76" s="242">
        <f t="shared" si="1"/>
        <v>72344.701887007584</v>
      </c>
    </row>
    <row r="77" spans="1:17">
      <c r="A77" s="254">
        <v>2003</v>
      </c>
      <c r="B77" s="299">
        <v>1</v>
      </c>
      <c r="C77" s="242">
        <v>54762.159298568396</v>
      </c>
      <c r="D77" s="242">
        <v>17285</v>
      </c>
      <c r="E77" s="242">
        <v>622.22299999999996</v>
      </c>
      <c r="F77" s="242">
        <v>0</v>
      </c>
      <c r="N77" s="242">
        <f t="shared" si="1"/>
        <v>72669.382298568395</v>
      </c>
    </row>
    <row r="78" spans="1:17">
      <c r="A78" s="254">
        <v>2003</v>
      </c>
      <c r="B78" s="299">
        <v>2</v>
      </c>
      <c r="C78" s="242">
        <v>51238.494958492804</v>
      </c>
      <c r="D78" s="242">
        <v>19805</v>
      </c>
      <c r="E78" s="242">
        <v>332.17500000000001</v>
      </c>
      <c r="F78" s="242">
        <v>0</v>
      </c>
      <c r="N78" s="242">
        <f t="shared" si="1"/>
        <v>71375.669958492814</v>
      </c>
    </row>
    <row r="79" spans="1:17">
      <c r="A79" s="254">
        <v>2003</v>
      </c>
      <c r="B79" s="299">
        <v>3</v>
      </c>
      <c r="C79" s="242">
        <v>68809.810388096404</v>
      </c>
      <c r="D79" s="242">
        <v>23940</v>
      </c>
      <c r="E79" s="242">
        <v>481.82</v>
      </c>
      <c r="F79" s="242">
        <v>0</v>
      </c>
      <c r="N79" s="242">
        <f t="shared" si="1"/>
        <v>93231.630388096411</v>
      </c>
    </row>
    <row r="80" spans="1:17">
      <c r="A80" s="254">
        <v>2003</v>
      </c>
      <c r="B80" s="299">
        <v>4</v>
      </c>
      <c r="C80" s="242">
        <v>60046.982786649598</v>
      </c>
      <c r="D80" s="242">
        <v>23175</v>
      </c>
      <c r="E80" s="242">
        <v>622.096</v>
      </c>
      <c r="F80" s="242">
        <v>0</v>
      </c>
      <c r="N80" s="242">
        <f t="shared" si="1"/>
        <v>83844.07878664961</v>
      </c>
    </row>
    <row r="81" spans="1:17">
      <c r="A81" s="254">
        <v>2003</v>
      </c>
      <c r="B81" s="299">
        <v>5</v>
      </c>
      <c r="C81" s="242">
        <v>72820.539290897999</v>
      </c>
      <c r="D81" s="242">
        <v>23760</v>
      </c>
      <c r="E81" s="242">
        <v>551.01300000000003</v>
      </c>
      <c r="F81" s="242">
        <v>0</v>
      </c>
      <c r="N81" s="242">
        <f t="shared" si="1"/>
        <v>97131.552290898006</v>
      </c>
    </row>
    <row r="82" spans="1:17">
      <c r="A82" s="254">
        <v>2003</v>
      </c>
      <c r="B82" s="299">
        <v>6</v>
      </c>
      <c r="C82" s="242">
        <v>71205.493890417594</v>
      </c>
      <c r="D82" s="242">
        <v>22320</v>
      </c>
      <c r="E82" s="242">
        <v>559.28200000000004</v>
      </c>
      <c r="F82" s="242">
        <v>0</v>
      </c>
      <c r="N82" s="242">
        <f t="shared" si="1"/>
        <v>94084.775890417601</v>
      </c>
      <c r="Q82" s="284">
        <f>SUM(N71:N82)</f>
        <v>1043243.4855144609</v>
      </c>
    </row>
    <row r="83" spans="1:17">
      <c r="A83" s="254">
        <v>2003</v>
      </c>
      <c r="B83" s="299">
        <v>7</v>
      </c>
      <c r="C83" s="242">
        <v>76120.291193864396</v>
      </c>
      <c r="D83" s="242">
        <v>23355</v>
      </c>
      <c r="E83" s="242">
        <v>564.072</v>
      </c>
      <c r="F83" s="242">
        <v>0</v>
      </c>
      <c r="N83" s="242">
        <f t="shared" si="1"/>
        <v>100039.3631938644</v>
      </c>
    </row>
    <row r="84" spans="1:17">
      <c r="A84" s="254">
        <v>2003</v>
      </c>
      <c r="B84" s="299">
        <v>8</v>
      </c>
      <c r="C84" s="242">
        <v>74999.508676797588</v>
      </c>
      <c r="D84" s="242">
        <v>23310</v>
      </c>
      <c r="E84" s="242">
        <v>544.89200000000005</v>
      </c>
      <c r="F84" s="242">
        <v>0</v>
      </c>
      <c r="N84" s="242">
        <f t="shared" si="1"/>
        <v>98854.400676797595</v>
      </c>
    </row>
    <row r="85" spans="1:17">
      <c r="A85" s="254">
        <v>2003</v>
      </c>
      <c r="B85" s="299">
        <v>9</v>
      </c>
      <c r="C85" s="242">
        <v>68905.001356984809</v>
      </c>
      <c r="D85" s="242">
        <v>22725</v>
      </c>
      <c r="E85" s="242">
        <v>468.04399999999998</v>
      </c>
      <c r="F85" s="242">
        <v>0</v>
      </c>
      <c r="N85" s="242">
        <f t="shared" si="1"/>
        <v>92098.045356984803</v>
      </c>
    </row>
    <row r="86" spans="1:17">
      <c r="A86" s="254">
        <v>2003</v>
      </c>
      <c r="B86" s="299">
        <v>10</v>
      </c>
      <c r="C86" s="242">
        <v>68342.58490003561</v>
      </c>
      <c r="D86" s="242">
        <v>20430</v>
      </c>
      <c r="E86" s="242">
        <v>496.73399999999998</v>
      </c>
      <c r="F86" s="242">
        <v>0</v>
      </c>
      <c r="N86" s="242">
        <f t="shared" si="1"/>
        <v>89269.318900035607</v>
      </c>
    </row>
    <row r="87" spans="1:17">
      <c r="A87" s="254">
        <v>2003</v>
      </c>
      <c r="B87" s="299">
        <v>11</v>
      </c>
      <c r="C87" s="242">
        <v>57625.108149025204</v>
      </c>
      <c r="D87" s="242">
        <v>18675</v>
      </c>
      <c r="E87" s="242">
        <v>411.65699999999998</v>
      </c>
      <c r="F87" s="242">
        <v>0</v>
      </c>
      <c r="N87" s="242">
        <f t="shared" si="1"/>
        <v>76711.765149025217</v>
      </c>
    </row>
    <row r="88" spans="1:17">
      <c r="A88" s="254">
        <v>2003</v>
      </c>
      <c r="B88" s="299">
        <v>12</v>
      </c>
      <c r="C88" s="242">
        <v>49730.470792690801</v>
      </c>
      <c r="D88" s="242">
        <v>23694</v>
      </c>
      <c r="E88" s="242">
        <v>478.07400000000001</v>
      </c>
      <c r="F88" s="242">
        <v>0</v>
      </c>
      <c r="N88" s="242">
        <f t="shared" si="1"/>
        <v>73902.544792690795</v>
      </c>
    </row>
    <row r="89" spans="1:17">
      <c r="A89" s="254">
        <v>2004</v>
      </c>
      <c r="B89" s="254">
        <v>1</v>
      </c>
      <c r="C89" s="242">
        <v>51262.885236057598</v>
      </c>
      <c r="D89" s="242">
        <v>18945</v>
      </c>
      <c r="E89" s="242">
        <v>461.71</v>
      </c>
      <c r="F89" s="242">
        <v>0</v>
      </c>
      <c r="N89" s="242">
        <f t="shared" si="1"/>
        <v>70669.595236057605</v>
      </c>
    </row>
    <row r="90" spans="1:17">
      <c r="A90" s="254">
        <v>2004</v>
      </c>
      <c r="B90" s="254">
        <v>2</v>
      </c>
      <c r="C90" s="242">
        <v>52531.249169044801</v>
      </c>
      <c r="D90" s="242">
        <v>16065</v>
      </c>
      <c r="E90" s="242">
        <v>446.14600000000002</v>
      </c>
      <c r="F90" s="242">
        <v>0</v>
      </c>
      <c r="N90" s="242">
        <f t="shared" si="1"/>
        <v>69042.395169044801</v>
      </c>
    </row>
    <row r="91" spans="1:17">
      <c r="A91" s="254">
        <v>2004</v>
      </c>
      <c r="B91" s="254">
        <v>3</v>
      </c>
      <c r="C91" s="242">
        <v>56946.288009021599</v>
      </c>
      <c r="D91" s="242">
        <v>18855</v>
      </c>
      <c r="E91" s="242">
        <v>416.70699999999999</v>
      </c>
      <c r="F91" s="242">
        <v>0</v>
      </c>
      <c r="N91" s="242">
        <f t="shared" si="1"/>
        <v>76217.995009021601</v>
      </c>
    </row>
    <row r="92" spans="1:17">
      <c r="A92" s="254">
        <v>2004</v>
      </c>
      <c r="B92" s="254">
        <v>4</v>
      </c>
      <c r="C92" s="242">
        <v>56866.507558282799</v>
      </c>
      <c r="D92" s="242">
        <v>21060</v>
      </c>
      <c r="E92" s="242">
        <v>455.91899999999998</v>
      </c>
      <c r="F92" s="242">
        <v>0</v>
      </c>
      <c r="N92" s="242">
        <f t="shared" si="1"/>
        <v>78382.426558282794</v>
      </c>
    </row>
    <row r="93" spans="1:17">
      <c r="A93" s="254">
        <v>2004</v>
      </c>
      <c r="B93" s="254">
        <v>5</v>
      </c>
      <c r="C93" s="242">
        <v>66557.549567224793</v>
      </c>
      <c r="D93" s="242">
        <v>22590</v>
      </c>
      <c r="E93" s="242">
        <v>516.03599999999994</v>
      </c>
      <c r="F93" s="242">
        <v>0</v>
      </c>
      <c r="N93" s="242">
        <f t="shared" si="1"/>
        <v>89663.585567224785</v>
      </c>
    </row>
    <row r="94" spans="1:17">
      <c r="A94" s="254">
        <v>2004</v>
      </c>
      <c r="B94" s="254">
        <v>6</v>
      </c>
      <c r="C94" s="242">
        <v>73324.853045480399</v>
      </c>
      <c r="D94" s="242">
        <v>21960</v>
      </c>
      <c r="E94" s="242">
        <v>467.48599999999999</v>
      </c>
      <c r="F94" s="242">
        <v>0</v>
      </c>
      <c r="N94" s="242">
        <f t="shared" si="1"/>
        <v>95752.339045480403</v>
      </c>
      <c r="Q94" s="284">
        <f>SUM(N83:N94)</f>
        <v>1010603.7746545104</v>
      </c>
    </row>
    <row r="95" spans="1:17">
      <c r="A95" s="254">
        <v>2004</v>
      </c>
      <c r="B95" s="254">
        <v>7</v>
      </c>
      <c r="C95" s="242">
        <v>77372.125460448005</v>
      </c>
      <c r="D95" s="242">
        <v>22770</v>
      </c>
      <c r="E95" s="242">
        <v>477.48500000000001</v>
      </c>
      <c r="F95" s="242">
        <v>0</v>
      </c>
      <c r="N95" s="242">
        <f t="shared" si="1"/>
        <v>100619.61046044801</v>
      </c>
    </row>
    <row r="96" spans="1:17">
      <c r="A96" s="254">
        <v>2004</v>
      </c>
      <c r="B96" s="254">
        <v>8</v>
      </c>
      <c r="C96" s="242">
        <v>75760.210608919195</v>
      </c>
      <c r="D96" s="242">
        <v>22635</v>
      </c>
      <c r="E96" s="242">
        <v>473.69643000000002</v>
      </c>
      <c r="F96" s="242">
        <v>0</v>
      </c>
      <c r="N96" s="242">
        <f t="shared" si="1"/>
        <v>98868.907038919191</v>
      </c>
    </row>
    <row r="97" spans="1:17">
      <c r="A97" s="254">
        <v>2004</v>
      </c>
      <c r="B97" s="254">
        <v>9</v>
      </c>
      <c r="C97" s="242">
        <v>67372.814831481606</v>
      </c>
      <c r="D97" s="242">
        <v>23625</v>
      </c>
      <c r="E97" s="242">
        <v>381.702</v>
      </c>
      <c r="F97" s="242">
        <v>0</v>
      </c>
      <c r="N97" s="242">
        <f t="shared" si="1"/>
        <v>91379.516831481611</v>
      </c>
    </row>
    <row r="98" spans="1:17">
      <c r="A98" s="254">
        <v>2004</v>
      </c>
      <c r="B98" s="254">
        <v>10</v>
      </c>
      <c r="C98" s="242">
        <v>65987.966473237204</v>
      </c>
      <c r="D98" s="242">
        <v>24705</v>
      </c>
      <c r="E98" s="242">
        <v>421.31900000000002</v>
      </c>
      <c r="F98" s="242">
        <v>0</v>
      </c>
      <c r="N98" s="242">
        <f t="shared" si="1"/>
        <v>91114.285473237207</v>
      </c>
    </row>
    <row r="99" spans="1:17">
      <c r="A99" s="254">
        <v>2004</v>
      </c>
      <c r="B99" s="254">
        <v>11</v>
      </c>
      <c r="C99" s="242">
        <v>55954.1697251964</v>
      </c>
      <c r="D99" s="242">
        <v>18000</v>
      </c>
      <c r="E99" s="242">
        <v>487.90800000000002</v>
      </c>
      <c r="F99" s="242">
        <v>0</v>
      </c>
      <c r="N99" s="242">
        <f t="shared" si="1"/>
        <v>74442.077725196403</v>
      </c>
    </row>
    <row r="100" spans="1:17">
      <c r="A100" s="254">
        <v>2004</v>
      </c>
      <c r="B100" s="254">
        <v>12</v>
      </c>
      <c r="C100" s="242">
        <v>53606.168070814798</v>
      </c>
      <c r="D100" s="242">
        <v>21195</v>
      </c>
      <c r="E100" s="242">
        <v>517.53599999999994</v>
      </c>
      <c r="F100" s="242">
        <v>0</v>
      </c>
      <c r="N100" s="242">
        <f t="shared" si="1"/>
        <v>75318.704070814798</v>
      </c>
    </row>
    <row r="101" spans="1:17">
      <c r="A101" s="254">
        <v>2005</v>
      </c>
      <c r="B101" s="254">
        <v>1</v>
      </c>
      <c r="C101" s="242">
        <v>54523.399494622798</v>
      </c>
      <c r="D101" s="242">
        <v>18675</v>
      </c>
      <c r="E101" s="242">
        <v>447.93400000000003</v>
      </c>
      <c r="F101" s="242">
        <v>0</v>
      </c>
      <c r="N101" s="242">
        <f t="shared" si="1"/>
        <v>73646.333494622799</v>
      </c>
    </row>
    <row r="102" spans="1:17">
      <c r="A102" s="254">
        <v>2005</v>
      </c>
      <c r="B102" s="254">
        <v>2</v>
      </c>
      <c r="C102" s="242">
        <v>48737.721902041201</v>
      </c>
      <c r="D102" s="242">
        <v>16425</v>
      </c>
      <c r="E102" s="242">
        <v>228.422</v>
      </c>
      <c r="F102" s="242">
        <v>0</v>
      </c>
      <c r="N102" s="242">
        <f t="shared" si="1"/>
        <v>65391.1439020412</v>
      </c>
    </row>
    <row r="103" spans="1:17">
      <c r="A103" s="254">
        <v>2005</v>
      </c>
      <c r="B103" s="254">
        <v>3</v>
      </c>
      <c r="C103" s="242">
        <v>59553.004034025602</v>
      </c>
      <c r="D103" s="242">
        <v>22005</v>
      </c>
      <c r="E103" s="242">
        <v>348.858</v>
      </c>
      <c r="F103" s="242">
        <v>0</v>
      </c>
      <c r="N103" s="242">
        <f t="shared" si="1"/>
        <v>81906.862034025587</v>
      </c>
    </row>
    <row r="104" spans="1:17">
      <c r="A104" s="254">
        <v>2005</v>
      </c>
      <c r="B104" s="254">
        <v>4</v>
      </c>
      <c r="C104" s="242">
        <v>56851.930013491197</v>
      </c>
      <c r="D104" s="242">
        <v>21600</v>
      </c>
      <c r="E104" s="242">
        <v>346.89600000000002</v>
      </c>
      <c r="F104" s="242">
        <v>0</v>
      </c>
      <c r="N104" s="242">
        <f t="shared" si="1"/>
        <v>78798.826013491183</v>
      </c>
    </row>
    <row r="105" spans="1:17">
      <c r="A105" s="254">
        <v>2005</v>
      </c>
      <c r="B105" s="254">
        <v>5</v>
      </c>
      <c r="C105" s="242">
        <v>68040.989265354001</v>
      </c>
      <c r="D105" s="242">
        <v>21915</v>
      </c>
      <c r="E105" s="242">
        <v>473.72</v>
      </c>
      <c r="F105" s="242">
        <v>0</v>
      </c>
      <c r="N105" s="242">
        <f t="shared" si="1"/>
        <v>90429.709265354002</v>
      </c>
    </row>
    <row r="106" spans="1:17">
      <c r="A106" s="254">
        <v>2005</v>
      </c>
      <c r="B106" s="254">
        <v>6</v>
      </c>
      <c r="C106" s="242">
        <v>71456.735008041607</v>
      </c>
      <c r="D106" s="242">
        <v>22635</v>
      </c>
      <c r="E106" s="242">
        <v>379.10399999999998</v>
      </c>
      <c r="F106" s="242">
        <v>0</v>
      </c>
      <c r="N106" s="242">
        <f t="shared" si="1"/>
        <v>94470.839008041614</v>
      </c>
      <c r="Q106" s="284">
        <f>SUM(N95:N106)</f>
        <v>1016386.8153176736</v>
      </c>
    </row>
    <row r="107" spans="1:17">
      <c r="A107" s="254">
        <v>2005</v>
      </c>
      <c r="B107" s="254">
        <v>7</v>
      </c>
      <c r="C107" s="242">
        <v>78227.264086196403</v>
      </c>
      <c r="D107" s="242">
        <v>25875</v>
      </c>
      <c r="E107" s="242">
        <v>476.96800000000002</v>
      </c>
      <c r="F107" s="242">
        <v>0</v>
      </c>
      <c r="N107" s="242">
        <f t="shared" si="1"/>
        <v>104579.2320861964</v>
      </c>
    </row>
    <row r="108" spans="1:17">
      <c r="A108" s="254">
        <v>2005</v>
      </c>
      <c r="B108" s="254">
        <v>8</v>
      </c>
      <c r="C108" s="242">
        <v>77652.826239508795</v>
      </c>
      <c r="D108" s="242">
        <v>26325</v>
      </c>
      <c r="E108" s="242">
        <v>488.07</v>
      </c>
      <c r="F108" s="242">
        <v>0</v>
      </c>
      <c r="N108" s="242">
        <f t="shared" si="1"/>
        <v>104465.8962395088</v>
      </c>
    </row>
    <row r="109" spans="1:17">
      <c r="A109" s="254">
        <v>2005</v>
      </c>
      <c r="B109" s="254">
        <v>9</v>
      </c>
      <c r="C109" s="242">
        <v>70600.819621861199</v>
      </c>
      <c r="D109" s="242">
        <v>26460</v>
      </c>
      <c r="E109" s="242">
        <v>489.98</v>
      </c>
      <c r="F109" s="242">
        <v>0</v>
      </c>
      <c r="N109" s="242">
        <f t="shared" si="1"/>
        <v>97550.799621861195</v>
      </c>
    </row>
    <row r="110" spans="1:17">
      <c r="A110" s="254">
        <v>2005</v>
      </c>
      <c r="B110" s="254">
        <v>10</v>
      </c>
      <c r="C110" s="242">
        <v>61200.366756689997</v>
      </c>
      <c r="D110" s="242">
        <v>23895</v>
      </c>
      <c r="E110" s="242">
        <v>353.07</v>
      </c>
      <c r="F110" s="242">
        <v>0</v>
      </c>
      <c r="N110" s="242">
        <f t="shared" si="1"/>
        <v>85448.436756690004</v>
      </c>
    </row>
    <row r="111" spans="1:17">
      <c r="A111" s="254">
        <v>2005</v>
      </c>
      <c r="B111" s="254">
        <v>11</v>
      </c>
      <c r="C111" s="242">
        <v>55205.402308291203</v>
      </c>
      <c r="D111" s="242">
        <v>21015</v>
      </c>
      <c r="E111" s="242">
        <v>545.30899999999997</v>
      </c>
      <c r="F111" s="242">
        <v>0</v>
      </c>
      <c r="N111" s="242">
        <f t="shared" si="1"/>
        <v>76765.711308291196</v>
      </c>
    </row>
    <row r="112" spans="1:17">
      <c r="A112" s="254">
        <v>2005</v>
      </c>
      <c r="B112" s="254">
        <v>12</v>
      </c>
      <c r="C112" s="242">
        <v>50718.163586160001</v>
      </c>
      <c r="D112" s="242">
        <v>24885</v>
      </c>
      <c r="E112" s="242">
        <v>519.70100000000002</v>
      </c>
      <c r="F112" s="242">
        <v>0</v>
      </c>
      <c r="N112" s="242">
        <f t="shared" si="1"/>
        <v>76122.864586159994</v>
      </c>
    </row>
    <row r="113" spans="1:17">
      <c r="A113" s="254">
        <v>2006</v>
      </c>
      <c r="B113" s="254">
        <v>1</v>
      </c>
      <c r="C113" s="242">
        <v>52153.7987899656</v>
      </c>
      <c r="D113" s="242">
        <v>16290</v>
      </c>
      <c r="E113" s="242">
        <v>426.92399999999998</v>
      </c>
      <c r="F113" s="242">
        <v>0</v>
      </c>
      <c r="N113" s="242">
        <f t="shared" si="1"/>
        <v>68870.722789965599</v>
      </c>
    </row>
    <row r="114" spans="1:17">
      <c r="A114" s="254">
        <v>2006</v>
      </c>
      <c r="B114" s="254">
        <v>2</v>
      </c>
      <c r="C114" s="242">
        <v>48689.384918000396</v>
      </c>
      <c r="D114" s="242">
        <v>16470</v>
      </c>
      <c r="E114" s="242">
        <v>565.52099999999996</v>
      </c>
      <c r="F114" s="242">
        <v>0</v>
      </c>
      <c r="N114" s="242">
        <f t="shared" si="1"/>
        <v>65724.905918000397</v>
      </c>
    </row>
    <row r="115" spans="1:17">
      <c r="A115" s="254">
        <v>2006</v>
      </c>
      <c r="B115" s="254">
        <v>3</v>
      </c>
      <c r="C115" s="242">
        <v>56988.1298449764</v>
      </c>
      <c r="D115" s="242">
        <v>20025</v>
      </c>
      <c r="E115" s="242">
        <v>411.21899999999999</v>
      </c>
      <c r="F115" s="242">
        <v>0</v>
      </c>
      <c r="N115" s="242">
        <f t="shared" si="1"/>
        <v>77424.348844976397</v>
      </c>
    </row>
    <row r="116" spans="1:17">
      <c r="A116" s="254">
        <v>2006</v>
      </c>
      <c r="B116" s="254">
        <v>4</v>
      </c>
      <c r="C116" s="242">
        <v>61295.364557523601</v>
      </c>
      <c r="D116" s="242">
        <v>19035</v>
      </c>
      <c r="E116" s="242">
        <v>678.63900000000001</v>
      </c>
      <c r="F116" s="242">
        <v>0</v>
      </c>
      <c r="N116" s="242">
        <f t="shared" si="1"/>
        <v>81009.003557523596</v>
      </c>
    </row>
    <row r="117" spans="1:17">
      <c r="A117" s="254">
        <v>2006</v>
      </c>
      <c r="B117" s="254">
        <v>5</v>
      </c>
      <c r="C117" s="242">
        <v>66094.025955854406</v>
      </c>
      <c r="D117" s="242">
        <v>20475</v>
      </c>
      <c r="E117" s="242">
        <v>622.88199999999995</v>
      </c>
      <c r="F117" s="242">
        <v>0</v>
      </c>
      <c r="N117" s="242">
        <f t="shared" si="1"/>
        <v>87191.907955854404</v>
      </c>
    </row>
    <row r="118" spans="1:17">
      <c r="A118" s="254">
        <v>2006</v>
      </c>
      <c r="B118" s="254">
        <v>6</v>
      </c>
      <c r="C118" s="242">
        <v>71141.471455916399</v>
      </c>
      <c r="D118" s="242">
        <v>21375</v>
      </c>
      <c r="E118" s="242">
        <v>576.36500000000001</v>
      </c>
      <c r="F118" s="242">
        <v>0</v>
      </c>
      <c r="N118" s="242">
        <f t="shared" si="1"/>
        <v>93092.836455916404</v>
      </c>
      <c r="Q118" s="284">
        <f>SUM(N107:N118)</f>
        <v>1018246.6661209444</v>
      </c>
    </row>
    <row r="119" spans="1:17">
      <c r="A119" s="254">
        <v>2006</v>
      </c>
      <c r="B119" s="254">
        <v>7</v>
      </c>
      <c r="C119" s="242">
        <v>73511.474849534396</v>
      </c>
      <c r="D119" s="242">
        <v>23850</v>
      </c>
      <c r="E119" s="242">
        <v>554.04700000000003</v>
      </c>
      <c r="F119" s="242">
        <v>0</v>
      </c>
      <c r="N119" s="242">
        <f t="shared" si="1"/>
        <v>97915.521849534402</v>
      </c>
    </row>
    <row r="120" spans="1:17">
      <c r="A120" s="254">
        <v>2006</v>
      </c>
      <c r="B120" s="254">
        <v>8</v>
      </c>
      <c r="C120" s="242">
        <v>73162.408931925602</v>
      </c>
      <c r="D120" s="242">
        <v>24210</v>
      </c>
      <c r="E120" s="242">
        <v>608.02700000000004</v>
      </c>
      <c r="F120" s="242">
        <v>0</v>
      </c>
      <c r="N120" s="242">
        <f t="shared" si="1"/>
        <v>97980.435931925604</v>
      </c>
    </row>
    <row r="121" spans="1:17">
      <c r="A121" s="254">
        <v>2006</v>
      </c>
      <c r="B121" s="254">
        <v>9</v>
      </c>
      <c r="C121" s="242">
        <v>67390.660902406802</v>
      </c>
      <c r="D121" s="242">
        <v>21060</v>
      </c>
      <c r="E121" s="242">
        <v>566.23699999999997</v>
      </c>
      <c r="F121" s="242">
        <v>0</v>
      </c>
      <c r="N121" s="242">
        <f t="shared" si="1"/>
        <v>89016.897902406796</v>
      </c>
    </row>
    <row r="122" spans="1:17">
      <c r="A122" s="254">
        <v>2006</v>
      </c>
      <c r="B122" s="254">
        <v>10</v>
      </c>
      <c r="C122" s="242">
        <v>64444.402451511596</v>
      </c>
      <c r="D122" s="242">
        <v>21600</v>
      </c>
      <c r="E122" s="242">
        <v>459.07900000000001</v>
      </c>
      <c r="F122" s="242">
        <v>0</v>
      </c>
      <c r="N122" s="242">
        <f t="shared" si="1"/>
        <v>86503.481451511587</v>
      </c>
    </row>
    <row r="123" spans="1:17">
      <c r="A123" s="254">
        <v>2006</v>
      </c>
      <c r="B123" s="254">
        <v>11</v>
      </c>
      <c r="C123" s="242">
        <v>51439.596190231197</v>
      </c>
      <c r="D123" s="242">
        <v>17235</v>
      </c>
      <c r="E123" s="242">
        <v>621.74900000000002</v>
      </c>
      <c r="F123" s="242">
        <v>0</v>
      </c>
      <c r="N123" s="242">
        <f t="shared" si="1"/>
        <v>69296.345190231194</v>
      </c>
      <c r="P123" s="233" t="s">
        <v>260</v>
      </c>
    </row>
    <row r="124" spans="1:17">
      <c r="A124" s="254">
        <v>2006</v>
      </c>
      <c r="B124" s="254">
        <v>12</v>
      </c>
      <c r="C124" s="242">
        <v>55240.767393117596</v>
      </c>
      <c r="D124" s="242">
        <v>17235</v>
      </c>
      <c r="E124" s="242">
        <v>580.61900000000003</v>
      </c>
      <c r="F124" s="242">
        <v>0</v>
      </c>
      <c r="N124" s="242">
        <f t="shared" si="1"/>
        <v>73056.386393117602</v>
      </c>
      <c r="P124" s="233" t="s">
        <v>262</v>
      </c>
    </row>
    <row r="125" spans="1:17">
      <c r="A125" s="254">
        <v>2007</v>
      </c>
      <c r="B125" s="254">
        <v>1</v>
      </c>
      <c r="C125" s="242">
        <v>56518.411569160802</v>
      </c>
      <c r="D125" s="242">
        <v>16785</v>
      </c>
      <c r="E125" s="242">
        <v>652.80600000000004</v>
      </c>
      <c r="F125" s="242">
        <v>0</v>
      </c>
      <c r="N125" s="242">
        <f t="shared" si="1"/>
        <v>73956.217569160799</v>
      </c>
      <c r="P125" s="233">
        <v>43800</v>
      </c>
    </row>
    <row r="126" spans="1:17">
      <c r="A126" s="254">
        <v>2007</v>
      </c>
      <c r="B126" s="254">
        <v>2</v>
      </c>
      <c r="C126" s="242">
        <v>48908.085905842803</v>
      </c>
      <c r="D126" s="242">
        <v>17415</v>
      </c>
      <c r="E126" s="242">
        <v>513.20000000000005</v>
      </c>
      <c r="F126" s="242">
        <v>0</v>
      </c>
      <c r="N126" s="242">
        <f t="shared" si="1"/>
        <v>66836.2859058428</v>
      </c>
      <c r="P126" s="233">
        <v>44175</v>
      </c>
    </row>
    <row r="127" spans="1:17">
      <c r="A127" s="254">
        <v>2007</v>
      </c>
      <c r="B127" s="254">
        <v>3</v>
      </c>
      <c r="C127" s="242">
        <v>57701.845947387599</v>
      </c>
      <c r="D127" s="242">
        <v>18360</v>
      </c>
      <c r="E127" s="242">
        <v>355.96199999999999</v>
      </c>
      <c r="F127" s="242">
        <v>0</v>
      </c>
      <c r="N127" s="242">
        <f t="shared" si="1"/>
        <v>76417.807947387599</v>
      </c>
      <c r="P127" s="233">
        <v>48075</v>
      </c>
    </row>
    <row r="128" spans="1:17">
      <c r="A128" s="254">
        <v>2007</v>
      </c>
      <c r="B128" s="254">
        <v>4</v>
      </c>
      <c r="C128" s="242">
        <v>57661.580117467201</v>
      </c>
      <c r="D128" s="242">
        <v>21240</v>
      </c>
      <c r="E128" s="242">
        <v>591.59699999999998</v>
      </c>
      <c r="F128" s="242">
        <v>0</v>
      </c>
      <c r="N128" s="242">
        <f t="shared" si="1"/>
        <v>79493.177117467203</v>
      </c>
      <c r="P128" s="233">
        <v>48600</v>
      </c>
    </row>
    <row r="129" spans="1:17">
      <c r="A129" s="254">
        <v>2007</v>
      </c>
      <c r="B129" s="254">
        <v>5</v>
      </c>
      <c r="C129" s="242">
        <v>64851.152029675206</v>
      </c>
      <c r="D129" s="242">
        <v>20385</v>
      </c>
      <c r="E129" s="242">
        <v>536.52</v>
      </c>
      <c r="F129" s="242">
        <v>0</v>
      </c>
      <c r="N129" s="242">
        <f t="shared" si="1"/>
        <v>85772.672029675203</v>
      </c>
      <c r="P129" s="233">
        <v>47475</v>
      </c>
    </row>
    <row r="130" spans="1:17">
      <c r="A130" s="254">
        <v>2007</v>
      </c>
      <c r="B130" s="254">
        <v>6</v>
      </c>
      <c r="C130" s="242">
        <v>67805.955867375596</v>
      </c>
      <c r="D130" s="242">
        <v>21825</v>
      </c>
      <c r="E130" s="242">
        <v>499.74599999999998</v>
      </c>
      <c r="F130" s="242">
        <v>0</v>
      </c>
      <c r="N130" s="242">
        <f t="shared" si="1"/>
        <v>90130.701867375596</v>
      </c>
      <c r="P130" s="233">
        <v>43350</v>
      </c>
      <c r="Q130" s="284">
        <f>SUM(N119:N130)</f>
        <v>986375.93115563632</v>
      </c>
    </row>
    <row r="131" spans="1:17">
      <c r="A131" s="254">
        <v>2007</v>
      </c>
      <c r="B131" s="254">
        <v>7</v>
      </c>
      <c r="C131" s="242">
        <v>76464.495204400795</v>
      </c>
      <c r="D131" s="242">
        <v>22410</v>
      </c>
      <c r="E131" s="242">
        <v>528.94799999999998</v>
      </c>
      <c r="F131" s="242">
        <v>0</v>
      </c>
      <c r="N131" s="242">
        <f t="shared" si="1"/>
        <v>99403.443204400799</v>
      </c>
      <c r="P131" s="233">
        <v>50625</v>
      </c>
    </row>
    <row r="132" spans="1:17">
      <c r="A132" s="254">
        <v>2007</v>
      </c>
      <c r="B132" s="254">
        <v>8</v>
      </c>
      <c r="C132" s="242">
        <v>75496.225509944401</v>
      </c>
      <c r="D132" s="242">
        <v>23805</v>
      </c>
      <c r="E132" s="242">
        <v>512.92200000000003</v>
      </c>
      <c r="F132" s="242">
        <v>0</v>
      </c>
      <c r="N132" s="242">
        <f t="shared" si="1"/>
        <v>99814.147509944407</v>
      </c>
      <c r="P132" s="233">
        <v>54000</v>
      </c>
    </row>
    <row r="133" spans="1:17">
      <c r="A133" s="254">
        <v>2007</v>
      </c>
      <c r="B133" s="254">
        <v>9</v>
      </c>
      <c r="C133" s="242">
        <v>67038.763897433993</v>
      </c>
      <c r="D133" s="242">
        <v>21060</v>
      </c>
      <c r="E133" s="242">
        <v>536.904</v>
      </c>
      <c r="F133" s="242">
        <v>0</v>
      </c>
      <c r="N133" s="242">
        <f t="shared" si="1"/>
        <v>88635.667897433988</v>
      </c>
      <c r="P133" s="233">
        <v>47775</v>
      </c>
    </row>
    <row r="134" spans="1:17">
      <c r="A134" s="254">
        <v>2007</v>
      </c>
      <c r="B134" s="254">
        <v>10</v>
      </c>
      <c r="C134" s="242">
        <v>67461.833621095197</v>
      </c>
      <c r="D134" s="242">
        <v>20430</v>
      </c>
      <c r="E134" s="242">
        <v>402.70800000000003</v>
      </c>
      <c r="F134" s="242">
        <v>0</v>
      </c>
      <c r="N134" s="242">
        <f t="shared" si="1"/>
        <v>88294.541621095195</v>
      </c>
      <c r="P134" s="233">
        <v>52275</v>
      </c>
    </row>
    <row r="135" spans="1:17">
      <c r="A135" s="254">
        <v>2007</v>
      </c>
      <c r="B135" s="254">
        <v>11</v>
      </c>
      <c r="C135" s="242">
        <v>51686.804285928003</v>
      </c>
      <c r="D135" s="242">
        <v>19125</v>
      </c>
      <c r="E135" s="242">
        <v>518.69299999999998</v>
      </c>
      <c r="F135" s="242">
        <v>0</v>
      </c>
      <c r="N135" s="242">
        <f t="shared" si="1"/>
        <v>71330.497285927995</v>
      </c>
    </row>
    <row r="136" spans="1:17">
      <c r="A136" s="254">
        <v>2007</v>
      </c>
      <c r="B136" s="254">
        <v>12</v>
      </c>
      <c r="C136" s="242">
        <v>55452.672749233199</v>
      </c>
      <c r="D136" s="242">
        <v>16065</v>
      </c>
      <c r="E136" s="242">
        <v>655.96199999999999</v>
      </c>
      <c r="F136" s="242">
        <v>0</v>
      </c>
      <c r="N136" s="242">
        <f t="shared" si="1"/>
        <v>72173.634749233199</v>
      </c>
    </row>
    <row r="137" spans="1:17">
      <c r="A137" s="254">
        <v>2008</v>
      </c>
      <c r="B137" s="254">
        <v>1</v>
      </c>
      <c r="C137" s="242">
        <v>52572.392942663995</v>
      </c>
      <c r="D137" s="242">
        <v>18675</v>
      </c>
      <c r="E137" s="242">
        <v>619.11699999999996</v>
      </c>
      <c r="F137" s="242">
        <v>0</v>
      </c>
      <c r="N137" s="242">
        <f t="shared" si="1"/>
        <v>71866.509942663994</v>
      </c>
    </row>
    <row r="138" spans="1:17">
      <c r="A138" s="254">
        <v>2008</v>
      </c>
      <c r="B138" s="254">
        <v>2</v>
      </c>
      <c r="C138" s="242">
        <v>55098.469992241196</v>
      </c>
      <c r="D138" s="242">
        <v>21230</v>
      </c>
      <c r="E138" s="242">
        <v>295.18900000000002</v>
      </c>
      <c r="F138" s="242">
        <v>0</v>
      </c>
      <c r="N138" s="242">
        <f t="shared" si="1"/>
        <v>76623.658992241195</v>
      </c>
    </row>
    <row r="139" spans="1:17">
      <c r="A139" s="254">
        <v>2008</v>
      </c>
      <c r="B139" s="254">
        <v>3</v>
      </c>
      <c r="C139" s="242">
        <v>59350.841911065596</v>
      </c>
      <c r="D139" s="242">
        <v>25200</v>
      </c>
      <c r="E139" s="242">
        <v>659.91099999999994</v>
      </c>
      <c r="F139" s="242">
        <v>0</v>
      </c>
      <c r="N139" s="242">
        <f t="shared" ref="N139:N178" si="2">SUM(C139:G139)</f>
        <v>85210.752911065589</v>
      </c>
    </row>
    <row r="140" spans="1:17">
      <c r="A140" s="254">
        <v>2008</v>
      </c>
      <c r="B140" s="254">
        <v>4</v>
      </c>
      <c r="C140" s="242">
        <v>58954.432445126396</v>
      </c>
      <c r="D140" s="242">
        <v>24595</v>
      </c>
      <c r="E140" s="242">
        <v>642.32100000000003</v>
      </c>
      <c r="F140" s="242">
        <v>0</v>
      </c>
      <c r="N140" s="242">
        <f t="shared" si="2"/>
        <v>84191.753445126393</v>
      </c>
    </row>
    <row r="141" spans="1:17">
      <c r="A141" s="254">
        <v>2008</v>
      </c>
      <c r="B141" s="254">
        <v>5</v>
      </c>
      <c r="C141" s="242">
        <v>69417.527309029203</v>
      </c>
      <c r="D141" s="242">
        <v>25695</v>
      </c>
      <c r="E141" s="242">
        <v>601.43499999999995</v>
      </c>
      <c r="F141" s="242">
        <v>0</v>
      </c>
      <c r="N141" s="242">
        <f t="shared" si="2"/>
        <v>95713.962309029201</v>
      </c>
    </row>
    <row r="142" spans="1:17">
      <c r="A142" s="254">
        <v>2008</v>
      </c>
      <c r="B142" s="254">
        <v>6</v>
      </c>
      <c r="C142" s="242">
        <v>73377.900672720003</v>
      </c>
      <c r="D142" s="242">
        <v>23085</v>
      </c>
      <c r="E142" s="242">
        <v>615.66700000000003</v>
      </c>
      <c r="F142" s="242">
        <v>0</v>
      </c>
      <c r="N142" s="242">
        <f t="shared" si="2"/>
        <v>97078.567672720004</v>
      </c>
      <c r="Q142" s="284">
        <f>SUM(N131:N142)</f>
        <v>1030337.137540882</v>
      </c>
    </row>
    <row r="143" spans="1:17">
      <c r="A143" s="254">
        <v>2008</v>
      </c>
      <c r="B143" s="254">
        <v>7</v>
      </c>
      <c r="C143" s="242">
        <v>75587.990556506396</v>
      </c>
      <c r="D143" s="242">
        <v>23040</v>
      </c>
      <c r="E143" s="242">
        <v>643.12400000000002</v>
      </c>
      <c r="F143" s="242">
        <v>0</v>
      </c>
      <c r="N143" s="242">
        <f t="shared" si="2"/>
        <v>99271.114556506393</v>
      </c>
    </row>
    <row r="144" spans="1:17">
      <c r="A144" s="254">
        <v>2008</v>
      </c>
      <c r="B144" s="254">
        <v>8</v>
      </c>
      <c r="C144" s="242">
        <v>75112.902413177988</v>
      </c>
      <c r="D144" s="242">
        <v>23130</v>
      </c>
      <c r="E144" s="242">
        <v>597.28899999999999</v>
      </c>
      <c r="F144" s="242">
        <v>0</v>
      </c>
      <c r="N144" s="242">
        <f t="shared" si="2"/>
        <v>98840.191413177992</v>
      </c>
    </row>
    <row r="145" spans="1:17">
      <c r="A145" s="254">
        <v>2008</v>
      </c>
      <c r="B145" s="254">
        <v>9</v>
      </c>
      <c r="C145" s="242">
        <v>64179.368725953602</v>
      </c>
      <c r="D145" s="242">
        <v>21330</v>
      </c>
      <c r="E145" s="242">
        <v>589.96900000000005</v>
      </c>
      <c r="F145" s="242">
        <v>0</v>
      </c>
      <c r="N145" s="242">
        <f t="shared" si="2"/>
        <v>86099.337725953592</v>
      </c>
    </row>
    <row r="146" spans="1:17">
      <c r="A146" s="254">
        <v>2008</v>
      </c>
      <c r="B146" s="254">
        <v>10</v>
      </c>
      <c r="C146" s="242">
        <v>58882.419598707595</v>
      </c>
      <c r="D146" s="242">
        <v>19440</v>
      </c>
      <c r="E146" s="242">
        <v>506.46699999999998</v>
      </c>
      <c r="F146" s="242">
        <v>0</v>
      </c>
      <c r="N146" s="242">
        <f t="shared" si="2"/>
        <v>78828.886598707599</v>
      </c>
    </row>
    <row r="147" spans="1:17">
      <c r="A147" s="254">
        <v>2008</v>
      </c>
      <c r="B147" s="254">
        <v>11</v>
      </c>
      <c r="C147" s="242">
        <v>46198.032125893202</v>
      </c>
      <c r="D147" s="242">
        <v>16605</v>
      </c>
      <c r="E147" s="242">
        <v>531.90200000000004</v>
      </c>
      <c r="F147" s="242">
        <v>0</v>
      </c>
      <c r="N147" s="242">
        <f t="shared" si="2"/>
        <v>63334.934125893204</v>
      </c>
    </row>
    <row r="148" spans="1:17">
      <c r="A148" s="254">
        <v>2008</v>
      </c>
      <c r="B148" s="254">
        <v>12</v>
      </c>
      <c r="C148" s="242">
        <v>48560.832088557603</v>
      </c>
      <c r="D148" s="242">
        <v>16200</v>
      </c>
      <c r="E148" s="242">
        <v>656.68100000000004</v>
      </c>
      <c r="F148" s="242">
        <v>3250</v>
      </c>
      <c r="N148" s="242">
        <f t="shared" si="2"/>
        <v>68667.513088557607</v>
      </c>
    </row>
    <row r="149" spans="1:17">
      <c r="A149" s="254">
        <v>2009</v>
      </c>
      <c r="B149" s="254">
        <v>1</v>
      </c>
      <c r="C149" s="242">
        <v>49602.465783763197</v>
      </c>
      <c r="D149" s="242">
        <v>16245</v>
      </c>
      <c r="E149" s="242">
        <v>611.02</v>
      </c>
      <c r="F149" s="242">
        <v>0</v>
      </c>
      <c r="N149" s="242">
        <f t="shared" si="2"/>
        <v>66458.485783763201</v>
      </c>
    </row>
    <row r="150" spans="1:17">
      <c r="A150" s="254">
        <v>2009</v>
      </c>
      <c r="B150" s="254">
        <v>2</v>
      </c>
      <c r="C150" s="242">
        <v>45832.850473426799</v>
      </c>
      <c r="D150" s="242">
        <v>15795</v>
      </c>
      <c r="E150" s="242">
        <v>417.03899999999999</v>
      </c>
      <c r="F150" s="242">
        <v>10550</v>
      </c>
      <c r="N150" s="242">
        <f t="shared" si="2"/>
        <v>72594.889473426796</v>
      </c>
    </row>
    <row r="151" spans="1:17">
      <c r="A151" s="254">
        <v>2009</v>
      </c>
      <c r="B151" s="254">
        <v>3</v>
      </c>
      <c r="C151" s="242">
        <v>53029.825116962405</v>
      </c>
      <c r="D151" s="242">
        <v>17100</v>
      </c>
      <c r="E151" s="242">
        <v>611.95299999999997</v>
      </c>
      <c r="F151" s="242">
        <v>19400</v>
      </c>
      <c r="N151" s="242">
        <f t="shared" si="2"/>
        <v>90141.778116962392</v>
      </c>
    </row>
    <row r="152" spans="1:17">
      <c r="A152" s="254">
        <v>2009</v>
      </c>
      <c r="B152" s="254">
        <v>4</v>
      </c>
      <c r="C152" s="242">
        <v>58328.902158970806</v>
      </c>
      <c r="D152" s="242">
        <v>17465</v>
      </c>
      <c r="E152" s="242">
        <v>553.96199999999999</v>
      </c>
      <c r="F152" s="242">
        <v>14850</v>
      </c>
      <c r="G152" s="242"/>
      <c r="H152" s="242"/>
      <c r="I152" s="242"/>
      <c r="J152" s="242"/>
      <c r="K152" s="242"/>
      <c r="L152" s="242"/>
      <c r="M152" s="242"/>
      <c r="N152" s="242">
        <f t="shared" si="2"/>
        <v>91197.864158970799</v>
      </c>
    </row>
    <row r="153" spans="1:17">
      <c r="A153" s="254">
        <v>2009</v>
      </c>
      <c r="B153" s="254">
        <v>5</v>
      </c>
      <c r="C153" s="242">
        <v>65989.916550742797</v>
      </c>
      <c r="D153" s="242">
        <v>20115</v>
      </c>
      <c r="E153" s="242">
        <v>608.64499999999998</v>
      </c>
      <c r="F153" s="242">
        <v>18150</v>
      </c>
      <c r="G153" s="242"/>
      <c r="H153" s="242"/>
      <c r="I153" s="242"/>
      <c r="J153" s="242"/>
      <c r="K153" s="242"/>
      <c r="L153" s="242"/>
      <c r="M153" s="242"/>
      <c r="N153" s="242">
        <f t="shared" si="2"/>
        <v>104863.5615507428</v>
      </c>
    </row>
    <row r="154" spans="1:17">
      <c r="A154" s="254">
        <v>2009</v>
      </c>
      <c r="B154" s="254">
        <v>6</v>
      </c>
      <c r="C154" s="242">
        <v>68909.163157615199</v>
      </c>
      <c r="D154" s="242">
        <v>21060</v>
      </c>
      <c r="E154" s="242">
        <v>503.77800000000002</v>
      </c>
      <c r="F154" s="242">
        <v>21525</v>
      </c>
      <c r="G154" s="242"/>
      <c r="H154" s="242"/>
      <c r="I154" s="242"/>
      <c r="J154" s="242"/>
      <c r="K154" s="242"/>
      <c r="L154" s="242"/>
      <c r="M154" s="242"/>
      <c r="N154" s="242">
        <f t="shared" si="2"/>
        <v>111997.94115761521</v>
      </c>
      <c r="Q154" s="284">
        <f>SUM(N143:N154)</f>
        <v>1032296.4977502776</v>
      </c>
    </row>
    <row r="155" spans="1:17">
      <c r="A155" s="254">
        <v>2009</v>
      </c>
      <c r="B155" s="254">
        <v>7</v>
      </c>
      <c r="C155" s="242">
        <v>77021.574499539609</v>
      </c>
      <c r="D155" s="242">
        <v>22185</v>
      </c>
      <c r="E155" s="242">
        <v>593.649</v>
      </c>
      <c r="F155" s="242">
        <v>29850</v>
      </c>
      <c r="G155" s="242"/>
      <c r="H155" s="242"/>
      <c r="I155" s="242"/>
      <c r="J155" s="242"/>
      <c r="K155" s="242"/>
      <c r="L155" s="242"/>
      <c r="M155" s="242"/>
      <c r="N155" s="242">
        <f t="shared" si="2"/>
        <v>129650.22349953961</v>
      </c>
    </row>
    <row r="156" spans="1:17">
      <c r="A156" s="254">
        <v>2009</v>
      </c>
      <c r="B156" s="254">
        <v>8</v>
      </c>
      <c r="C156" s="242">
        <v>76286.774461665598</v>
      </c>
      <c r="D156" s="242">
        <v>22770</v>
      </c>
      <c r="E156" s="242">
        <v>525.66899999999998</v>
      </c>
      <c r="F156" s="242">
        <v>30150</v>
      </c>
      <c r="G156" s="242"/>
      <c r="H156" s="242"/>
      <c r="I156" s="242"/>
      <c r="J156" s="242"/>
      <c r="K156" s="242"/>
      <c r="L156" s="242"/>
      <c r="M156" s="242"/>
      <c r="N156" s="242">
        <f t="shared" si="2"/>
        <v>129732.44346166559</v>
      </c>
    </row>
    <row r="157" spans="1:17">
      <c r="A157" s="254">
        <v>2009</v>
      </c>
      <c r="B157" s="254">
        <v>9</v>
      </c>
      <c r="C157" s="242">
        <v>66637.206349526401</v>
      </c>
      <c r="D157" s="242">
        <v>21060</v>
      </c>
      <c r="E157" s="242">
        <v>539.79</v>
      </c>
      <c r="F157" s="242">
        <v>31425</v>
      </c>
      <c r="G157" s="242"/>
      <c r="H157" s="242"/>
      <c r="I157" s="242"/>
      <c r="J157" s="242"/>
      <c r="K157" s="242"/>
      <c r="L157" s="242"/>
      <c r="M157" s="242"/>
      <c r="N157" s="242">
        <f t="shared" si="2"/>
        <v>119661.99634952639</v>
      </c>
    </row>
    <row r="158" spans="1:17">
      <c r="A158" s="254">
        <v>2009</v>
      </c>
      <c r="B158" s="254">
        <v>10</v>
      </c>
      <c r="C158" s="242">
        <v>65134.668565302003</v>
      </c>
      <c r="D158" s="242">
        <v>19440</v>
      </c>
      <c r="E158" s="242">
        <v>500.00099999999998</v>
      </c>
      <c r="F158" s="242">
        <v>19400</v>
      </c>
      <c r="G158" s="242"/>
      <c r="H158" s="242"/>
      <c r="I158" s="242"/>
      <c r="J158" s="242"/>
      <c r="K158" s="242"/>
      <c r="L158" s="242"/>
      <c r="M158" s="242"/>
      <c r="N158" s="242">
        <f t="shared" si="2"/>
        <v>104474.66956530201</v>
      </c>
    </row>
    <row r="159" spans="1:17">
      <c r="A159" s="254">
        <v>2009</v>
      </c>
      <c r="B159" s="254">
        <v>11</v>
      </c>
      <c r="C159" s="242">
        <v>51021.879981231607</v>
      </c>
      <c r="D159" s="242">
        <v>16583</v>
      </c>
      <c r="E159" s="242">
        <v>347.55399999999997</v>
      </c>
      <c r="F159" s="242">
        <v>13200</v>
      </c>
      <c r="G159" s="242"/>
      <c r="H159" s="242"/>
      <c r="I159" s="242"/>
      <c r="J159" s="242"/>
      <c r="K159" s="242"/>
      <c r="L159" s="242"/>
      <c r="M159" s="242"/>
      <c r="N159" s="242">
        <f t="shared" si="2"/>
        <v>81152.433981231618</v>
      </c>
    </row>
    <row r="160" spans="1:17">
      <c r="A160" s="254">
        <v>2009</v>
      </c>
      <c r="B160" s="254">
        <v>12</v>
      </c>
      <c r="C160" s="242">
        <v>53295.911557316402</v>
      </c>
      <c r="D160" s="242">
        <v>16110</v>
      </c>
      <c r="E160" s="242">
        <v>430.14699999999999</v>
      </c>
      <c r="F160" s="242">
        <v>4950</v>
      </c>
      <c r="G160" s="242"/>
      <c r="H160" s="242"/>
      <c r="I160" s="242"/>
      <c r="J160" s="242"/>
      <c r="K160" s="242"/>
      <c r="L160" s="242"/>
      <c r="M160" s="242"/>
      <c r="N160" s="242">
        <f t="shared" si="2"/>
        <v>74786.058557316399</v>
      </c>
    </row>
    <row r="161" spans="1:19">
      <c r="A161" s="254">
        <v>2010</v>
      </c>
      <c r="B161" s="254">
        <v>1</v>
      </c>
      <c r="C161" s="242">
        <v>57841.092519462007</v>
      </c>
      <c r="D161" s="242">
        <v>16200</v>
      </c>
      <c r="E161" s="242">
        <v>436.29700000000003</v>
      </c>
      <c r="F161" s="242">
        <v>0</v>
      </c>
      <c r="G161" s="242">
        <v>109394.3</v>
      </c>
      <c r="H161" s="242"/>
      <c r="I161" s="242"/>
      <c r="J161" s="242"/>
      <c r="K161" s="242"/>
      <c r="L161" s="242"/>
      <c r="M161" s="242"/>
      <c r="N161" s="242">
        <f t="shared" si="2"/>
        <v>183871.689519462</v>
      </c>
    </row>
    <row r="162" spans="1:19">
      <c r="A162" s="254">
        <v>2010</v>
      </c>
      <c r="B162" s="254">
        <v>2</v>
      </c>
      <c r="C162" s="242">
        <v>47095.014631702797</v>
      </c>
      <c r="D162" s="242">
        <v>15480</v>
      </c>
      <c r="E162" s="242">
        <v>253.86799999999999</v>
      </c>
      <c r="F162" s="242">
        <v>0</v>
      </c>
      <c r="G162" s="242">
        <v>85973.099000000002</v>
      </c>
      <c r="H162" s="242"/>
      <c r="I162" s="242"/>
      <c r="J162" s="242"/>
      <c r="K162" s="242"/>
      <c r="L162" s="242"/>
      <c r="M162" s="242"/>
      <c r="N162" s="242">
        <f t="shared" si="2"/>
        <v>148801.9816317028</v>
      </c>
    </row>
    <row r="163" spans="1:19">
      <c r="A163" s="254">
        <v>2010</v>
      </c>
      <c r="B163" s="254">
        <v>3</v>
      </c>
      <c r="C163" s="242">
        <v>50592.4827262092</v>
      </c>
      <c r="D163" s="242">
        <v>17055</v>
      </c>
      <c r="E163" s="242">
        <v>615.59</v>
      </c>
      <c r="F163" s="242">
        <v>0</v>
      </c>
      <c r="G163" s="242">
        <v>88619.247000000003</v>
      </c>
      <c r="H163" s="242"/>
      <c r="I163" s="242"/>
      <c r="J163" s="242"/>
      <c r="K163" s="242"/>
      <c r="L163" s="242"/>
      <c r="M163" s="242"/>
      <c r="N163" s="242">
        <f t="shared" si="2"/>
        <v>156882.31972620921</v>
      </c>
    </row>
    <row r="164" spans="1:19">
      <c r="A164" s="254">
        <v>2010</v>
      </c>
      <c r="B164" s="254">
        <v>4</v>
      </c>
      <c r="C164" s="242">
        <v>52578.637687716</v>
      </c>
      <c r="D164" s="242">
        <v>17235</v>
      </c>
      <c r="E164" s="242">
        <v>593.88499999999999</v>
      </c>
      <c r="F164" s="242">
        <v>0</v>
      </c>
      <c r="G164" s="242">
        <v>86660.504000000001</v>
      </c>
      <c r="H164" s="242"/>
      <c r="I164" s="242"/>
      <c r="J164" s="242"/>
      <c r="K164" s="242"/>
      <c r="L164" s="242"/>
      <c r="M164" s="242"/>
      <c r="N164" s="242">
        <f t="shared" si="2"/>
        <v>157068.02668771599</v>
      </c>
    </row>
    <row r="165" spans="1:19">
      <c r="A165" s="254">
        <v>2010</v>
      </c>
      <c r="B165" s="254">
        <v>5</v>
      </c>
      <c r="C165" s="242">
        <v>67221.442620242407</v>
      </c>
      <c r="D165" s="242">
        <v>20250</v>
      </c>
      <c r="E165" s="242">
        <v>668.79899999999998</v>
      </c>
      <c r="F165" s="242">
        <v>0</v>
      </c>
      <c r="G165" s="242">
        <v>111143.427</v>
      </c>
      <c r="H165" s="242"/>
      <c r="I165" s="242"/>
      <c r="J165" s="242"/>
      <c r="K165" s="242"/>
      <c r="L165" s="242"/>
      <c r="M165" s="242"/>
      <c r="N165" s="242">
        <f t="shared" si="2"/>
        <v>199283.66862024239</v>
      </c>
    </row>
    <row r="166" spans="1:19">
      <c r="A166" s="254">
        <v>2010</v>
      </c>
      <c r="B166" s="254">
        <v>6</v>
      </c>
      <c r="C166" s="242">
        <v>72736.881170318389</v>
      </c>
      <c r="D166" s="242">
        <v>21060</v>
      </c>
      <c r="E166" s="242">
        <v>467.71600000000001</v>
      </c>
      <c r="F166" s="242">
        <v>0</v>
      </c>
      <c r="G166" s="242">
        <v>115273.648</v>
      </c>
      <c r="H166" s="242"/>
      <c r="I166" s="242"/>
      <c r="J166" s="242"/>
      <c r="K166" s="242"/>
      <c r="L166" s="242"/>
      <c r="M166" s="242"/>
      <c r="N166" s="242">
        <f t="shared" si="2"/>
        <v>209538.24517031841</v>
      </c>
      <c r="Q166" s="284">
        <f>SUM(N155:N166)</f>
        <v>1694903.7567702322</v>
      </c>
    </row>
    <row r="167" spans="1:19">
      <c r="A167" s="254">
        <v>2010</v>
      </c>
      <c r="B167" s="254">
        <v>7</v>
      </c>
      <c r="C167" s="242">
        <v>73460.857664804411</v>
      </c>
      <c r="D167" s="242">
        <v>22275</v>
      </c>
      <c r="E167" s="242">
        <v>593.03899999999999</v>
      </c>
      <c r="F167" s="242">
        <v>0</v>
      </c>
      <c r="G167" s="242">
        <v>113803.861</v>
      </c>
      <c r="H167" s="242"/>
      <c r="I167" s="242"/>
      <c r="J167" s="242"/>
      <c r="K167" s="242"/>
      <c r="L167" s="242"/>
      <c r="M167" s="242"/>
      <c r="N167" s="242">
        <f t="shared" si="2"/>
        <v>210132.75766480441</v>
      </c>
    </row>
    <row r="168" spans="1:19">
      <c r="A168" s="254">
        <v>2010</v>
      </c>
      <c r="B168" s="254">
        <v>8</v>
      </c>
      <c r="C168" s="242">
        <v>72194.933372805594</v>
      </c>
      <c r="D168" s="242">
        <v>22815</v>
      </c>
      <c r="E168" s="242">
        <v>586.66099999999994</v>
      </c>
      <c r="F168" s="242">
        <v>0</v>
      </c>
      <c r="G168" s="242">
        <v>113071.015</v>
      </c>
      <c r="H168" s="242"/>
      <c r="I168" s="242"/>
      <c r="J168" s="242"/>
      <c r="K168" s="242"/>
      <c r="L168" s="242"/>
      <c r="M168" s="242"/>
      <c r="N168" s="242">
        <f t="shared" si="2"/>
        <v>208667.60937280557</v>
      </c>
    </row>
    <row r="169" spans="1:19">
      <c r="A169" s="254">
        <v>2010</v>
      </c>
      <c r="B169" s="254">
        <v>9</v>
      </c>
      <c r="C169" s="242">
        <v>65050.585270591197</v>
      </c>
      <c r="D169" s="242">
        <v>21060</v>
      </c>
      <c r="E169" s="242">
        <v>556.12</v>
      </c>
      <c r="F169" s="242">
        <v>0</v>
      </c>
      <c r="G169" s="242">
        <v>106584.899</v>
      </c>
      <c r="H169" s="242"/>
      <c r="I169" s="242"/>
      <c r="J169" s="242"/>
      <c r="K169" s="242"/>
      <c r="L169" s="242"/>
      <c r="M169" s="242"/>
      <c r="N169" s="242">
        <f t="shared" si="2"/>
        <v>193251.6042705912</v>
      </c>
    </row>
    <row r="170" spans="1:19">
      <c r="A170" s="254">
        <v>2010</v>
      </c>
      <c r="B170" s="254">
        <v>10</v>
      </c>
      <c r="C170" s="242">
        <v>57512.917369261202</v>
      </c>
      <c r="D170" s="242">
        <v>19395</v>
      </c>
      <c r="E170" s="242">
        <v>597.32399999999996</v>
      </c>
      <c r="F170" s="242">
        <v>0</v>
      </c>
      <c r="G170" s="242">
        <v>95246.997000000003</v>
      </c>
      <c r="H170" s="242"/>
      <c r="I170" s="242"/>
      <c r="J170" s="242"/>
      <c r="K170" s="242"/>
      <c r="L170" s="242"/>
      <c r="M170" s="242"/>
      <c r="N170" s="242">
        <f t="shared" si="2"/>
        <v>172752.23836926121</v>
      </c>
    </row>
    <row r="171" spans="1:19">
      <c r="A171" s="254">
        <v>2010</v>
      </c>
      <c r="B171" s="254">
        <v>11</v>
      </c>
      <c r="C171" s="242">
        <v>48516.890955330004</v>
      </c>
      <c r="D171" s="242">
        <v>16560</v>
      </c>
      <c r="E171" s="242">
        <v>530.99099999999999</v>
      </c>
      <c r="F171" s="242">
        <v>0</v>
      </c>
      <c r="G171" s="242">
        <v>83461.894</v>
      </c>
      <c r="H171" s="242"/>
      <c r="I171" s="242"/>
      <c r="J171" s="242"/>
      <c r="K171" s="242"/>
      <c r="L171" s="242"/>
      <c r="M171" s="242"/>
      <c r="N171" s="242">
        <f t="shared" si="2"/>
        <v>149069.77595533</v>
      </c>
    </row>
    <row r="172" spans="1:19" ht="13.8" thickBot="1">
      <c r="A172" s="254">
        <v>2010</v>
      </c>
      <c r="B172" s="254">
        <v>12</v>
      </c>
      <c r="C172" s="242">
        <v>51219.825112688399</v>
      </c>
      <c r="D172" s="242">
        <v>18045</v>
      </c>
      <c r="E172" s="242">
        <v>692.06799999999998</v>
      </c>
      <c r="F172" s="242">
        <v>0</v>
      </c>
      <c r="G172" s="242">
        <v>101294.148</v>
      </c>
      <c r="H172" s="242"/>
      <c r="I172" s="242"/>
      <c r="J172" s="242"/>
      <c r="K172" s="242"/>
      <c r="L172" s="242"/>
      <c r="M172" s="242"/>
      <c r="N172" s="242">
        <f t="shared" si="2"/>
        <v>171251.0411126884</v>
      </c>
      <c r="O172" s="301" t="s">
        <v>263</v>
      </c>
    </row>
    <row r="173" spans="1:19" ht="13.8" thickBot="1">
      <c r="A173" s="254">
        <v>2011</v>
      </c>
      <c r="B173" s="254">
        <v>1</v>
      </c>
      <c r="C173" s="242">
        <v>47921.412605701007</v>
      </c>
      <c r="D173" s="242">
        <v>16110</v>
      </c>
      <c r="E173" s="242">
        <v>618.84900000000005</v>
      </c>
      <c r="F173" s="242">
        <v>0</v>
      </c>
      <c r="G173" s="242">
        <v>88944.758000000002</v>
      </c>
      <c r="H173" s="242"/>
      <c r="I173" s="242"/>
      <c r="J173" s="242"/>
      <c r="K173" s="242"/>
      <c r="L173" s="242"/>
      <c r="M173" s="242"/>
      <c r="N173" s="242">
        <f t="shared" si="2"/>
        <v>153595.019605701</v>
      </c>
      <c r="O173" s="302" t="s">
        <v>264</v>
      </c>
      <c r="P173" s="303"/>
      <c r="R173" s="303"/>
      <c r="S173" s="304">
        <v>1.0216536513695178</v>
      </c>
    </row>
    <row r="174" spans="1:19">
      <c r="A174" s="254">
        <v>2011</v>
      </c>
      <c r="B174" s="254">
        <v>2</v>
      </c>
      <c r="C174" s="242">
        <v>47609.365851148905</v>
      </c>
      <c r="D174" s="242">
        <v>15435</v>
      </c>
      <c r="E174" s="242">
        <v>355.99700000000001</v>
      </c>
      <c r="F174" s="242">
        <v>0</v>
      </c>
      <c r="G174" s="242">
        <v>80799.967000000004</v>
      </c>
      <c r="H174" s="242"/>
      <c r="I174" s="242"/>
      <c r="J174" s="242"/>
      <c r="K174" s="242"/>
      <c r="L174" s="242"/>
      <c r="M174" s="242"/>
      <c r="N174" s="242">
        <f t="shared" si="2"/>
        <v>144200.32985114891</v>
      </c>
    </row>
    <row r="175" spans="1:19">
      <c r="A175" s="254">
        <v>2011</v>
      </c>
      <c r="B175" s="254">
        <v>3</v>
      </c>
      <c r="C175" s="242">
        <v>55483.947684872306</v>
      </c>
      <c r="D175" s="242">
        <v>17100</v>
      </c>
      <c r="E175" s="242">
        <v>723.96900000000005</v>
      </c>
      <c r="F175" s="242">
        <v>0</v>
      </c>
      <c r="G175" s="242">
        <v>92072.525999999998</v>
      </c>
      <c r="H175" s="242"/>
      <c r="I175" s="242"/>
      <c r="J175" s="242"/>
      <c r="K175" s="242"/>
      <c r="L175" s="242"/>
      <c r="M175" s="242"/>
      <c r="N175" s="242">
        <f t="shared" si="2"/>
        <v>165380.44268487231</v>
      </c>
    </row>
    <row r="176" spans="1:19">
      <c r="A176" s="254">
        <v>2011</v>
      </c>
      <c r="B176" s="254">
        <v>4</v>
      </c>
      <c r="C176" s="242">
        <v>65083.823706435607</v>
      </c>
      <c r="D176" s="242">
        <v>17325</v>
      </c>
      <c r="E176" s="242">
        <v>688.89300000000003</v>
      </c>
      <c r="F176" s="242">
        <v>0</v>
      </c>
      <c r="G176" s="242">
        <v>104888.65700000001</v>
      </c>
      <c r="H176" s="242"/>
      <c r="I176" s="242"/>
      <c r="J176" s="242"/>
      <c r="K176" s="242"/>
      <c r="L176" s="242"/>
      <c r="M176" s="242"/>
      <c r="N176" s="242">
        <f t="shared" si="2"/>
        <v>187986.37370643561</v>
      </c>
    </row>
    <row r="177" spans="1:18">
      <c r="A177" s="254">
        <v>2011</v>
      </c>
      <c r="B177" s="254">
        <v>5</v>
      </c>
      <c r="C177" s="242">
        <v>70337.994571332616</v>
      </c>
      <c r="D177" s="242">
        <v>20115</v>
      </c>
      <c r="E177" s="242">
        <v>765.34199999999998</v>
      </c>
      <c r="F177" s="242">
        <v>0</v>
      </c>
      <c r="G177" s="242">
        <v>107074.308</v>
      </c>
      <c r="H177" s="242"/>
      <c r="I177" s="242"/>
      <c r="J177" s="242"/>
      <c r="K177" s="242"/>
      <c r="L177" s="242"/>
      <c r="M177" s="242"/>
      <c r="N177" s="242">
        <f t="shared" si="2"/>
        <v>198292.64457133261</v>
      </c>
    </row>
    <row r="178" spans="1:18">
      <c r="A178" s="254">
        <v>2011</v>
      </c>
      <c r="B178" s="254">
        <v>6</v>
      </c>
      <c r="C178" s="242">
        <v>74004.979417209412</v>
      </c>
      <c r="D178" s="242">
        <v>21060</v>
      </c>
      <c r="E178" s="242">
        <v>633.72699999999998</v>
      </c>
      <c r="F178" s="242">
        <v>0</v>
      </c>
      <c r="G178" s="242">
        <v>108087.621</v>
      </c>
      <c r="H178" s="242"/>
      <c r="I178" s="242"/>
      <c r="J178" s="242"/>
      <c r="K178" s="242"/>
      <c r="L178" s="242"/>
      <c r="M178" s="242"/>
      <c r="N178" s="242">
        <f t="shared" si="2"/>
        <v>203786.3274172094</v>
      </c>
      <c r="Q178" s="284">
        <f>SUM(N167:N178)</f>
        <v>2158366.1645821808</v>
      </c>
    </row>
    <row r="179" spans="1:18">
      <c r="A179" s="254">
        <v>2011</v>
      </c>
      <c r="B179" s="254">
        <v>7</v>
      </c>
      <c r="C179" s="242">
        <v>80409.620999999999</v>
      </c>
      <c r="D179" s="242">
        <v>22140</v>
      </c>
      <c r="E179" s="242">
        <v>622.54</v>
      </c>
      <c r="F179" s="242">
        <v>0</v>
      </c>
      <c r="G179" s="242">
        <v>112792.205</v>
      </c>
      <c r="H179" s="242"/>
      <c r="I179" s="242"/>
      <c r="J179" s="242"/>
      <c r="K179" s="242"/>
      <c r="L179" s="242"/>
      <c r="M179" s="242"/>
      <c r="N179" s="242">
        <f>SUM(C179:G179)</f>
        <v>215964.36599999998</v>
      </c>
    </row>
    <row r="180" spans="1:18">
      <c r="A180" s="254">
        <v>2011</v>
      </c>
      <c r="B180" s="254">
        <v>8</v>
      </c>
      <c r="C180" s="242">
        <v>76752.611000000004</v>
      </c>
      <c r="D180" s="242">
        <v>22770</v>
      </c>
      <c r="E180" s="242">
        <v>581.34400000000005</v>
      </c>
      <c r="F180" s="242">
        <v>0</v>
      </c>
      <c r="G180" s="242">
        <v>114067.916</v>
      </c>
      <c r="H180" s="242"/>
      <c r="I180" s="242"/>
      <c r="J180" s="242"/>
      <c r="K180" s="242"/>
      <c r="L180" s="242"/>
      <c r="M180" s="242"/>
      <c r="N180" s="242">
        <f>SUM(C180:G180)</f>
        <v>214171.87099999998</v>
      </c>
    </row>
    <row r="181" spans="1:18">
      <c r="A181" s="254">
        <v>2011</v>
      </c>
      <c r="B181" s="254">
        <v>9</v>
      </c>
      <c r="C181" s="242">
        <v>69116.777000000002</v>
      </c>
      <c r="D181" s="242">
        <v>21060</v>
      </c>
      <c r="E181" s="242">
        <v>614.32799999999997</v>
      </c>
      <c r="F181" s="242">
        <v>0</v>
      </c>
      <c r="G181" s="242">
        <v>107230.47500000001</v>
      </c>
      <c r="H181" s="242"/>
      <c r="I181" s="242"/>
      <c r="J181" s="242"/>
      <c r="K181" s="242"/>
      <c r="L181" s="242"/>
      <c r="M181" s="242"/>
      <c r="N181" s="242">
        <f>SUM(C181:G181)</f>
        <v>198021.58000000002</v>
      </c>
    </row>
    <row r="182" spans="1:18">
      <c r="A182" s="254">
        <v>2011</v>
      </c>
      <c r="B182" s="254">
        <v>10</v>
      </c>
      <c r="C182" s="242">
        <v>56226.877</v>
      </c>
      <c r="D182" s="242">
        <v>20970</v>
      </c>
      <c r="E182" s="242">
        <v>488.70699999999999</v>
      </c>
      <c r="F182" s="242">
        <v>0</v>
      </c>
      <c r="G182" s="242">
        <v>91884.466</v>
      </c>
      <c r="H182" s="242">
        <v>4846.848</v>
      </c>
      <c r="I182" s="242"/>
      <c r="J182" s="242"/>
      <c r="K182" s="242"/>
      <c r="L182" s="242"/>
      <c r="M182" s="242"/>
      <c r="N182" s="242">
        <f t="shared" ref="N182:N187" si="3">SUM(C182:H182)</f>
        <v>174416.89799999999</v>
      </c>
    </row>
    <row r="183" spans="1:18">
      <c r="A183" s="254">
        <v>2011</v>
      </c>
      <c r="B183" s="254">
        <v>11</v>
      </c>
      <c r="C183" s="242">
        <v>51407.406000000003</v>
      </c>
      <c r="D183" s="242">
        <v>16560</v>
      </c>
      <c r="E183" s="242">
        <v>622.82799999999997</v>
      </c>
      <c r="F183" s="242">
        <v>0</v>
      </c>
      <c r="G183" s="242">
        <v>84513.237999999998</v>
      </c>
      <c r="H183" s="242">
        <v>4334.5439999999999</v>
      </c>
      <c r="I183" s="242"/>
      <c r="J183" s="242"/>
      <c r="K183" s="242"/>
      <c r="L183" s="242"/>
      <c r="M183" s="242"/>
      <c r="N183" s="242">
        <f t="shared" si="3"/>
        <v>157438.016</v>
      </c>
    </row>
    <row r="184" spans="1:18" s="288" customFormat="1">
      <c r="A184" s="305">
        <v>2011</v>
      </c>
      <c r="B184" s="305">
        <v>12</v>
      </c>
      <c r="C184" s="242">
        <v>51239.464999999997</v>
      </c>
      <c r="D184" s="306">
        <v>16110</v>
      </c>
      <c r="E184" s="306">
        <v>442.48099999999999</v>
      </c>
      <c r="F184" s="306">
        <v>0</v>
      </c>
      <c r="G184" s="306">
        <v>85559.115000000005</v>
      </c>
      <c r="H184" s="306">
        <v>4447.3829999999998</v>
      </c>
      <c r="I184" s="306"/>
      <c r="J184" s="306"/>
      <c r="K184" s="306"/>
      <c r="L184" s="306"/>
      <c r="M184" s="306"/>
      <c r="N184" s="306">
        <f t="shared" si="3"/>
        <v>157798.44399999999</v>
      </c>
    </row>
    <row r="185" spans="1:18">
      <c r="A185" s="254">
        <v>2012</v>
      </c>
      <c r="B185" s="254">
        <v>1</v>
      </c>
      <c r="C185" s="242">
        <v>50699.966999999997</v>
      </c>
      <c r="D185" s="242">
        <v>16110</v>
      </c>
      <c r="E185" s="242">
        <v>573.01</v>
      </c>
      <c r="F185" s="242">
        <v>0</v>
      </c>
      <c r="G185" s="242">
        <v>89991.824999999997</v>
      </c>
      <c r="H185" s="242">
        <v>4696.8019999999997</v>
      </c>
      <c r="I185" s="242"/>
      <c r="J185" s="242"/>
      <c r="K185" s="242"/>
      <c r="L185" s="242"/>
      <c r="M185" s="242"/>
      <c r="N185" s="242">
        <f t="shared" si="3"/>
        <v>162071.60399999999</v>
      </c>
    </row>
    <row r="186" spans="1:18">
      <c r="A186" s="254">
        <f>+A185</f>
        <v>2012</v>
      </c>
      <c r="B186" s="254">
        <v>2</v>
      </c>
      <c r="C186" s="242">
        <v>52001.394</v>
      </c>
      <c r="D186" s="242">
        <v>15975</v>
      </c>
      <c r="E186" s="242">
        <v>365.38</v>
      </c>
      <c r="F186" s="242">
        <v>0</v>
      </c>
      <c r="G186" s="242">
        <v>86884.248000000007</v>
      </c>
      <c r="H186" s="242">
        <v>4387.8370000000004</v>
      </c>
      <c r="I186" s="242"/>
      <c r="J186" s="242"/>
      <c r="K186" s="242"/>
      <c r="L186" s="242"/>
      <c r="M186" s="242"/>
      <c r="N186" s="242">
        <f t="shared" si="3"/>
        <v>159613.859</v>
      </c>
    </row>
    <row r="187" spans="1:18">
      <c r="A187" s="254">
        <f t="shared" ref="A187:A196" si="4">+A186</f>
        <v>2012</v>
      </c>
      <c r="B187" s="254">
        <v>3</v>
      </c>
      <c r="C187" s="242">
        <v>59426.750999999997</v>
      </c>
      <c r="D187" s="242">
        <v>17100</v>
      </c>
      <c r="E187" s="242">
        <v>568.66899999999998</v>
      </c>
      <c r="F187" s="242">
        <v>0</v>
      </c>
      <c r="G187" s="242">
        <v>97530.347999999998</v>
      </c>
      <c r="H187" s="242">
        <v>4923.1809999999996</v>
      </c>
      <c r="I187" s="242"/>
      <c r="J187" s="242"/>
      <c r="K187" s="242"/>
      <c r="L187" s="242"/>
      <c r="M187" s="242"/>
      <c r="N187" s="242">
        <f t="shared" si="3"/>
        <v>179548.94899999999</v>
      </c>
    </row>
    <row r="188" spans="1:18">
      <c r="A188" s="254">
        <f t="shared" si="4"/>
        <v>2012</v>
      </c>
      <c r="B188" s="254">
        <v>4</v>
      </c>
      <c r="C188" s="242">
        <v>56813.245033112587</v>
      </c>
      <c r="D188" s="242">
        <v>17235</v>
      </c>
      <c r="E188" s="242">
        <v>500.34399999999999</v>
      </c>
      <c r="F188" s="242">
        <v>0</v>
      </c>
      <c r="G188" s="242">
        <v>95089.768262941448</v>
      </c>
      <c r="H188" s="242">
        <v>4983.3242271417157</v>
      </c>
      <c r="I188" s="242"/>
      <c r="J188" s="242"/>
      <c r="K188" s="242"/>
      <c r="L188" s="242"/>
      <c r="M188" s="242"/>
      <c r="N188" s="242">
        <f>SUM(C188:H188)</f>
        <v>174621.68152319573</v>
      </c>
    </row>
    <row r="189" spans="1:18">
      <c r="A189" s="254">
        <f t="shared" si="4"/>
        <v>2012</v>
      </c>
      <c r="B189" s="254">
        <v>5</v>
      </c>
      <c r="C189" s="242">
        <v>65762.341</v>
      </c>
      <c r="D189" s="242">
        <v>20115</v>
      </c>
      <c r="E189" s="242">
        <v>520.57500000000005</v>
      </c>
      <c r="F189" s="242">
        <v>0</v>
      </c>
      <c r="G189" s="242">
        <v>109264.15473627282</v>
      </c>
      <c r="H189" s="242">
        <v>6121.0438671659167</v>
      </c>
      <c r="I189" s="242">
        <v>3589.85</v>
      </c>
      <c r="J189" s="242"/>
      <c r="K189" s="242"/>
      <c r="L189" s="242"/>
      <c r="M189" s="242"/>
      <c r="N189" s="242">
        <f t="shared" ref="N189:N194" si="5">SUM(C189:I189)</f>
        <v>205372.96460343874</v>
      </c>
    </row>
    <row r="190" spans="1:18">
      <c r="A190" s="254">
        <f t="shared" si="4"/>
        <v>2012</v>
      </c>
      <c r="B190" s="254">
        <v>6</v>
      </c>
      <c r="C190" s="242">
        <v>69687.191999999995</v>
      </c>
      <c r="D190" s="242">
        <v>21060</v>
      </c>
      <c r="E190" s="242">
        <v>532.69100000000003</v>
      </c>
      <c r="F190" s="242">
        <v>0</v>
      </c>
      <c r="G190" s="242">
        <v>105197.076</v>
      </c>
      <c r="H190" s="242">
        <v>5728.7449999999999</v>
      </c>
      <c r="I190" s="242">
        <v>3674.2170000000001</v>
      </c>
      <c r="J190" s="242"/>
      <c r="K190" s="242"/>
      <c r="L190" s="242"/>
      <c r="M190" s="242"/>
      <c r="N190" s="242">
        <f t="shared" si="5"/>
        <v>205879.921</v>
      </c>
    </row>
    <row r="191" spans="1:18">
      <c r="A191" s="254">
        <f t="shared" si="4"/>
        <v>2012</v>
      </c>
      <c r="B191" s="254">
        <v>7</v>
      </c>
      <c r="C191" s="242">
        <v>77143.074929336013</v>
      </c>
      <c r="D191" s="242">
        <v>22140</v>
      </c>
      <c r="E191" s="242">
        <v>551.08500000000004</v>
      </c>
      <c r="F191" s="242">
        <v>0</v>
      </c>
      <c r="G191" s="242">
        <v>113099.62346554556</v>
      </c>
      <c r="H191" s="242">
        <v>6238.9201239816821</v>
      </c>
      <c r="I191" s="242">
        <v>4116.0389621796339</v>
      </c>
      <c r="J191" s="242"/>
      <c r="K191" s="242"/>
      <c r="L191" s="242"/>
      <c r="M191" s="242"/>
      <c r="N191" s="242">
        <f t="shared" si="5"/>
        <v>223288.74248104289</v>
      </c>
      <c r="O191" s="251" t="s">
        <v>265</v>
      </c>
      <c r="R191" s="293">
        <f>AVERAGE(Q70:Q178)</f>
        <v>1197387.3755098723</v>
      </c>
    </row>
    <row r="192" spans="1:18">
      <c r="A192" s="254">
        <f t="shared" si="4"/>
        <v>2012</v>
      </c>
      <c r="B192" s="254">
        <v>8</v>
      </c>
      <c r="C192" s="242">
        <v>77510.92</v>
      </c>
      <c r="D192" s="242">
        <v>22815</v>
      </c>
      <c r="E192" s="242">
        <v>497.99200000000002</v>
      </c>
      <c r="F192" s="242">
        <v>0</v>
      </c>
      <c r="G192" s="242">
        <v>115345.071</v>
      </c>
      <c r="H192" s="242">
        <v>6415.799</v>
      </c>
      <c r="I192" s="242">
        <v>3897.069</v>
      </c>
      <c r="J192" s="242"/>
      <c r="K192" s="242"/>
      <c r="L192" s="242"/>
      <c r="M192" s="242"/>
      <c r="N192" s="242">
        <f t="shared" si="5"/>
        <v>226481.851</v>
      </c>
    </row>
    <row r="193" spans="1:14">
      <c r="A193" s="254">
        <f t="shared" si="4"/>
        <v>2012</v>
      </c>
      <c r="B193" s="254">
        <v>9</v>
      </c>
      <c r="C193" s="242">
        <v>67200.520999999993</v>
      </c>
      <c r="D193" s="242">
        <v>21060</v>
      </c>
      <c r="E193" s="242">
        <v>479.16399999999999</v>
      </c>
      <c r="F193" s="242">
        <v>0</v>
      </c>
      <c r="G193" s="242">
        <v>104983.170117042</v>
      </c>
      <c r="H193" s="242">
        <v>5749.07</v>
      </c>
      <c r="I193" s="242">
        <v>3490.9690000000001</v>
      </c>
      <c r="J193" s="242"/>
      <c r="K193" s="242"/>
      <c r="L193" s="242"/>
      <c r="M193" s="242"/>
      <c r="N193" s="242">
        <f t="shared" si="5"/>
        <v>202962.89411704201</v>
      </c>
    </row>
    <row r="194" spans="1:14">
      <c r="A194" s="254">
        <f t="shared" si="4"/>
        <v>2012</v>
      </c>
      <c r="B194" s="254">
        <v>10</v>
      </c>
      <c r="C194" s="242">
        <v>62224.503311258282</v>
      </c>
      <c r="D194" s="242">
        <v>19395</v>
      </c>
      <c r="E194" s="242">
        <v>437.06900000000002</v>
      </c>
      <c r="F194" s="242">
        <v>0</v>
      </c>
      <c r="G194" s="242">
        <v>100007.63579220197</v>
      </c>
      <c r="H194" s="242">
        <v>5337.9445716882938</v>
      </c>
      <c r="I194" s="242">
        <v>3039.8842042482142</v>
      </c>
      <c r="J194" s="242"/>
      <c r="K194" s="242"/>
      <c r="L194" s="242"/>
      <c r="M194" s="242"/>
      <c r="N194" s="242">
        <f t="shared" si="5"/>
        <v>190442.03687939679</v>
      </c>
    </row>
    <row r="195" spans="1:14">
      <c r="A195" s="254">
        <f t="shared" si="4"/>
        <v>2012</v>
      </c>
      <c r="B195" s="254">
        <v>11</v>
      </c>
      <c r="C195" s="242">
        <v>45517.811406238841</v>
      </c>
      <c r="D195" s="242">
        <v>16560</v>
      </c>
      <c r="E195" s="242">
        <v>487.79899999999998</v>
      </c>
      <c r="F195" s="242">
        <v>0</v>
      </c>
      <c r="G195" s="242">
        <v>79468.151715833839</v>
      </c>
      <c r="H195" s="242">
        <v>4122.5100809971245</v>
      </c>
      <c r="I195" s="242">
        <v>2761.0590672933672</v>
      </c>
      <c r="J195" s="242"/>
      <c r="K195" s="242"/>
      <c r="L195" s="242"/>
      <c r="M195" s="242"/>
      <c r="N195" s="242">
        <f t="shared" ref="N195:N206" si="6">SUM(C195:I195)</f>
        <v>148917.33127036318</v>
      </c>
    </row>
    <row r="196" spans="1:14" s="288" customFormat="1">
      <c r="A196" s="305">
        <f t="shared" si="4"/>
        <v>2012</v>
      </c>
      <c r="B196" s="305">
        <v>12</v>
      </c>
      <c r="C196" s="242">
        <v>52972.151756650572</v>
      </c>
      <c r="D196" s="306">
        <v>16110</v>
      </c>
      <c r="E196" s="306">
        <v>594.61800000000005</v>
      </c>
      <c r="F196" s="306">
        <v>0</v>
      </c>
      <c r="G196" s="306">
        <v>87506.641904509233</v>
      </c>
      <c r="H196" s="306">
        <v>4579.3830153135004</v>
      </c>
      <c r="I196" s="306">
        <v>3043.755076468025</v>
      </c>
      <c r="J196" s="306"/>
      <c r="K196" s="306"/>
      <c r="L196" s="306"/>
      <c r="M196" s="306"/>
      <c r="N196" s="306">
        <f t="shared" si="6"/>
        <v>164806.54975294133</v>
      </c>
    </row>
    <row r="197" spans="1:14">
      <c r="A197" s="254">
        <f>+A185+1</f>
        <v>2013</v>
      </c>
      <c r="B197" s="254">
        <v>1</v>
      </c>
      <c r="C197" s="242">
        <v>55278.136511597055</v>
      </c>
      <c r="D197" s="242">
        <v>16110</v>
      </c>
      <c r="E197" s="242">
        <v>495.65699999999998</v>
      </c>
      <c r="F197" s="242">
        <v>0</v>
      </c>
      <c r="G197" s="242">
        <v>89786.426392106048</v>
      </c>
      <c r="H197" s="242">
        <v>4430.5299867769299</v>
      </c>
      <c r="I197" s="242">
        <v>2945.2308177473742</v>
      </c>
      <c r="J197" s="242"/>
      <c r="K197" s="242"/>
      <c r="L197" s="242"/>
      <c r="M197" s="242"/>
      <c r="N197" s="242">
        <f>SUM(C197:I197)</f>
        <v>169045.98070822741</v>
      </c>
    </row>
    <row r="198" spans="1:14">
      <c r="A198" s="254">
        <f>+A197</f>
        <v>2013</v>
      </c>
      <c r="B198" s="254">
        <v>2</v>
      </c>
      <c r="C198" s="309">
        <v>50969.71193583608</v>
      </c>
      <c r="D198" s="309">
        <v>15615</v>
      </c>
      <c r="E198" s="309">
        <v>262.108</v>
      </c>
      <c r="F198" s="309">
        <v>0</v>
      </c>
      <c r="G198" s="309">
        <v>84958.675088521297</v>
      </c>
      <c r="H198" s="309">
        <v>4216.1531965523254</v>
      </c>
      <c r="I198" s="309">
        <v>2657.6967411061955</v>
      </c>
      <c r="J198" s="309"/>
      <c r="K198" s="309"/>
      <c r="L198" s="309"/>
      <c r="M198" s="309"/>
      <c r="N198" s="309">
        <f t="shared" si="6"/>
        <v>158679.34496201589</v>
      </c>
    </row>
    <row r="199" spans="1:14">
      <c r="A199" s="254">
        <f t="shared" ref="A199:A208" si="7">+A198</f>
        <v>2013</v>
      </c>
      <c r="B199" s="254">
        <v>3</v>
      </c>
      <c r="C199" s="309">
        <v>53074.278308962334</v>
      </c>
      <c r="D199" s="309">
        <v>17100</v>
      </c>
      <c r="E199" s="309">
        <v>399.06799999999998</v>
      </c>
      <c r="F199" s="309">
        <v>0</v>
      </c>
      <c r="G199" s="309">
        <v>92662.203695956079</v>
      </c>
      <c r="H199" s="309">
        <v>4511.5509407255704</v>
      </c>
      <c r="I199" s="309">
        <v>2948.5339202169525</v>
      </c>
      <c r="J199" s="309"/>
      <c r="K199" s="309"/>
      <c r="L199" s="309"/>
      <c r="M199" s="309"/>
      <c r="N199" s="309">
        <f t="shared" si="6"/>
        <v>170695.63486586095</v>
      </c>
    </row>
    <row r="200" spans="1:14">
      <c r="A200" s="254">
        <f t="shared" si="7"/>
        <v>2013</v>
      </c>
      <c r="B200" s="254">
        <v>4</v>
      </c>
      <c r="C200" s="309">
        <v>61920.623679833465</v>
      </c>
      <c r="D200" s="309">
        <v>17235</v>
      </c>
      <c r="E200" s="309">
        <v>563.31700000000001</v>
      </c>
      <c r="F200" s="309">
        <v>0</v>
      </c>
      <c r="G200" s="309">
        <v>101520.4838824886</v>
      </c>
      <c r="H200" s="309">
        <v>5015.6158196515544</v>
      </c>
      <c r="I200" s="309">
        <v>2772.4259640793093</v>
      </c>
      <c r="J200" s="309"/>
      <c r="K200" s="309"/>
      <c r="L200" s="309"/>
      <c r="M200" s="309"/>
      <c r="N200" s="309">
        <f t="shared" si="6"/>
        <v>189027.46634605288</v>
      </c>
    </row>
    <row r="201" spans="1:14">
      <c r="A201" s="254">
        <f t="shared" si="7"/>
        <v>2013</v>
      </c>
      <c r="B201" s="254">
        <v>5</v>
      </c>
      <c r="C201" s="309">
        <v>64215.762405738831</v>
      </c>
      <c r="D201" s="309">
        <v>20115</v>
      </c>
      <c r="E201" s="309">
        <v>547.91300000000001</v>
      </c>
      <c r="F201" s="309">
        <v>0</v>
      </c>
      <c r="G201" s="309">
        <v>102931.97379565096</v>
      </c>
      <c r="H201" s="309">
        <v>5416.7007267145045</v>
      </c>
      <c r="I201" s="309">
        <v>3201.016648104046</v>
      </c>
      <c r="J201" s="309"/>
      <c r="K201" s="309"/>
      <c r="L201" s="309"/>
      <c r="M201" s="309"/>
      <c r="N201" s="309">
        <f t="shared" si="6"/>
        <v>196428.36657620835</v>
      </c>
    </row>
    <row r="202" spans="1:14">
      <c r="A202" s="254">
        <f t="shared" si="7"/>
        <v>2013</v>
      </c>
      <c r="B202" s="254">
        <v>6</v>
      </c>
      <c r="C202" s="309">
        <v>71685.378247100394</v>
      </c>
      <c r="D202" s="309">
        <v>0</v>
      </c>
      <c r="E202" s="309">
        <v>531.08699999999999</v>
      </c>
      <c r="F202" s="309">
        <v>0</v>
      </c>
      <c r="G202" s="309">
        <v>107378.41511970102</v>
      </c>
      <c r="H202" s="309">
        <v>5723.4525108652842</v>
      </c>
      <c r="I202" s="309">
        <v>3746.2911983350436</v>
      </c>
      <c r="J202" s="309"/>
      <c r="K202" s="309"/>
      <c r="L202" s="309"/>
      <c r="M202" s="309"/>
      <c r="N202" s="309">
        <f t="shared" si="6"/>
        <v>189064.62407600172</v>
      </c>
    </row>
    <row r="203" spans="1:14">
      <c r="A203" s="254">
        <f t="shared" si="7"/>
        <v>2013</v>
      </c>
      <c r="B203" s="254">
        <v>7</v>
      </c>
      <c r="C203" s="309">
        <v>75399.978615724569</v>
      </c>
      <c r="D203" s="309">
        <v>0</v>
      </c>
      <c r="E203" s="309">
        <v>487.20499999999998</v>
      </c>
      <c r="F203" s="309">
        <v>0</v>
      </c>
      <c r="G203" s="309">
        <v>108944.62694622365</v>
      </c>
      <c r="H203" s="309">
        <v>5654.0406598902682</v>
      </c>
      <c r="I203" s="309">
        <v>3766.6253020786016</v>
      </c>
      <c r="J203" s="309"/>
      <c r="K203" s="309"/>
      <c r="L203" s="309"/>
      <c r="M203" s="309"/>
      <c r="N203" s="309">
        <f t="shared" si="6"/>
        <v>194252.47652391711</v>
      </c>
    </row>
    <row r="204" spans="1:14">
      <c r="A204" s="254">
        <f t="shared" si="7"/>
        <v>2013</v>
      </c>
      <c r="B204" s="254">
        <v>8</v>
      </c>
      <c r="C204" s="309">
        <v>77641.075119904694</v>
      </c>
      <c r="D204" s="309">
        <v>0</v>
      </c>
      <c r="E204" s="309">
        <v>523.51099999999997</v>
      </c>
      <c r="F204" s="309">
        <v>0</v>
      </c>
      <c r="G204" s="309">
        <v>116066.39817520851</v>
      </c>
      <c r="H204" s="309">
        <v>6416.3103488429579</v>
      </c>
      <c r="I204" s="309">
        <v>3922.965878606436</v>
      </c>
      <c r="J204" s="309"/>
      <c r="K204" s="309"/>
      <c r="L204" s="309"/>
      <c r="M204" s="309"/>
      <c r="N204" s="309">
        <f t="shared" si="6"/>
        <v>204570.26052256257</v>
      </c>
    </row>
    <row r="205" spans="1:14">
      <c r="A205" s="254">
        <f t="shared" si="7"/>
        <v>2013</v>
      </c>
      <c r="B205" s="254">
        <v>9</v>
      </c>
      <c r="C205" s="309">
        <v>68405.673961080611</v>
      </c>
      <c r="D205" s="309">
        <v>0</v>
      </c>
      <c r="E205" s="309">
        <v>513.303</v>
      </c>
      <c r="F205" s="309">
        <v>0</v>
      </c>
      <c r="G205" s="309">
        <v>104907.72481492419</v>
      </c>
      <c r="H205" s="309">
        <v>5734.3011775500026</v>
      </c>
      <c r="I205" s="309">
        <v>3620.5108547538325</v>
      </c>
      <c r="J205" s="309"/>
      <c r="K205" s="309"/>
      <c r="L205" s="309"/>
      <c r="M205" s="309"/>
      <c r="N205" s="309">
        <f t="shared" si="6"/>
        <v>183181.51380830863</v>
      </c>
    </row>
    <row r="206" spans="1:14">
      <c r="A206" s="254">
        <f t="shared" si="7"/>
        <v>2013</v>
      </c>
      <c r="B206" s="254">
        <v>10</v>
      </c>
      <c r="C206" s="309">
        <v>66036.695416636969</v>
      </c>
      <c r="D206" s="309">
        <v>0</v>
      </c>
      <c r="E206" s="309">
        <v>483.48</v>
      </c>
      <c r="F206" s="309">
        <v>0</v>
      </c>
      <c r="G206" s="309">
        <v>106317.40680019959</v>
      </c>
      <c r="H206" s="309">
        <v>5499.3547912053045</v>
      </c>
      <c r="I206" s="309">
        <v>2964.0968759488965</v>
      </c>
      <c r="J206" s="309"/>
      <c r="K206" s="309"/>
      <c r="L206" s="309"/>
      <c r="M206" s="309"/>
      <c r="N206" s="309">
        <f t="shared" si="6"/>
        <v>181301.03388399078</v>
      </c>
    </row>
    <row r="207" spans="1:14">
      <c r="A207" s="254">
        <f t="shared" si="7"/>
        <v>2013</v>
      </c>
      <c r="B207" s="254">
        <v>11</v>
      </c>
      <c r="C207" s="309">
        <v>55916.605399020402</v>
      </c>
      <c r="D207" s="309">
        <v>0</v>
      </c>
      <c r="E207" s="309">
        <v>414.11599999999999</v>
      </c>
      <c r="F207" s="309">
        <v>0</v>
      </c>
      <c r="G207" s="309">
        <v>93649.224565440978</v>
      </c>
      <c r="H207" s="309">
        <v>4493.9387189187546</v>
      </c>
      <c r="I207" s="309">
        <v>2661.8907088192309</v>
      </c>
      <c r="J207" s="309"/>
      <c r="K207" s="309"/>
      <c r="L207" s="309"/>
      <c r="M207" s="309"/>
      <c r="N207" s="309">
        <f>SUM(C207:I207)</f>
        <v>157135.77539219937</v>
      </c>
    </row>
    <row r="208" spans="1:14" s="288" customFormat="1">
      <c r="A208" s="305">
        <f t="shared" si="7"/>
        <v>2013</v>
      </c>
      <c r="B208" s="305">
        <v>12</v>
      </c>
      <c r="C208" s="309">
        <v>58140.181053531967</v>
      </c>
      <c r="D208" s="310">
        <v>0</v>
      </c>
      <c r="E208" s="310">
        <v>0</v>
      </c>
      <c r="F208" s="310">
        <v>0</v>
      </c>
      <c r="G208" s="310">
        <v>93356.393389203993</v>
      </c>
      <c r="H208" s="310">
        <v>4642.2964096855567</v>
      </c>
      <c r="I208" s="310">
        <v>2936.5061938137978</v>
      </c>
      <c r="J208" s="310"/>
      <c r="K208" s="310"/>
      <c r="L208" s="310"/>
      <c r="M208" s="310"/>
      <c r="N208" s="310">
        <f>SUM(C208:I208)</f>
        <v>159075.37704623531</v>
      </c>
    </row>
    <row r="209" spans="1:15">
      <c r="A209" s="254">
        <f>+A197+1</f>
        <v>2014</v>
      </c>
      <c r="B209" s="254">
        <v>1</v>
      </c>
      <c r="C209" s="309">
        <v>53789.683053531968</v>
      </c>
      <c r="D209" s="309">
        <v>0</v>
      </c>
      <c r="E209" s="309">
        <v>-414.11599999999999</v>
      </c>
      <c r="F209" s="309">
        <v>0</v>
      </c>
      <c r="G209" s="309">
        <v>302663.98175208498</v>
      </c>
      <c r="H209" s="309">
        <v>5124.569409685555</v>
      </c>
      <c r="I209" s="309">
        <v>3598.7401938137978</v>
      </c>
      <c r="J209" s="309">
        <v>16537</v>
      </c>
      <c r="K209" s="309"/>
      <c r="L209" s="309"/>
      <c r="M209" s="309"/>
      <c r="N209" s="309">
        <f>SUM(C209:K209)</f>
        <v>381299.85840911628</v>
      </c>
      <c r="O209" s="251" t="s">
        <v>266</v>
      </c>
    </row>
    <row r="210" spans="1:15">
      <c r="A210" s="254">
        <f>+A209</f>
        <v>2014</v>
      </c>
      <c r="B210" s="254">
        <v>2</v>
      </c>
      <c r="C210" s="309">
        <v>55279.361545482316</v>
      </c>
      <c r="D210" s="309">
        <v>0</v>
      </c>
      <c r="E210" s="309">
        <v>0</v>
      </c>
      <c r="F210" s="309">
        <v>0</v>
      </c>
      <c r="G210" s="309">
        <v>247855.38629166124</v>
      </c>
      <c r="H210" s="309">
        <v>4132.2357440350515</v>
      </c>
      <c r="I210" s="309">
        <v>2923.0439027417733</v>
      </c>
      <c r="J210" s="309">
        <v>15456</v>
      </c>
      <c r="K210" s="309">
        <v>18635</v>
      </c>
      <c r="L210" s="309"/>
      <c r="M210" s="309"/>
      <c r="N210" s="309">
        <f t="shared" ref="N210:N220" si="8">SUM(C210:K210)</f>
        <v>344281.02748392033</v>
      </c>
    </row>
    <row r="211" spans="1:15">
      <c r="A211" s="254">
        <f t="shared" ref="A211:A220" si="9">+A210</f>
        <v>2014</v>
      </c>
      <c r="B211" s="254">
        <v>3</v>
      </c>
      <c r="C211" s="309">
        <v>60007.115803946937</v>
      </c>
      <c r="D211" s="309">
        <v>0</v>
      </c>
      <c r="E211" s="309">
        <v>0</v>
      </c>
      <c r="F211" s="309">
        <v>0</v>
      </c>
      <c r="G211" s="309">
        <v>277647.81523986027</v>
      </c>
      <c r="H211" s="309">
        <v>4021.6145055988081</v>
      </c>
      <c r="I211" s="309">
        <v>2594.3847094808966</v>
      </c>
      <c r="J211" s="309">
        <v>16997</v>
      </c>
      <c r="K211" s="309">
        <v>14868</v>
      </c>
      <c r="L211" s="309"/>
      <c r="M211" s="309"/>
      <c r="N211" s="309">
        <f t="shared" si="8"/>
        <v>376135.93025888689</v>
      </c>
    </row>
    <row r="212" spans="1:15">
      <c r="A212" s="254">
        <f t="shared" si="9"/>
        <v>2014</v>
      </c>
      <c r="B212" s="254">
        <v>4</v>
      </c>
      <c r="C212" s="309">
        <v>62174.597000000002</v>
      </c>
      <c r="D212" s="309">
        <v>0</v>
      </c>
      <c r="E212" s="309">
        <v>0</v>
      </c>
      <c r="F212" s="309">
        <v>0</v>
      </c>
      <c r="G212" s="309">
        <v>311518.40575135191</v>
      </c>
      <c r="H212" s="309">
        <v>5396.7403632383848</v>
      </c>
      <c r="I212" s="309">
        <v>2558.409262151109</v>
      </c>
      <c r="J212" s="309">
        <v>15387</v>
      </c>
      <c r="K212" s="309">
        <v>7200</v>
      </c>
      <c r="L212" s="309"/>
      <c r="M212" s="309"/>
      <c r="N212" s="309">
        <f t="shared" si="8"/>
        <v>404235.1523767414</v>
      </c>
    </row>
    <row r="213" spans="1:15">
      <c r="A213" s="254">
        <f t="shared" si="9"/>
        <v>2014</v>
      </c>
      <c r="B213" s="254">
        <v>5</v>
      </c>
      <c r="C213" s="309">
        <v>69701.235000000001</v>
      </c>
      <c r="D213" s="309">
        <v>0</v>
      </c>
      <c r="E213" s="309">
        <v>0</v>
      </c>
      <c r="F213" s="309">
        <v>0</v>
      </c>
      <c r="G213" s="309">
        <v>346316.90070568124</v>
      </c>
      <c r="H213" s="309">
        <v>5912.6414068960285</v>
      </c>
      <c r="I213" s="309">
        <v>2856.3084321532915</v>
      </c>
      <c r="J213" s="309">
        <v>16790</v>
      </c>
      <c r="K213" s="309">
        <v>14775</v>
      </c>
      <c r="L213" s="309"/>
      <c r="M213" s="309"/>
      <c r="N213" s="309">
        <f t="shared" si="8"/>
        <v>456352.08554473054</v>
      </c>
    </row>
    <row r="214" spans="1:15">
      <c r="A214" s="254">
        <f t="shared" si="9"/>
        <v>2014</v>
      </c>
      <c r="B214" s="254">
        <v>6</v>
      </c>
      <c r="C214" s="309">
        <v>74290.361000000004</v>
      </c>
      <c r="D214" s="309">
        <v>0</v>
      </c>
      <c r="E214" s="309">
        <v>0</v>
      </c>
      <c r="F214" s="311">
        <v>81900</v>
      </c>
      <c r="G214" s="309">
        <v>361951.71226013481</v>
      </c>
      <c r="H214" s="309">
        <v>5789.2380307687336</v>
      </c>
      <c r="I214" s="309">
        <v>4003.3649859109446</v>
      </c>
      <c r="J214" s="309">
        <v>16560</v>
      </c>
      <c r="K214" s="309">
        <v>23090</v>
      </c>
      <c r="L214" s="309"/>
      <c r="M214" s="309"/>
      <c r="N214" s="309">
        <f t="shared" si="8"/>
        <v>567584.67627681454</v>
      </c>
    </row>
    <row r="215" spans="1:15">
      <c r="A215" s="254">
        <f t="shared" si="9"/>
        <v>2014</v>
      </c>
      <c r="B215" s="254">
        <v>7</v>
      </c>
      <c r="C215" s="309">
        <v>83182.856999999989</v>
      </c>
      <c r="D215" s="309">
        <v>0</v>
      </c>
      <c r="E215" s="309">
        <v>0</v>
      </c>
      <c r="F215" s="311">
        <v>90850</v>
      </c>
      <c r="G215" s="309">
        <v>342204.55535516626</v>
      </c>
      <c r="H215" s="309">
        <v>6401.7082499392218</v>
      </c>
      <c r="I215" s="309">
        <v>3991.8651475950396</v>
      </c>
      <c r="J215" s="309">
        <v>17112</v>
      </c>
      <c r="K215" s="309">
        <v>24575</v>
      </c>
      <c r="L215" s="309"/>
      <c r="M215" s="309"/>
      <c r="N215" s="309">
        <f t="shared" si="8"/>
        <v>568317.98575270048</v>
      </c>
    </row>
    <row r="216" spans="1:15">
      <c r="A216" s="254">
        <f t="shared" si="9"/>
        <v>2014</v>
      </c>
      <c r="B216" s="254">
        <v>8</v>
      </c>
      <c r="C216" s="309">
        <v>85591.366999999998</v>
      </c>
      <c r="D216" s="309">
        <v>0</v>
      </c>
      <c r="E216" s="309">
        <v>0</v>
      </c>
      <c r="F216" s="311">
        <v>96050</v>
      </c>
      <c r="G216" s="309">
        <v>419564.14984265558</v>
      </c>
      <c r="H216" s="309">
        <v>6197.4538796816068</v>
      </c>
      <c r="I216" s="309">
        <v>3823.33904429315</v>
      </c>
      <c r="J216" s="309">
        <v>17112</v>
      </c>
      <c r="K216" s="309">
        <v>25040</v>
      </c>
      <c r="L216" s="309"/>
      <c r="M216" s="309"/>
      <c r="N216" s="309">
        <f t="shared" si="8"/>
        <v>653378.30976663041</v>
      </c>
    </row>
    <row r="217" spans="1:15">
      <c r="A217" s="254">
        <f t="shared" si="9"/>
        <v>2014</v>
      </c>
      <c r="B217" s="254">
        <v>9</v>
      </c>
      <c r="C217" s="309">
        <v>67753.782000000007</v>
      </c>
      <c r="D217" s="309">
        <v>0</v>
      </c>
      <c r="E217" s="309">
        <v>0</v>
      </c>
      <c r="F217" s="311">
        <v>91130</v>
      </c>
      <c r="G217" s="309">
        <v>345805.26331882627</v>
      </c>
      <c r="H217" s="309">
        <v>6805.4888168294692</v>
      </c>
      <c r="I217" s="309">
        <v>3785.5901196064347</v>
      </c>
      <c r="J217" s="309">
        <v>16560</v>
      </c>
      <c r="K217" s="309">
        <v>17885</v>
      </c>
      <c r="L217" s="309"/>
      <c r="M217" s="309"/>
      <c r="N217" s="309">
        <f t="shared" si="8"/>
        <v>549725.12425526208</v>
      </c>
    </row>
    <row r="218" spans="1:15">
      <c r="A218" s="254">
        <f t="shared" si="9"/>
        <v>2014</v>
      </c>
      <c r="B218" s="254">
        <v>10</v>
      </c>
      <c r="C218" s="309">
        <v>64604.751999999979</v>
      </c>
      <c r="D218" s="309">
        <v>0</v>
      </c>
      <c r="E218" s="309">
        <v>0</v>
      </c>
      <c r="F218" s="311">
        <v>87075</v>
      </c>
      <c r="G218" s="309">
        <v>322850.12587526627</v>
      </c>
      <c r="H218" s="309">
        <v>5315.6805058958926</v>
      </c>
      <c r="I218" s="309">
        <v>3217.6337529843995</v>
      </c>
      <c r="J218" s="309">
        <v>16583</v>
      </c>
      <c r="K218" s="309">
        <v>14590</v>
      </c>
      <c r="L218" s="309"/>
      <c r="M218" s="309"/>
      <c r="N218" s="309">
        <f t="shared" si="8"/>
        <v>514236.19213414652</v>
      </c>
    </row>
    <row r="219" spans="1:15">
      <c r="A219" s="254">
        <f t="shared" si="9"/>
        <v>2014</v>
      </c>
      <c r="B219" s="254">
        <v>11</v>
      </c>
      <c r="C219" s="309">
        <v>51616.438000000002</v>
      </c>
      <c r="D219" s="309">
        <v>0</v>
      </c>
      <c r="E219" s="309">
        <v>0</v>
      </c>
      <c r="F219" s="311">
        <v>44020</v>
      </c>
      <c r="G219" s="309">
        <v>236602.42883206101</v>
      </c>
      <c r="H219" s="309">
        <v>3679.2900633923027</v>
      </c>
      <c r="I219" s="309">
        <v>2410.9527906332833</v>
      </c>
      <c r="J219" s="309">
        <v>16077</v>
      </c>
      <c r="K219" s="309">
        <v>7205</v>
      </c>
      <c r="L219" s="309"/>
      <c r="M219" s="309"/>
      <c r="N219" s="309">
        <f t="shared" si="8"/>
        <v>361611.10968608659</v>
      </c>
    </row>
    <row r="220" spans="1:15" s="288" customFormat="1">
      <c r="A220" s="305">
        <f t="shared" si="9"/>
        <v>2014</v>
      </c>
      <c r="B220" s="305">
        <v>12</v>
      </c>
      <c r="C220" s="310">
        <v>52485.398999999998</v>
      </c>
      <c r="D220" s="310">
        <v>0</v>
      </c>
      <c r="E220" s="310">
        <v>0</v>
      </c>
      <c r="F220" s="312">
        <v>13575</v>
      </c>
      <c r="G220" s="310">
        <v>316442.92193695024</v>
      </c>
      <c r="H220" s="310">
        <v>4424.6242624126007</v>
      </c>
      <c r="I220" s="310">
        <v>2923.9965997321551</v>
      </c>
      <c r="J220" s="310">
        <v>15847</v>
      </c>
      <c r="K220" s="310">
        <v>14375</v>
      </c>
      <c r="L220" s="310"/>
      <c r="M220" s="310"/>
      <c r="N220" s="310">
        <f t="shared" si="8"/>
        <v>420073.94179909502</v>
      </c>
    </row>
    <row r="221" spans="1:15">
      <c r="A221" s="254">
        <f>+A209+1</f>
        <v>2015</v>
      </c>
      <c r="B221" s="254">
        <v>1</v>
      </c>
      <c r="C221" s="309">
        <v>55893.767999999996</v>
      </c>
      <c r="D221" s="309">
        <v>0</v>
      </c>
      <c r="E221" s="309">
        <v>0</v>
      </c>
      <c r="F221" s="311">
        <v>73250</v>
      </c>
      <c r="G221" s="309">
        <v>270576.53929652547</v>
      </c>
      <c r="H221" s="309">
        <v>4758.6501985440973</v>
      </c>
      <c r="I221" s="309">
        <v>2854.7034059911311</v>
      </c>
      <c r="J221" s="309">
        <v>12284.608</v>
      </c>
      <c r="K221" s="309">
        <v>23405</v>
      </c>
      <c r="L221" s="309">
        <v>0</v>
      </c>
      <c r="M221" s="309">
        <v>0</v>
      </c>
      <c r="N221" s="311">
        <f t="shared" ref="N221:N232" si="10">SUM(C221:M221)</f>
        <v>443023.26890106068</v>
      </c>
    </row>
    <row r="222" spans="1:15">
      <c r="A222" s="254">
        <f>+A221</f>
        <v>2015</v>
      </c>
      <c r="B222" s="254">
        <v>2</v>
      </c>
      <c r="C222" s="309">
        <v>48914.218000000001</v>
      </c>
      <c r="D222" s="309">
        <v>0</v>
      </c>
      <c r="E222" s="309">
        <v>0</v>
      </c>
      <c r="F222" s="311">
        <v>85800</v>
      </c>
      <c r="G222" s="309">
        <v>301035.69455627701</v>
      </c>
      <c r="H222" s="309">
        <v>1891.0991284847378</v>
      </c>
      <c r="I222" s="309">
        <v>3125.6857217388688</v>
      </c>
      <c r="J222" s="309">
        <v>14177.11</v>
      </c>
      <c r="K222" s="309">
        <v>21900</v>
      </c>
      <c r="L222" s="309">
        <v>0</v>
      </c>
      <c r="M222" s="309">
        <v>0</v>
      </c>
      <c r="N222" s="311">
        <f t="shared" si="10"/>
        <v>476843.80740650056</v>
      </c>
    </row>
    <row r="223" spans="1:15">
      <c r="A223" s="254">
        <f t="shared" ref="A223:A232" si="11">+A222</f>
        <v>2015</v>
      </c>
      <c r="B223" s="254">
        <v>3</v>
      </c>
      <c r="C223" s="309">
        <v>66651.542000000016</v>
      </c>
      <c r="D223" s="309">
        <v>0</v>
      </c>
      <c r="E223" s="309">
        <v>0</v>
      </c>
      <c r="F223" s="311">
        <v>111860</v>
      </c>
      <c r="G223" s="309">
        <v>304886.05383588315</v>
      </c>
      <c r="H223" s="309">
        <v>7271.0262253584497</v>
      </c>
      <c r="I223" s="309">
        <v>3177.2140875774903</v>
      </c>
      <c r="J223" s="309">
        <v>13087.405999999997</v>
      </c>
      <c r="K223" s="309">
        <v>14690</v>
      </c>
      <c r="L223" s="309">
        <v>0</v>
      </c>
      <c r="M223" s="309">
        <v>0</v>
      </c>
      <c r="N223" s="311">
        <f t="shared" si="10"/>
        <v>521623.24214881909</v>
      </c>
    </row>
    <row r="224" spans="1:15">
      <c r="A224" s="254">
        <f t="shared" si="11"/>
        <v>2015</v>
      </c>
      <c r="B224" s="254">
        <v>4</v>
      </c>
      <c r="C224" s="309">
        <v>71298.913</v>
      </c>
      <c r="D224" s="309">
        <v>0</v>
      </c>
      <c r="E224" s="309">
        <v>0</v>
      </c>
      <c r="F224" s="311">
        <v>125830</v>
      </c>
      <c r="G224" s="309">
        <v>335684.37210155645</v>
      </c>
      <c r="H224" s="309">
        <v>5562.312992333108</v>
      </c>
      <c r="I224" s="309">
        <v>2118.9420340686947</v>
      </c>
      <c r="J224" s="309">
        <v>16697.978999999999</v>
      </c>
      <c r="K224" s="309">
        <v>14400</v>
      </c>
      <c r="L224" s="309">
        <v>0</v>
      </c>
      <c r="M224" s="309">
        <v>0</v>
      </c>
      <c r="N224" s="311">
        <f t="shared" si="10"/>
        <v>571592.51912795834</v>
      </c>
    </row>
    <row r="225" spans="1:16">
      <c r="A225" s="254">
        <f t="shared" si="11"/>
        <v>2015</v>
      </c>
      <c r="B225" s="254">
        <v>5</v>
      </c>
      <c r="C225" s="309">
        <v>72522.712999999989</v>
      </c>
      <c r="D225" s="309">
        <v>0</v>
      </c>
      <c r="E225" s="309">
        <v>0</v>
      </c>
      <c r="F225" s="311">
        <v>113525</v>
      </c>
      <c r="G225" s="309">
        <v>363433.20049330872</v>
      </c>
      <c r="H225" s="309">
        <v>6014.8991004178788</v>
      </c>
      <c r="I225" s="309">
        <v>3481.674325252809</v>
      </c>
      <c r="J225" s="309">
        <v>20002.003000000004</v>
      </c>
      <c r="K225" s="309">
        <v>18285</v>
      </c>
      <c r="L225" s="309">
        <v>0</v>
      </c>
      <c r="M225" s="309">
        <v>0</v>
      </c>
      <c r="N225" s="311">
        <f t="shared" si="10"/>
        <v>597264.48991897935</v>
      </c>
    </row>
    <row r="226" spans="1:16">
      <c r="A226" s="254">
        <f t="shared" si="11"/>
        <v>2015</v>
      </c>
      <c r="B226" s="254">
        <v>6</v>
      </c>
      <c r="C226" s="309">
        <v>76756.249999999985</v>
      </c>
      <c r="D226" s="309">
        <v>0</v>
      </c>
      <c r="E226" s="309">
        <v>0</v>
      </c>
      <c r="F226" s="311">
        <v>115975</v>
      </c>
      <c r="G226" s="309">
        <v>363754.52057248855</v>
      </c>
      <c r="H226" s="309">
        <v>6068.0906072946518</v>
      </c>
      <c r="I226" s="309">
        <v>3690.9136656444712</v>
      </c>
      <c r="J226" s="309">
        <v>21595.621000000006</v>
      </c>
      <c r="K226" s="309">
        <v>26070</v>
      </c>
      <c r="L226" s="309">
        <v>0</v>
      </c>
      <c r="M226" s="309">
        <v>0</v>
      </c>
      <c r="N226" s="311">
        <f t="shared" si="10"/>
        <v>613910.39584542776</v>
      </c>
    </row>
    <row r="227" spans="1:16">
      <c r="A227" s="254">
        <f t="shared" si="11"/>
        <v>2015</v>
      </c>
      <c r="B227" s="254">
        <v>7</v>
      </c>
      <c r="C227" s="309">
        <v>87703.695000000022</v>
      </c>
      <c r="D227" s="309">
        <v>0</v>
      </c>
      <c r="E227" s="309">
        <v>0</v>
      </c>
      <c r="F227" s="311">
        <v>144250</v>
      </c>
      <c r="G227" s="309">
        <v>389609.56643043342</v>
      </c>
      <c r="H227" s="309">
        <v>6157.5820506803384</v>
      </c>
      <c r="I227" s="309">
        <v>3999.2680194534855</v>
      </c>
      <c r="J227" s="309">
        <v>22495.288999999997</v>
      </c>
      <c r="K227" s="309">
        <v>29660</v>
      </c>
      <c r="L227" s="309">
        <v>0</v>
      </c>
      <c r="M227" s="309">
        <v>0</v>
      </c>
      <c r="N227" s="311">
        <f t="shared" si="10"/>
        <v>683875.40050056728</v>
      </c>
    </row>
    <row r="228" spans="1:16">
      <c r="A228" s="254">
        <f t="shared" si="11"/>
        <v>2015</v>
      </c>
      <c r="B228" s="254">
        <v>8</v>
      </c>
      <c r="C228" s="309">
        <v>87128.212999999989</v>
      </c>
      <c r="D228" s="309">
        <v>0</v>
      </c>
      <c r="E228" s="309">
        <v>0</v>
      </c>
      <c r="F228" s="311">
        <v>100175</v>
      </c>
      <c r="G228" s="309">
        <v>390530.61461388075</v>
      </c>
      <c r="H228" s="309">
        <v>6195.4934190703561</v>
      </c>
      <c r="I228" s="309">
        <v>4014.4510416657254</v>
      </c>
      <c r="J228" s="309">
        <v>22139.88</v>
      </c>
      <c r="K228" s="309">
        <v>29325</v>
      </c>
      <c r="L228" s="309">
        <v>14550</v>
      </c>
      <c r="M228" s="309">
        <v>0</v>
      </c>
      <c r="N228" s="311">
        <f t="shared" si="10"/>
        <v>654058.65207461687</v>
      </c>
    </row>
    <row r="229" spans="1:16">
      <c r="A229" s="254">
        <f t="shared" si="11"/>
        <v>2015</v>
      </c>
      <c r="B229" s="254">
        <v>9</v>
      </c>
      <c r="C229" s="309">
        <v>63560.309000000023</v>
      </c>
      <c r="D229" s="309">
        <v>0</v>
      </c>
      <c r="E229" s="309">
        <v>0</v>
      </c>
      <c r="F229" s="311">
        <v>79625</v>
      </c>
      <c r="G229" s="309">
        <v>343139.74523460411</v>
      </c>
      <c r="H229" s="309">
        <v>5873.1038321490651</v>
      </c>
      <c r="I229" s="309">
        <v>3961.0302713583897</v>
      </c>
      <c r="J229" s="309">
        <v>20172.212</v>
      </c>
      <c r="K229" s="309">
        <v>21365</v>
      </c>
      <c r="L229" s="309">
        <v>18036</v>
      </c>
      <c r="M229" s="309">
        <v>0</v>
      </c>
      <c r="N229" s="311">
        <f t="shared" si="10"/>
        <v>555732.40033811156</v>
      </c>
    </row>
    <row r="230" spans="1:16">
      <c r="A230" s="254">
        <f t="shared" si="11"/>
        <v>2015</v>
      </c>
      <c r="B230" s="254">
        <v>10</v>
      </c>
      <c r="C230" s="309">
        <v>76277.917999999991</v>
      </c>
      <c r="D230" s="309">
        <v>0</v>
      </c>
      <c r="E230" s="309">
        <v>0</v>
      </c>
      <c r="F230" s="311">
        <v>89775</v>
      </c>
      <c r="G230" s="309">
        <v>342108.00647605077</v>
      </c>
      <c r="H230" s="309">
        <v>5258.0817677860405</v>
      </c>
      <c r="I230" s="309">
        <v>2100.2086067896485</v>
      </c>
      <c r="J230" s="309">
        <v>16044.305</v>
      </c>
      <c r="K230" s="309">
        <v>14880</v>
      </c>
      <c r="L230" s="309">
        <v>18703</v>
      </c>
      <c r="M230" s="309">
        <v>0</v>
      </c>
      <c r="N230" s="311">
        <f t="shared" si="10"/>
        <v>565146.51985062647</v>
      </c>
    </row>
    <row r="231" spans="1:16">
      <c r="A231" s="254">
        <f t="shared" si="11"/>
        <v>2015</v>
      </c>
      <c r="B231" s="254">
        <v>11</v>
      </c>
      <c r="C231" s="309">
        <v>61865.206000000006</v>
      </c>
      <c r="D231" s="309">
        <v>0</v>
      </c>
      <c r="E231" s="309">
        <v>0</v>
      </c>
      <c r="F231" s="311">
        <v>86925</v>
      </c>
      <c r="G231" s="309">
        <v>344196.51250407309</v>
      </c>
      <c r="H231" s="309">
        <v>5194.9087056549597</v>
      </c>
      <c r="I231" s="309">
        <v>2828.3385813702926</v>
      </c>
      <c r="J231" s="309">
        <v>15609.645</v>
      </c>
      <c r="K231" s="309">
        <v>10785</v>
      </c>
      <c r="L231" s="309">
        <v>16738</v>
      </c>
      <c r="M231" s="309">
        <v>0</v>
      </c>
      <c r="N231" s="311">
        <f t="shared" si="10"/>
        <v>544142.61079109833</v>
      </c>
    </row>
    <row r="232" spans="1:16">
      <c r="A232" s="305">
        <f t="shared" si="11"/>
        <v>2015</v>
      </c>
      <c r="B232" s="305">
        <v>12</v>
      </c>
      <c r="C232" s="309">
        <v>63976.488000000005</v>
      </c>
      <c r="D232" s="309">
        <v>0</v>
      </c>
      <c r="E232" s="309">
        <v>0</v>
      </c>
      <c r="F232" s="311">
        <v>73750</v>
      </c>
      <c r="G232" s="309">
        <v>313989.42448680341</v>
      </c>
      <c r="H232" s="309">
        <v>4646.9185594983974</v>
      </c>
      <c r="I232" s="309">
        <v>2836.0391753632684</v>
      </c>
      <c r="J232" s="309">
        <v>12572.003000000001</v>
      </c>
      <c r="K232" s="309">
        <v>14625</v>
      </c>
      <c r="L232" s="309">
        <v>16880</v>
      </c>
      <c r="M232" s="309">
        <v>0</v>
      </c>
      <c r="N232" s="311">
        <f t="shared" si="10"/>
        <v>503275.8732216651</v>
      </c>
      <c r="P232" s="284">
        <v>390227.52452308999</v>
      </c>
    </row>
    <row r="233" spans="1:16">
      <c r="A233" s="233">
        <v>2016</v>
      </c>
      <c r="B233" s="262">
        <v>1</v>
      </c>
      <c r="C233" s="262">
        <v>53355.408000000003</v>
      </c>
      <c r="D233" s="262">
        <v>0</v>
      </c>
      <c r="E233" s="262">
        <v>0</v>
      </c>
      <c r="F233" s="262">
        <v>96950</v>
      </c>
      <c r="G233" s="262">
        <v>295307.09412675141</v>
      </c>
      <c r="H233" s="262">
        <v>4853.4653385915335</v>
      </c>
      <c r="I233" s="262">
        <v>2839.1268851419577</v>
      </c>
      <c r="J233" s="262">
        <v>13553.464</v>
      </c>
      <c r="K233" s="262">
        <v>23070</v>
      </c>
      <c r="L233" s="262">
        <v>12853</v>
      </c>
      <c r="M233" s="262">
        <v>8430</v>
      </c>
      <c r="N233" s="262">
        <f t="shared" ref="N233:N244" si="12">SUM(C233:M233)</f>
        <v>511211.55835048488</v>
      </c>
    </row>
    <row r="234" spans="1:16">
      <c r="A234" s="233">
        <v>2016</v>
      </c>
      <c r="B234" s="262">
        <v>2</v>
      </c>
      <c r="C234" s="262">
        <v>52513.592000000004</v>
      </c>
      <c r="D234" s="262">
        <v>0</v>
      </c>
      <c r="E234" s="262">
        <v>0</v>
      </c>
      <c r="F234" s="262">
        <v>47165</v>
      </c>
      <c r="G234" s="262">
        <v>238112.49592701212</v>
      </c>
      <c r="H234" s="262">
        <v>4078.4776853964358</v>
      </c>
      <c r="I234" s="262">
        <v>3417.2037369822833</v>
      </c>
      <c r="J234" s="262">
        <v>10789.436000000002</v>
      </c>
      <c r="K234" s="262">
        <v>21015</v>
      </c>
      <c r="L234" s="262">
        <v>10514</v>
      </c>
      <c r="M234" s="262">
        <v>7337</v>
      </c>
      <c r="N234" s="262">
        <f t="shared" si="12"/>
        <v>394942.20534939086</v>
      </c>
    </row>
    <row r="235" spans="1:16">
      <c r="A235" s="233">
        <v>2016</v>
      </c>
      <c r="B235" s="262">
        <v>3</v>
      </c>
      <c r="C235" s="262">
        <v>0</v>
      </c>
      <c r="D235" s="262">
        <v>0</v>
      </c>
      <c r="E235" s="262">
        <v>0</v>
      </c>
      <c r="F235" s="262">
        <v>0</v>
      </c>
      <c r="G235" s="262">
        <v>0</v>
      </c>
      <c r="H235" s="262">
        <v>0</v>
      </c>
      <c r="I235" s="262">
        <v>0</v>
      </c>
      <c r="J235" s="262">
        <v>0</v>
      </c>
      <c r="K235" s="262">
        <v>0</v>
      </c>
      <c r="L235" s="262">
        <v>0</v>
      </c>
      <c r="M235" s="262">
        <v>0</v>
      </c>
      <c r="N235" s="262">
        <f t="shared" si="12"/>
        <v>0</v>
      </c>
    </row>
    <row r="236" spans="1:16">
      <c r="A236" s="233">
        <v>2016</v>
      </c>
      <c r="B236" s="262">
        <v>4</v>
      </c>
      <c r="C236" s="262">
        <v>0</v>
      </c>
      <c r="D236" s="262">
        <v>0</v>
      </c>
      <c r="E236" s="262">
        <v>0</v>
      </c>
      <c r="F236" s="262">
        <v>0</v>
      </c>
      <c r="G236" s="262">
        <v>0</v>
      </c>
      <c r="H236" s="262">
        <v>0</v>
      </c>
      <c r="I236" s="262">
        <v>0</v>
      </c>
      <c r="J236" s="262">
        <v>0</v>
      </c>
      <c r="K236" s="262">
        <v>0</v>
      </c>
      <c r="L236" s="262">
        <v>0</v>
      </c>
      <c r="M236" s="262">
        <v>0</v>
      </c>
      <c r="N236" s="262">
        <f t="shared" si="12"/>
        <v>0</v>
      </c>
    </row>
    <row r="237" spans="1:16">
      <c r="A237" s="233">
        <v>2016</v>
      </c>
      <c r="B237" s="262">
        <v>5</v>
      </c>
      <c r="C237" s="262">
        <v>0</v>
      </c>
      <c r="D237" s="262">
        <v>0</v>
      </c>
      <c r="E237" s="262">
        <v>0</v>
      </c>
      <c r="F237" s="262">
        <v>0</v>
      </c>
      <c r="G237" s="262">
        <v>0</v>
      </c>
      <c r="H237" s="262">
        <v>0</v>
      </c>
      <c r="I237" s="262">
        <v>0</v>
      </c>
      <c r="J237" s="262">
        <v>0</v>
      </c>
      <c r="K237" s="262">
        <v>0</v>
      </c>
      <c r="L237" s="262">
        <v>0</v>
      </c>
      <c r="M237" s="262">
        <v>0</v>
      </c>
      <c r="N237" s="262">
        <f t="shared" si="12"/>
        <v>0</v>
      </c>
    </row>
    <row r="238" spans="1:16">
      <c r="A238" s="233">
        <v>2016</v>
      </c>
      <c r="B238" s="262">
        <v>6</v>
      </c>
      <c r="C238" s="262">
        <v>0</v>
      </c>
      <c r="D238" s="262">
        <v>0</v>
      </c>
      <c r="E238" s="262">
        <v>0</v>
      </c>
      <c r="F238" s="262">
        <v>0</v>
      </c>
      <c r="G238" s="262">
        <v>0</v>
      </c>
      <c r="H238" s="262">
        <v>0</v>
      </c>
      <c r="I238" s="262">
        <v>0</v>
      </c>
      <c r="J238" s="262">
        <v>0</v>
      </c>
      <c r="K238" s="262">
        <v>0</v>
      </c>
      <c r="L238" s="262">
        <v>0</v>
      </c>
      <c r="M238" s="262">
        <v>0</v>
      </c>
      <c r="N238" s="262">
        <f t="shared" si="12"/>
        <v>0</v>
      </c>
    </row>
    <row r="239" spans="1:16">
      <c r="A239" s="233">
        <v>2016</v>
      </c>
      <c r="B239" s="262">
        <v>7</v>
      </c>
      <c r="C239" s="262">
        <v>0</v>
      </c>
      <c r="D239" s="262">
        <v>0</v>
      </c>
      <c r="E239" s="262">
        <v>0</v>
      </c>
      <c r="F239" s="262">
        <v>0</v>
      </c>
      <c r="G239" s="262">
        <v>0</v>
      </c>
      <c r="H239" s="262">
        <v>0</v>
      </c>
      <c r="I239" s="262">
        <v>0</v>
      </c>
      <c r="J239" s="262">
        <v>0</v>
      </c>
      <c r="K239" s="262">
        <v>0</v>
      </c>
      <c r="L239" s="262">
        <v>0</v>
      </c>
      <c r="M239" s="262">
        <v>0</v>
      </c>
      <c r="N239" s="262">
        <f t="shared" si="12"/>
        <v>0</v>
      </c>
    </row>
    <row r="240" spans="1:16">
      <c r="A240" s="233">
        <v>2016</v>
      </c>
      <c r="B240" s="262">
        <v>8</v>
      </c>
      <c r="C240" s="262">
        <v>0</v>
      </c>
      <c r="D240" s="262">
        <v>0</v>
      </c>
      <c r="E240" s="262">
        <v>0</v>
      </c>
      <c r="F240" s="262">
        <v>0</v>
      </c>
      <c r="G240" s="262">
        <v>0</v>
      </c>
      <c r="H240" s="262">
        <v>0</v>
      </c>
      <c r="I240" s="262">
        <v>0</v>
      </c>
      <c r="J240" s="262">
        <v>0</v>
      </c>
      <c r="K240" s="262">
        <v>0</v>
      </c>
      <c r="L240" s="262">
        <v>0</v>
      </c>
      <c r="M240" s="262">
        <v>0</v>
      </c>
      <c r="N240" s="262">
        <f t="shared" si="12"/>
        <v>0</v>
      </c>
    </row>
    <row r="241" spans="1:14">
      <c r="A241" s="233">
        <v>2016</v>
      </c>
      <c r="B241" s="262">
        <v>9</v>
      </c>
      <c r="C241" s="262">
        <v>0</v>
      </c>
      <c r="D241" s="262">
        <v>0</v>
      </c>
      <c r="E241" s="262">
        <v>0</v>
      </c>
      <c r="F241" s="262">
        <v>0</v>
      </c>
      <c r="G241" s="262">
        <v>0</v>
      </c>
      <c r="H241" s="262">
        <v>0</v>
      </c>
      <c r="I241" s="262">
        <v>0</v>
      </c>
      <c r="J241" s="262">
        <v>0</v>
      </c>
      <c r="K241" s="262">
        <v>0</v>
      </c>
      <c r="L241" s="262">
        <v>0</v>
      </c>
      <c r="M241" s="262">
        <v>0</v>
      </c>
      <c r="N241" s="262">
        <f t="shared" si="12"/>
        <v>0</v>
      </c>
    </row>
    <row r="242" spans="1:14">
      <c r="A242" s="233">
        <v>2016</v>
      </c>
      <c r="B242" s="262">
        <v>10</v>
      </c>
      <c r="C242" s="262">
        <v>0</v>
      </c>
      <c r="D242" s="262">
        <v>0</v>
      </c>
      <c r="E242" s="262">
        <v>0</v>
      </c>
      <c r="F242" s="262">
        <v>0</v>
      </c>
      <c r="G242" s="262">
        <v>0</v>
      </c>
      <c r="H242" s="262">
        <v>0</v>
      </c>
      <c r="I242" s="262">
        <v>0</v>
      </c>
      <c r="J242" s="262">
        <v>0</v>
      </c>
      <c r="K242" s="262">
        <v>0</v>
      </c>
      <c r="L242" s="262">
        <v>0</v>
      </c>
      <c r="M242" s="262">
        <v>0</v>
      </c>
      <c r="N242" s="262">
        <f t="shared" si="12"/>
        <v>0</v>
      </c>
    </row>
    <row r="243" spans="1:14">
      <c r="A243" s="233">
        <v>2016</v>
      </c>
      <c r="B243" s="262">
        <v>11</v>
      </c>
      <c r="C243" s="262">
        <v>0</v>
      </c>
      <c r="D243" s="262">
        <v>0</v>
      </c>
      <c r="E243" s="262">
        <v>0</v>
      </c>
      <c r="F243" s="262">
        <v>0</v>
      </c>
      <c r="G243" s="262">
        <v>0</v>
      </c>
      <c r="H243" s="262">
        <v>0</v>
      </c>
      <c r="I243" s="262">
        <v>0</v>
      </c>
      <c r="J243" s="262">
        <v>0</v>
      </c>
      <c r="K243" s="262">
        <v>0</v>
      </c>
      <c r="L243" s="262">
        <v>0</v>
      </c>
      <c r="M243" s="262">
        <v>0</v>
      </c>
      <c r="N243" s="262">
        <f t="shared" si="12"/>
        <v>0</v>
      </c>
    </row>
    <row r="244" spans="1:14">
      <c r="A244" s="288">
        <v>2016</v>
      </c>
      <c r="B244" s="307">
        <v>12</v>
      </c>
      <c r="C244" s="307">
        <v>0</v>
      </c>
      <c r="D244" s="307">
        <v>0</v>
      </c>
      <c r="E244" s="307">
        <v>0</v>
      </c>
      <c r="F244" s="307">
        <v>0</v>
      </c>
      <c r="G244" s="307">
        <v>0</v>
      </c>
      <c r="H244" s="307">
        <v>0</v>
      </c>
      <c r="I244" s="307">
        <v>0</v>
      </c>
      <c r="J244" s="307">
        <v>0</v>
      </c>
      <c r="K244" s="307">
        <v>0</v>
      </c>
      <c r="L244" s="307">
        <v>0</v>
      </c>
      <c r="M244" s="307">
        <v>0</v>
      </c>
      <c r="N244" s="307">
        <f t="shared" si="12"/>
        <v>0</v>
      </c>
    </row>
  </sheetData>
  <dataConsolidate/>
  <printOptions horizontalCentered="1" headings="1" gridLines="1"/>
  <pageMargins left="0.25" right="0.25" top="1" bottom="1" header="0.5" footer="0.5"/>
  <pageSetup scale="67" orientation="portrait" r:id="rId1"/>
  <headerFooter alignWithMargins="0"/>
  <rowBreaks count="2" manualBreakCount="2">
    <brk id="73" max="12" man="1"/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L81"/>
  <sheetViews>
    <sheetView zoomScaleNormal="75" workbookViewId="0">
      <selection activeCell="A2" activeCellId="1" sqref="A1:A2 A2"/>
    </sheetView>
  </sheetViews>
  <sheetFormatPr defaultColWidth="9.109375" defaultRowHeight="13.2"/>
  <cols>
    <col min="1" max="1" width="14.88671875" style="233" customWidth="1"/>
    <col min="2" max="3" width="8.6640625" style="262" customWidth="1"/>
    <col min="4" max="4" width="11.88671875" style="262" customWidth="1"/>
    <col min="5" max="5" width="8.6640625" style="262" customWidth="1"/>
    <col min="6" max="10" width="11.33203125" style="262" customWidth="1"/>
    <col min="11" max="11" width="11.33203125" style="279" customWidth="1"/>
    <col min="12" max="12" width="11.33203125" style="233" customWidth="1"/>
    <col min="13" max="14" width="8.6640625" style="262" customWidth="1"/>
    <col min="15" max="15" width="10.6640625" style="262" customWidth="1"/>
    <col min="16" max="16" width="8.6640625" style="262" customWidth="1"/>
    <col min="17" max="17" width="9.6640625" style="262" customWidth="1"/>
    <col min="18" max="19" width="11.33203125" style="262" customWidth="1"/>
    <col min="20" max="20" width="8.109375" style="262" customWidth="1"/>
    <col min="21" max="21" width="10.109375" style="262" customWidth="1"/>
    <col min="22" max="22" width="11.33203125" style="262" customWidth="1"/>
    <col min="23" max="23" width="2.109375" style="233" customWidth="1"/>
    <col min="24" max="24" width="14.88671875" style="233" customWidth="1"/>
    <col min="25" max="25" width="11.44140625" style="233" bestFit="1" customWidth="1"/>
    <col min="26" max="26" width="9.33203125" style="233" bestFit="1" customWidth="1"/>
    <col min="27" max="27" width="10.44140625" style="233" bestFit="1" customWidth="1"/>
    <col min="28" max="28" width="10.88671875" style="233" bestFit="1" customWidth="1"/>
    <col min="29" max="32" width="10.88671875" style="233" customWidth="1"/>
    <col min="33" max="33" width="17.6640625" style="233" bestFit="1" customWidth="1"/>
    <col min="34" max="16384" width="9.109375" style="233"/>
  </cols>
  <sheetData>
    <row r="1" spans="1:64" ht="14.4">
      <c r="A1" s="453" t="s">
        <v>293</v>
      </c>
    </row>
    <row r="2" spans="1:64" ht="14.4">
      <c r="A2" s="453" t="s">
        <v>290</v>
      </c>
    </row>
    <row r="4" spans="1:64" ht="40.200000000000003">
      <c r="A4" s="226" t="s">
        <v>217</v>
      </c>
      <c r="B4" s="227" t="s">
        <v>218</v>
      </c>
      <c r="C4" s="228"/>
      <c r="D4" s="229"/>
      <c r="E4" s="228"/>
      <c r="F4" s="229"/>
      <c r="G4" s="228"/>
      <c r="H4" s="229"/>
      <c r="I4" s="228"/>
      <c r="J4" s="228"/>
      <c r="K4" s="230"/>
      <c r="L4" s="231" t="s">
        <v>219</v>
      </c>
      <c r="M4" s="227" t="s">
        <v>220</v>
      </c>
      <c r="N4" s="228"/>
      <c r="O4" s="229"/>
      <c r="P4" s="228"/>
      <c r="Q4" s="228"/>
      <c r="R4" s="229"/>
      <c r="S4" s="228"/>
      <c r="T4" s="229"/>
      <c r="U4" s="228"/>
      <c r="V4" s="232" t="s">
        <v>221</v>
      </c>
      <c r="X4" s="234" t="s">
        <v>222</v>
      </c>
    </row>
    <row r="5" spans="1:64" s="237" customFormat="1" ht="27" thickBot="1">
      <c r="A5" s="235" t="s">
        <v>223</v>
      </c>
      <c r="B5" s="236" t="s">
        <v>224</v>
      </c>
      <c r="C5" s="237" t="s">
        <v>225</v>
      </c>
      <c r="D5" s="236" t="s">
        <v>226</v>
      </c>
      <c r="E5" s="237" t="s">
        <v>227</v>
      </c>
      <c r="F5" s="236" t="s">
        <v>228</v>
      </c>
      <c r="G5" s="237" t="s">
        <v>229</v>
      </c>
      <c r="H5" s="236" t="s">
        <v>230</v>
      </c>
      <c r="I5" s="236" t="s">
        <v>231</v>
      </c>
      <c r="J5" s="236" t="s">
        <v>232</v>
      </c>
      <c r="K5" s="238" t="s">
        <v>233</v>
      </c>
      <c r="L5" s="235" t="s">
        <v>223</v>
      </c>
      <c r="M5" s="236" t="s">
        <v>224</v>
      </c>
      <c r="N5" s="237" t="s">
        <v>225</v>
      </c>
      <c r="O5" s="236" t="s">
        <v>226</v>
      </c>
      <c r="P5" s="237" t="s">
        <v>227</v>
      </c>
      <c r="Q5" s="236" t="s">
        <v>228</v>
      </c>
      <c r="R5" s="236" t="s">
        <v>229</v>
      </c>
      <c r="S5" s="237" t="s">
        <v>230</v>
      </c>
      <c r="T5" s="236" t="s">
        <v>231</v>
      </c>
      <c r="U5" s="236" t="s">
        <v>232</v>
      </c>
      <c r="V5" s="236" t="s">
        <v>233</v>
      </c>
      <c r="W5" s="236"/>
      <c r="X5" s="236" t="s">
        <v>223</v>
      </c>
      <c r="Y5" s="238" t="s">
        <v>224</v>
      </c>
      <c r="Z5" s="237" t="s">
        <v>225</v>
      </c>
      <c r="AA5" s="235" t="s">
        <v>226</v>
      </c>
      <c r="AB5" s="237" t="s">
        <v>227</v>
      </c>
      <c r="AC5" s="237" t="s">
        <v>229</v>
      </c>
      <c r="AD5" s="237" t="s">
        <v>230</v>
      </c>
      <c r="AE5" s="236" t="s">
        <v>231</v>
      </c>
      <c r="AF5" s="236" t="s">
        <v>232</v>
      </c>
      <c r="AG5" s="237" t="s">
        <v>233</v>
      </c>
      <c r="AH5" s="236"/>
      <c r="AJ5" s="236"/>
      <c r="AK5" s="236"/>
      <c r="AL5" s="236"/>
      <c r="AM5" s="238"/>
      <c r="AO5" s="235"/>
      <c r="AP5" s="236"/>
      <c r="AS5" s="236"/>
      <c r="AT5" s="236"/>
      <c r="AV5" s="236"/>
      <c r="AW5" s="236"/>
      <c r="AX5" s="236"/>
      <c r="AY5" s="238"/>
      <c r="AZ5" s="239"/>
      <c r="BA5" s="238"/>
      <c r="BB5" s="235"/>
      <c r="BC5" s="236"/>
      <c r="BF5" s="236"/>
      <c r="BG5" s="236"/>
      <c r="BI5" s="236"/>
      <c r="BJ5" s="236"/>
      <c r="BK5" s="236"/>
      <c r="BL5" s="240"/>
    </row>
    <row r="6" spans="1:64">
      <c r="A6" s="241">
        <v>42005</v>
      </c>
      <c r="B6" s="242">
        <v>53858.330999999998</v>
      </c>
      <c r="C6" s="243">
        <v>0</v>
      </c>
      <c r="D6" s="243">
        <v>280530.5851416224</v>
      </c>
      <c r="E6" s="243">
        <v>0</v>
      </c>
      <c r="F6" s="243">
        <v>13575</v>
      </c>
      <c r="G6" s="243">
        <v>4694.7491985440975</v>
      </c>
      <c r="H6" s="243">
        <v>2884.7534059911313</v>
      </c>
      <c r="I6" s="243">
        <v>15847</v>
      </c>
      <c r="J6" s="243">
        <v>14375</v>
      </c>
      <c r="K6" s="226">
        <f>SUM(B6:J6)</f>
        <v>385765.41874615761</v>
      </c>
      <c r="L6" s="241">
        <v>41640</v>
      </c>
      <c r="M6" s="243">
        <v>58140.181053531967</v>
      </c>
      <c r="N6" s="243">
        <v>0</v>
      </c>
      <c r="O6" s="243">
        <v>93356.393389203993</v>
      </c>
      <c r="P6" s="243">
        <v>0</v>
      </c>
      <c r="Q6" s="243">
        <v>0</v>
      </c>
      <c r="R6" s="243">
        <v>4642.2964096855567</v>
      </c>
      <c r="S6" s="243">
        <v>2936.5061938137978</v>
      </c>
      <c r="T6" s="243">
        <v>0</v>
      </c>
      <c r="U6" s="243">
        <v>0</v>
      </c>
      <c r="V6" s="244">
        <f>SUM(M6:U6)</f>
        <v>159075.37704623531</v>
      </c>
      <c r="X6" s="245">
        <v>41275</v>
      </c>
      <c r="Y6" s="246">
        <f t="shared" ref="Y6:Y17" si="0">(B6/M6)-1</f>
        <v>-7.3647002399072292E-2</v>
      </c>
      <c r="Z6" s="246">
        <v>0</v>
      </c>
      <c r="AA6" s="246">
        <f t="shared" ref="AA6:AA17" si="1">(D6/O6)-1</f>
        <v>2.0049424035918655</v>
      </c>
      <c r="AB6" s="246">
        <v>0</v>
      </c>
      <c r="AC6" s="246">
        <f>(G6/R6)-1</f>
        <v>1.1298888358163506E-2</v>
      </c>
      <c r="AD6" s="246">
        <f>(H6/S6)-1</f>
        <v>-1.7623932798674691E-2</v>
      </c>
      <c r="AE6" s="246">
        <v>0</v>
      </c>
      <c r="AF6" s="246">
        <v>0</v>
      </c>
      <c r="AG6" s="247">
        <f>(K6/V6)-1</f>
        <v>1.4250479609678042</v>
      </c>
    </row>
    <row r="7" spans="1:64">
      <c r="A7" s="241">
        <v>42036</v>
      </c>
      <c r="B7" s="242">
        <v>55367.942000000003</v>
      </c>
      <c r="C7" s="243">
        <v>0</v>
      </c>
      <c r="D7" s="242">
        <v>280450.74556888483</v>
      </c>
      <c r="E7" s="242">
        <v>0</v>
      </c>
      <c r="F7" s="242">
        <v>73250</v>
      </c>
      <c r="G7" s="242">
        <v>4555.0711284847375</v>
      </c>
      <c r="H7" s="242">
        <v>3109.5557217388682</v>
      </c>
      <c r="I7" s="242">
        <v>12933.884</v>
      </c>
      <c r="J7" s="242">
        <v>23385</v>
      </c>
      <c r="K7" s="226">
        <f>SUM(B7:J7)</f>
        <v>453052.1984191084</v>
      </c>
      <c r="L7" s="245">
        <f t="shared" ref="L7:L17" si="2">L6+31</f>
        <v>41671</v>
      </c>
      <c r="M7" s="243">
        <v>53908.54454548232</v>
      </c>
      <c r="N7" s="243">
        <v>0</v>
      </c>
      <c r="O7" s="243">
        <v>300745.69615999516</v>
      </c>
      <c r="P7" s="243">
        <v>0</v>
      </c>
      <c r="Q7" s="243">
        <v>0</v>
      </c>
      <c r="R7" s="243">
        <v>5095.5527440350506</v>
      </c>
      <c r="S7" s="243">
        <v>3644.006902741773</v>
      </c>
      <c r="T7" s="243">
        <v>16537</v>
      </c>
      <c r="U7" s="243">
        <v>0</v>
      </c>
      <c r="V7" s="226">
        <f t="shared" ref="V7:V17" si="3">SUM(M7:U7)</f>
        <v>379930.8003522543</v>
      </c>
      <c r="X7" s="245">
        <f t="shared" ref="X7:X17" si="4">X6+31</f>
        <v>41306</v>
      </c>
      <c r="Y7" s="246">
        <f t="shared" si="0"/>
        <v>2.7071727994555594E-2</v>
      </c>
      <c r="Z7" s="246">
        <v>0</v>
      </c>
      <c r="AA7" s="246">
        <f t="shared" si="1"/>
        <v>-6.7482098165466464E-2</v>
      </c>
      <c r="AB7" s="246">
        <v>0</v>
      </c>
      <c r="AC7" s="246">
        <f t="shared" ref="AC7:AF17" si="5">(G7/R7)-1</f>
        <v>-0.10606928093973922</v>
      </c>
      <c r="AD7" s="246">
        <f t="shared" si="5"/>
        <v>-0.14666579819066217</v>
      </c>
      <c r="AE7" s="246">
        <f t="shared" si="5"/>
        <v>-0.21788208260264863</v>
      </c>
      <c r="AF7" s="246">
        <v>0</v>
      </c>
      <c r="AG7" s="247">
        <f t="shared" ref="AG7:AG17" si="6">(K7/V7)-1</f>
        <v>0.19245977951526783</v>
      </c>
    </row>
    <row r="8" spans="1:64">
      <c r="A8" s="241">
        <v>42067</v>
      </c>
      <c r="B8" s="242">
        <v>49604.22</v>
      </c>
      <c r="C8" s="243">
        <v>0</v>
      </c>
      <c r="D8" s="242">
        <v>269475.81462191558</v>
      </c>
      <c r="E8" s="242">
        <v>0</v>
      </c>
      <c r="F8" s="242">
        <v>85800</v>
      </c>
      <c r="G8" s="242">
        <v>4246.7172253584504</v>
      </c>
      <c r="H8" s="242">
        <v>2909.1120875774905</v>
      </c>
      <c r="I8" s="242">
        <v>12316.038</v>
      </c>
      <c r="J8" s="242">
        <v>22070</v>
      </c>
      <c r="K8" s="226">
        <f t="shared" ref="K8:K16" si="7">SUM(B8:J8)</f>
        <v>446421.90193485148</v>
      </c>
      <c r="L8" s="245">
        <f t="shared" si="2"/>
        <v>41702</v>
      </c>
      <c r="M8" s="243">
        <v>55150.350803946931</v>
      </c>
      <c r="N8" s="243">
        <v>0</v>
      </c>
      <c r="O8" s="243">
        <v>259025.64891092942</v>
      </c>
      <c r="P8" s="243">
        <v>0</v>
      </c>
      <c r="Q8" s="243">
        <v>0</v>
      </c>
      <c r="R8" s="243">
        <v>4168.5845055988075</v>
      </c>
      <c r="S8" s="243">
        <v>2606.7177094808972</v>
      </c>
      <c r="T8" s="243">
        <v>15456</v>
      </c>
      <c r="U8" s="243">
        <v>18643</v>
      </c>
      <c r="V8" s="226">
        <f t="shared" si="3"/>
        <v>355050.30192995607</v>
      </c>
      <c r="X8" s="245">
        <f t="shared" si="4"/>
        <v>41337</v>
      </c>
      <c r="Y8" s="246">
        <f t="shared" si="0"/>
        <v>-0.10056383546249381</v>
      </c>
      <c r="Z8" s="246">
        <v>0</v>
      </c>
      <c r="AA8" s="246">
        <f t="shared" si="1"/>
        <v>4.0344134856620473E-2</v>
      </c>
      <c r="AB8" s="246">
        <v>0</v>
      </c>
      <c r="AC8" s="246">
        <f t="shared" si="5"/>
        <v>1.8743225585256429E-2</v>
      </c>
      <c r="AD8" s="246">
        <f t="shared" si="5"/>
        <v>0.11600580185447562</v>
      </c>
      <c r="AE8" s="246">
        <f t="shared" si="5"/>
        <v>-0.20315489130434783</v>
      </c>
      <c r="AF8" s="246">
        <f t="shared" si="5"/>
        <v>0.18382234618891813</v>
      </c>
      <c r="AG8" s="247">
        <f t="shared" si="6"/>
        <v>0.25734832362689031</v>
      </c>
    </row>
    <row r="9" spans="1:64">
      <c r="A9" s="241">
        <v>42098</v>
      </c>
      <c r="B9" s="243">
        <v>66449.717000000004</v>
      </c>
      <c r="C9" s="243">
        <v>0</v>
      </c>
      <c r="D9" s="243">
        <v>320003.44500728755</v>
      </c>
      <c r="E9" s="243">
        <v>0</v>
      </c>
      <c r="F9" s="243">
        <v>111860</v>
      </c>
      <c r="G9" s="243">
        <v>4930.5869923331084</v>
      </c>
      <c r="H9" s="243">
        <v>2685.4160340686944</v>
      </c>
      <c r="I9" s="243">
        <v>13963.403</v>
      </c>
      <c r="J9" s="243">
        <v>14540</v>
      </c>
      <c r="K9" s="226">
        <f t="shared" si="7"/>
        <v>534432.5680336894</v>
      </c>
      <c r="L9" s="245">
        <f t="shared" si="2"/>
        <v>41733</v>
      </c>
      <c r="M9" s="243">
        <v>59095.16</v>
      </c>
      <c r="N9" s="243">
        <v>0</v>
      </c>
      <c r="O9" s="243">
        <v>281178.40900990809</v>
      </c>
      <c r="P9" s="243">
        <v>0</v>
      </c>
      <c r="Q9" s="243">
        <v>0</v>
      </c>
      <c r="R9" s="243">
        <v>4477.9103632383831</v>
      </c>
      <c r="S9" s="243">
        <v>2685.4212621511092</v>
      </c>
      <c r="T9" s="243">
        <v>16997</v>
      </c>
      <c r="U9" s="243">
        <v>14860</v>
      </c>
      <c r="V9" s="244">
        <f t="shared" si="3"/>
        <v>379293.90063529758</v>
      </c>
      <c r="X9" s="245">
        <f t="shared" si="4"/>
        <v>41368</v>
      </c>
      <c r="Y9" s="246">
        <f t="shared" si="0"/>
        <v>0.12445278090456147</v>
      </c>
      <c r="Z9" s="246">
        <v>0</v>
      </c>
      <c r="AA9" s="246">
        <f t="shared" si="1"/>
        <v>0.13807972003999547</v>
      </c>
      <c r="AB9" s="246">
        <v>0</v>
      </c>
      <c r="AC9" s="246">
        <f t="shared" si="5"/>
        <v>0.10109104300322658</v>
      </c>
      <c r="AD9" s="246">
        <f t="shared" si="5"/>
        <v>-1.9468388399168646E-6</v>
      </c>
      <c r="AE9" s="246">
        <f t="shared" si="5"/>
        <v>-0.1784783785373889</v>
      </c>
      <c r="AF9" s="246">
        <f t="shared" si="5"/>
        <v>-2.1534320323014833E-2</v>
      </c>
      <c r="AG9" s="247">
        <f t="shared" si="6"/>
        <v>0.40901967350000246</v>
      </c>
    </row>
    <row r="10" spans="1:64">
      <c r="A10" s="241">
        <v>42129</v>
      </c>
      <c r="B10" s="243">
        <v>70852.491999999998</v>
      </c>
      <c r="C10" s="243">
        <v>0</v>
      </c>
      <c r="D10" s="243">
        <v>352085.03969912243</v>
      </c>
      <c r="E10" s="243">
        <v>0</v>
      </c>
      <c r="F10" s="243">
        <v>125830</v>
      </c>
      <c r="G10" s="243">
        <v>5527.8231004178788</v>
      </c>
      <c r="H10" s="243">
        <v>2790.3133252528091</v>
      </c>
      <c r="I10" s="243">
        <v>17041.109</v>
      </c>
      <c r="J10" s="243">
        <v>14400</v>
      </c>
      <c r="K10" s="226">
        <f t="shared" si="7"/>
        <v>588526.77712479315</v>
      </c>
      <c r="L10" s="245">
        <f t="shared" si="2"/>
        <v>41764</v>
      </c>
      <c r="M10" s="243">
        <v>63569.199000000001</v>
      </c>
      <c r="N10" s="243">
        <v>0</v>
      </c>
      <c r="O10" s="243">
        <v>301216.02700528502</v>
      </c>
      <c r="P10" s="243">
        <v>0</v>
      </c>
      <c r="Q10" s="243">
        <v>0</v>
      </c>
      <c r="R10" s="243">
        <v>4975.8194068960292</v>
      </c>
      <c r="S10" s="243">
        <v>2650.125432153292</v>
      </c>
      <c r="T10" s="243">
        <v>15387</v>
      </c>
      <c r="U10" s="243">
        <v>7200</v>
      </c>
      <c r="V10" s="244">
        <f t="shared" si="3"/>
        <v>394998.17084433435</v>
      </c>
      <c r="X10" s="245">
        <f t="shared" si="4"/>
        <v>41399</v>
      </c>
      <c r="Y10" s="246">
        <f t="shared" si="0"/>
        <v>0.11457267221504552</v>
      </c>
      <c r="Z10" s="246">
        <v>0</v>
      </c>
      <c r="AA10" s="246">
        <f t="shared" si="1"/>
        <v>0.16887883821980321</v>
      </c>
      <c r="AB10" s="246">
        <v>0</v>
      </c>
      <c r="AC10" s="246">
        <f t="shared" si="5"/>
        <v>0.11093724437764418</v>
      </c>
      <c r="AD10" s="246">
        <f t="shared" si="5"/>
        <v>5.2898587892728832E-2</v>
      </c>
      <c r="AE10" s="246">
        <f t="shared" si="5"/>
        <v>0.10750042243452262</v>
      </c>
      <c r="AF10" s="246">
        <f t="shared" si="5"/>
        <v>1</v>
      </c>
      <c r="AG10" s="247">
        <f t="shared" si="6"/>
        <v>0.48994810752358364</v>
      </c>
    </row>
    <row r="11" spans="1:64">
      <c r="A11" s="241">
        <v>42160</v>
      </c>
      <c r="B11" s="243">
        <v>71889.150999999998</v>
      </c>
      <c r="C11" s="243">
        <v>0</v>
      </c>
      <c r="D11" s="243">
        <v>358026.05567050242</v>
      </c>
      <c r="E11" s="243">
        <v>0</v>
      </c>
      <c r="F11" s="243">
        <v>113525</v>
      </c>
      <c r="G11" s="243">
        <v>6043.7256072946511</v>
      </c>
      <c r="H11" s="243">
        <v>3287.9326656444714</v>
      </c>
      <c r="I11" s="243">
        <v>19622.374</v>
      </c>
      <c r="J11" s="243">
        <v>18285</v>
      </c>
      <c r="K11" s="226">
        <f t="shared" si="7"/>
        <v>590679.23894344154</v>
      </c>
      <c r="L11" s="245">
        <f t="shared" si="2"/>
        <v>41795</v>
      </c>
      <c r="M11" s="243">
        <v>69357.343999999997</v>
      </c>
      <c r="N11" s="243">
        <v>0</v>
      </c>
      <c r="O11" s="243">
        <v>360785.38621478324</v>
      </c>
      <c r="P11" s="243">
        <v>0</v>
      </c>
      <c r="Q11" s="243">
        <v>0</v>
      </c>
      <c r="R11" s="243">
        <v>5840.8780307687348</v>
      </c>
      <c r="S11" s="243">
        <v>3184.9289859109444</v>
      </c>
      <c r="T11" s="243">
        <v>16790</v>
      </c>
      <c r="U11" s="243">
        <v>14775</v>
      </c>
      <c r="V11" s="244">
        <f t="shared" si="3"/>
        <v>470733.53723146289</v>
      </c>
      <c r="X11" s="245">
        <f t="shared" si="4"/>
        <v>41430</v>
      </c>
      <c r="Y11" s="246">
        <f t="shared" si="0"/>
        <v>3.6503805566718395E-2</v>
      </c>
      <c r="Z11" s="246">
        <v>0</v>
      </c>
      <c r="AA11" s="246">
        <f t="shared" si="1"/>
        <v>-7.6481217081174613E-3</v>
      </c>
      <c r="AB11" s="246">
        <v>0</v>
      </c>
      <c r="AC11" s="246">
        <f t="shared" si="5"/>
        <v>3.4728952643309885E-2</v>
      </c>
      <c r="AD11" s="246">
        <f t="shared" si="5"/>
        <v>3.2340965901965335E-2</v>
      </c>
      <c r="AE11" s="246">
        <f t="shared" si="5"/>
        <v>0.16869410363311488</v>
      </c>
      <c r="AF11" s="246">
        <f t="shared" si="5"/>
        <v>0.23756345177664984</v>
      </c>
      <c r="AG11" s="247">
        <f t="shared" si="6"/>
        <v>0.25480594056972938</v>
      </c>
    </row>
    <row r="12" spans="1:64">
      <c r="A12" s="241">
        <v>42191</v>
      </c>
      <c r="B12" s="243">
        <v>77830.028999999995</v>
      </c>
      <c r="C12" s="243">
        <v>0</v>
      </c>
      <c r="D12" s="243">
        <v>369005.95878136205</v>
      </c>
      <c r="E12" s="243">
        <v>0</v>
      </c>
      <c r="F12" s="243">
        <v>115975</v>
      </c>
      <c r="G12" s="243">
        <v>6051.3220506803382</v>
      </c>
      <c r="H12" s="243">
        <v>3605.4320194534853</v>
      </c>
      <c r="I12" s="243">
        <v>21548.931</v>
      </c>
      <c r="J12" s="243">
        <v>26070</v>
      </c>
      <c r="K12" s="226">
        <f t="shared" si="7"/>
        <v>620086.67285149579</v>
      </c>
      <c r="L12" s="245">
        <f t="shared" si="2"/>
        <v>41826</v>
      </c>
      <c r="M12" s="243">
        <v>74193.294999999998</v>
      </c>
      <c r="N12" s="243">
        <v>0</v>
      </c>
      <c r="O12" s="243">
        <v>360785.38621478324</v>
      </c>
      <c r="P12" s="243">
        <v>0</v>
      </c>
      <c r="Q12" s="243">
        <v>81900</v>
      </c>
      <c r="R12" s="243">
        <v>6004.2162499392216</v>
      </c>
      <c r="S12" s="243">
        <v>3664.6651475950393</v>
      </c>
      <c r="T12" s="243">
        <v>16560</v>
      </c>
      <c r="U12" s="243">
        <v>23090</v>
      </c>
      <c r="V12" s="244">
        <f t="shared" si="3"/>
        <v>566197.5626123175</v>
      </c>
      <c r="X12" s="245">
        <f t="shared" si="4"/>
        <v>41461</v>
      </c>
      <c r="Y12" s="246">
        <f t="shared" si="0"/>
        <v>4.9017016968986082E-2</v>
      </c>
      <c r="Z12" s="246">
        <v>0</v>
      </c>
      <c r="AA12" s="246">
        <f t="shared" si="1"/>
        <v>2.2785214924655905E-2</v>
      </c>
      <c r="AB12" s="246">
        <v>0</v>
      </c>
      <c r="AC12" s="246">
        <f t="shared" si="5"/>
        <v>7.8454537245544742E-3</v>
      </c>
      <c r="AD12" s="246">
        <f t="shared" si="5"/>
        <v>-1.6163312541781938E-2</v>
      </c>
      <c r="AE12" s="246">
        <f t="shared" si="5"/>
        <v>0.30126394927536237</v>
      </c>
      <c r="AF12" s="246">
        <f t="shared" si="5"/>
        <v>0.12906019922044165</v>
      </c>
      <c r="AG12" s="247">
        <f t="shared" si="6"/>
        <v>9.5177220457370426E-2</v>
      </c>
    </row>
    <row r="13" spans="1:64">
      <c r="A13" s="241">
        <v>42222</v>
      </c>
      <c r="B13" s="243">
        <v>88019.129000000001</v>
      </c>
      <c r="C13" s="243">
        <v>0</v>
      </c>
      <c r="D13" s="243">
        <v>245979.42553815199</v>
      </c>
      <c r="E13" s="243">
        <v>0</v>
      </c>
      <c r="F13" s="243">
        <v>144250</v>
      </c>
      <c r="G13" s="243">
        <v>6104.9794190703569</v>
      </c>
      <c r="H13" s="243">
        <v>6575.706362185615</v>
      </c>
      <c r="I13" s="243">
        <v>22406.146000000001</v>
      </c>
      <c r="J13" s="243">
        <v>29660</v>
      </c>
      <c r="K13" s="226">
        <f t="shared" si="7"/>
        <v>542995.38631940796</v>
      </c>
      <c r="L13" s="245">
        <f t="shared" si="2"/>
        <v>41857</v>
      </c>
      <c r="M13" s="243">
        <v>83217.214000000007</v>
      </c>
      <c r="N13" s="243">
        <v>0</v>
      </c>
      <c r="O13" s="243">
        <v>375716.55339677719</v>
      </c>
      <c r="P13" s="243">
        <v>0</v>
      </c>
      <c r="Q13" s="243">
        <v>90850</v>
      </c>
      <c r="R13" s="243">
        <v>6211.0438796816061</v>
      </c>
      <c r="S13" s="243">
        <v>3860.3470442931502</v>
      </c>
      <c r="T13" s="243">
        <v>17112</v>
      </c>
      <c r="U13" s="243">
        <v>24630</v>
      </c>
      <c r="V13" s="244">
        <f t="shared" si="3"/>
        <v>601597.15832075197</v>
      </c>
      <c r="X13" s="245">
        <f t="shared" si="4"/>
        <v>41492</v>
      </c>
      <c r="Y13" s="246">
        <f t="shared" si="0"/>
        <v>5.7703385744204194E-2</v>
      </c>
      <c r="Z13" s="246">
        <v>0</v>
      </c>
      <c r="AA13" s="246">
        <f t="shared" si="1"/>
        <v>-0.3453058607231918</v>
      </c>
      <c r="AB13" s="246">
        <v>0</v>
      </c>
      <c r="AC13" s="246">
        <f t="shared" si="5"/>
        <v>-1.7076752743322432E-2</v>
      </c>
      <c r="AD13" s="246">
        <f t="shared" si="5"/>
        <v>0.70339772220910812</v>
      </c>
      <c r="AE13" s="246">
        <f t="shared" si="5"/>
        <v>0.3093820710612436</v>
      </c>
      <c r="AF13" s="246">
        <f t="shared" si="5"/>
        <v>0.20422249289484373</v>
      </c>
      <c r="AG13" s="247">
        <f t="shared" si="6"/>
        <v>-9.741032049572862E-2</v>
      </c>
    </row>
    <row r="14" spans="1:64">
      <c r="A14" s="241">
        <v>42253</v>
      </c>
      <c r="B14" s="243">
        <v>84594.652000000002</v>
      </c>
      <c r="C14" s="243">
        <v>0</v>
      </c>
      <c r="D14" s="243">
        <v>390590.21464646462</v>
      </c>
      <c r="E14" s="243">
        <v>0</v>
      </c>
      <c r="F14" s="243">
        <v>100175</v>
      </c>
      <c r="G14" s="243">
        <v>6194.3388321490647</v>
      </c>
      <c r="H14" s="243">
        <v>4006.8002713583892</v>
      </c>
      <c r="I14" s="243">
        <v>22364.563999999998</v>
      </c>
      <c r="J14" s="243">
        <v>29325</v>
      </c>
      <c r="K14" s="226">
        <f t="shared" si="7"/>
        <v>637250.56974997208</v>
      </c>
      <c r="L14" s="245">
        <f t="shared" si="2"/>
        <v>41888</v>
      </c>
      <c r="M14" s="243">
        <v>85515.320999999996</v>
      </c>
      <c r="N14" s="243">
        <v>0</v>
      </c>
      <c r="O14" s="243">
        <v>406625.38399600459</v>
      </c>
      <c r="P14" s="243">
        <v>0</v>
      </c>
      <c r="Q14" s="243">
        <v>96050</v>
      </c>
      <c r="R14" s="243">
        <v>6508.2668168294704</v>
      </c>
      <c r="S14" s="243">
        <v>3922.965878606436</v>
      </c>
      <c r="T14" s="243">
        <v>17112</v>
      </c>
      <c r="U14" s="243">
        <v>24970</v>
      </c>
      <c r="V14" s="244">
        <f t="shared" si="3"/>
        <v>640703.93769144046</v>
      </c>
      <c r="X14" s="245">
        <f t="shared" si="4"/>
        <v>41523</v>
      </c>
      <c r="Y14" s="246">
        <f t="shared" si="0"/>
        <v>-1.0766129264719648E-2</v>
      </c>
      <c r="Z14" s="246">
        <v>0</v>
      </c>
      <c r="AA14" s="246">
        <f t="shared" si="1"/>
        <v>-3.9434747511231438E-2</v>
      </c>
      <c r="AB14" s="246">
        <v>0</v>
      </c>
      <c r="AC14" s="246">
        <f t="shared" si="5"/>
        <v>-4.8235266548788625E-2</v>
      </c>
      <c r="AD14" s="246">
        <f t="shared" si="5"/>
        <v>2.1370155985586559E-2</v>
      </c>
      <c r="AE14" s="246">
        <f t="shared" si="5"/>
        <v>0.3069520804114072</v>
      </c>
      <c r="AF14" s="246">
        <f t="shared" si="5"/>
        <v>0.17440929114937931</v>
      </c>
      <c r="AG14" s="247">
        <f t="shared" si="6"/>
        <v>-5.389958978418985E-3</v>
      </c>
    </row>
    <row r="15" spans="1:64">
      <c r="A15" s="241">
        <v>42284</v>
      </c>
      <c r="B15" s="243">
        <v>70517.543999999994</v>
      </c>
      <c r="C15" s="243">
        <v>0</v>
      </c>
      <c r="D15" s="243">
        <v>361665.14133268164</v>
      </c>
      <c r="E15" s="243">
        <v>0</v>
      </c>
      <c r="F15" s="243">
        <v>79625</v>
      </c>
      <c r="G15" s="243">
        <v>5894.0407677860403</v>
      </c>
      <c r="H15" s="243">
        <v>3366.2096067896478</v>
      </c>
      <c r="I15" s="243">
        <v>20416.984</v>
      </c>
      <c r="J15" s="243">
        <v>21365</v>
      </c>
      <c r="K15" s="226">
        <f t="shared" si="7"/>
        <v>562849.9197072573</v>
      </c>
      <c r="L15" s="245">
        <f t="shared" si="2"/>
        <v>41919</v>
      </c>
      <c r="M15" s="243">
        <v>68248.683999999994</v>
      </c>
      <c r="N15" s="243">
        <v>0</v>
      </c>
      <c r="O15" s="243">
        <v>338476.9918359443</v>
      </c>
      <c r="P15" s="243">
        <v>0</v>
      </c>
      <c r="Q15" s="243">
        <v>93375</v>
      </c>
      <c r="R15" s="243">
        <v>5816.7115058958925</v>
      </c>
      <c r="S15" s="243">
        <v>3625.9569939843987</v>
      </c>
      <c r="T15" s="243">
        <v>16560</v>
      </c>
      <c r="U15" s="243">
        <v>17900</v>
      </c>
      <c r="V15" s="244">
        <f t="shared" si="3"/>
        <v>544003.3443358246</v>
      </c>
      <c r="X15" s="245">
        <f t="shared" si="4"/>
        <v>41554</v>
      </c>
      <c r="Y15" s="246">
        <f t="shared" si="0"/>
        <v>3.3244010976094529E-2</v>
      </c>
      <c r="Z15" s="246">
        <v>0</v>
      </c>
      <c r="AA15" s="246">
        <f t="shared" si="1"/>
        <v>6.8507313808722214E-2</v>
      </c>
      <c r="AB15" s="246">
        <v>0</v>
      </c>
      <c r="AC15" s="246">
        <f t="shared" si="5"/>
        <v>1.3294326495609354E-2</v>
      </c>
      <c r="AD15" s="246">
        <f t="shared" si="5"/>
        <v>-7.1635539976255047E-2</v>
      </c>
      <c r="AE15" s="246">
        <f t="shared" si="5"/>
        <v>0.2329096618357489</v>
      </c>
      <c r="AF15" s="246">
        <f t="shared" si="5"/>
        <v>0.19357541899441344</v>
      </c>
      <c r="AG15" s="247">
        <f t="shared" si="6"/>
        <v>3.4644227039527742E-2</v>
      </c>
    </row>
    <row r="16" spans="1:64">
      <c r="A16" s="241">
        <v>42315</v>
      </c>
      <c r="B16" s="243">
        <v>68721.558999999994</v>
      </c>
      <c r="C16" s="243">
        <v>0</v>
      </c>
      <c r="D16" s="243">
        <v>338789.0080237863</v>
      </c>
      <c r="E16" s="243">
        <v>0</v>
      </c>
      <c r="F16" s="243">
        <v>89925</v>
      </c>
      <c r="G16" s="243">
        <v>5319.7957056549612</v>
      </c>
      <c r="H16" s="243">
        <v>2827.7735813702925</v>
      </c>
      <c r="I16" s="243">
        <v>16082.98</v>
      </c>
      <c r="J16" s="243">
        <v>14880</v>
      </c>
      <c r="K16" s="226">
        <f t="shared" si="7"/>
        <v>536546.1163108116</v>
      </c>
      <c r="L16" s="245">
        <f t="shared" si="2"/>
        <v>41950</v>
      </c>
      <c r="M16" s="243">
        <v>64109.85</v>
      </c>
      <c r="N16" s="243">
        <v>0</v>
      </c>
      <c r="O16" s="243">
        <v>323499.87259588431</v>
      </c>
      <c r="P16" s="243">
        <v>0</v>
      </c>
      <c r="Q16" s="243">
        <v>87075</v>
      </c>
      <c r="R16" s="243">
        <v>5319.7150633923029</v>
      </c>
      <c r="S16" s="243">
        <v>2903.6727906332835</v>
      </c>
      <c r="T16" s="243">
        <v>16583</v>
      </c>
      <c r="U16" s="243">
        <v>14585</v>
      </c>
      <c r="V16" s="244">
        <f t="shared" si="3"/>
        <v>514076.11044990987</v>
      </c>
      <c r="X16" s="245">
        <f t="shared" si="4"/>
        <v>41585</v>
      </c>
      <c r="Y16" s="246">
        <f t="shared" si="0"/>
        <v>7.1934484326511283E-2</v>
      </c>
      <c r="Z16" s="246">
        <v>0</v>
      </c>
      <c r="AA16" s="246">
        <f t="shared" si="1"/>
        <v>4.7261642810602078E-2</v>
      </c>
      <c r="AB16" s="246">
        <v>0</v>
      </c>
      <c r="AC16" s="246">
        <f t="shared" si="5"/>
        <v>1.5159131964370687E-5</v>
      </c>
      <c r="AD16" s="246">
        <f t="shared" si="5"/>
        <v>-2.6139036570452467E-2</v>
      </c>
      <c r="AE16" s="246">
        <f t="shared" si="5"/>
        <v>-3.0152565880721238E-2</v>
      </c>
      <c r="AF16" s="246">
        <f t="shared" si="5"/>
        <v>2.022625985601656E-2</v>
      </c>
      <c r="AG16" s="247">
        <f t="shared" si="6"/>
        <v>4.3709492435344721E-2</v>
      </c>
    </row>
    <row r="17" spans="1:64">
      <c r="A17" s="241">
        <v>42346</v>
      </c>
      <c r="B17" s="243">
        <v>64836.578999999998</v>
      </c>
      <c r="C17" s="243">
        <v>0</v>
      </c>
      <c r="D17" s="243">
        <v>325174.40941674815</v>
      </c>
      <c r="E17" s="243">
        <v>0</v>
      </c>
      <c r="F17" s="243">
        <v>86825</v>
      </c>
      <c r="G17" s="243">
        <v>4956.9715594983982</v>
      </c>
      <c r="H17" s="243">
        <v>2738.2771753632678</v>
      </c>
      <c r="I17" s="243">
        <v>14628.184999999999</v>
      </c>
      <c r="J17" s="243">
        <v>10815</v>
      </c>
      <c r="K17" s="226">
        <f>SUM(B17:J17)</f>
        <v>509974.42215160979</v>
      </c>
      <c r="L17" s="245">
        <f t="shared" si="2"/>
        <v>41981</v>
      </c>
      <c r="M17" s="243">
        <v>50281.154999999999</v>
      </c>
      <c r="N17" s="243">
        <v>0</v>
      </c>
      <c r="O17" s="243">
        <v>260544.32338222256</v>
      </c>
      <c r="P17" s="243">
        <v>0</v>
      </c>
      <c r="Q17" s="243">
        <v>44020</v>
      </c>
      <c r="R17" s="243">
        <v>4310.0162624126006</v>
      </c>
      <c r="S17" s="243">
        <v>2831.1205997321549</v>
      </c>
      <c r="T17" s="243">
        <v>16077</v>
      </c>
      <c r="U17" s="243">
        <v>7210</v>
      </c>
      <c r="V17" s="244">
        <f t="shared" si="3"/>
        <v>385273.61524436733</v>
      </c>
      <c r="X17" s="245">
        <f t="shared" si="4"/>
        <v>41616</v>
      </c>
      <c r="Y17" s="246">
        <f t="shared" si="0"/>
        <v>0.28948070106981438</v>
      </c>
      <c r="Z17" s="246">
        <v>0</v>
      </c>
      <c r="AA17" s="246">
        <f t="shared" si="1"/>
        <v>0.24805793193088399</v>
      </c>
      <c r="AB17" s="246">
        <v>0</v>
      </c>
      <c r="AC17" s="246">
        <f t="shared" si="5"/>
        <v>0.1501050710012064</v>
      </c>
      <c r="AD17" s="246">
        <f t="shared" si="5"/>
        <v>-3.2793878288925882E-2</v>
      </c>
      <c r="AE17" s="246">
        <f t="shared" si="5"/>
        <v>-9.0117248242831405E-2</v>
      </c>
      <c r="AF17" s="246">
        <f t="shared" si="5"/>
        <v>0.5</v>
      </c>
      <c r="AG17" s="247">
        <f t="shared" si="6"/>
        <v>0.32366817236666612</v>
      </c>
    </row>
    <row r="18" spans="1:64">
      <c r="A18" s="241"/>
      <c r="B18" s="248"/>
      <c r="C18" s="248"/>
      <c r="D18" s="248"/>
      <c r="E18" s="248"/>
      <c r="F18" s="248"/>
      <c r="G18" s="248"/>
      <c r="H18" s="248"/>
      <c r="I18" s="248"/>
      <c r="J18" s="248"/>
      <c r="K18" s="249"/>
      <c r="L18" s="245"/>
      <c r="M18" s="248"/>
      <c r="N18" s="248"/>
      <c r="O18" s="248"/>
      <c r="P18" s="248"/>
      <c r="Q18" s="248"/>
      <c r="R18" s="248"/>
      <c r="S18" s="248"/>
      <c r="T18" s="248"/>
      <c r="U18" s="248"/>
      <c r="V18" s="250"/>
      <c r="X18" s="245"/>
      <c r="Y18" s="246"/>
      <c r="Z18" s="246"/>
      <c r="AA18" s="246"/>
      <c r="AB18" s="246"/>
      <c r="AC18" s="246"/>
      <c r="AD18" s="246"/>
      <c r="AE18" s="246"/>
      <c r="AF18" s="246"/>
      <c r="AG18" s="247"/>
    </row>
    <row r="19" spans="1:64" s="251" customFormat="1">
      <c r="A19" s="241" t="s">
        <v>285</v>
      </c>
      <c r="B19" s="250">
        <f>SUM(B6:B17)</f>
        <v>822541.34500000009</v>
      </c>
      <c r="C19" s="250">
        <f t="shared" ref="C19:K19" si="8">SUM(C6:C17)</f>
        <v>0</v>
      </c>
      <c r="D19" s="250">
        <f t="shared" si="8"/>
        <v>3891775.8434485304</v>
      </c>
      <c r="E19" s="250">
        <f t="shared" si="8"/>
        <v>0</v>
      </c>
      <c r="F19" s="250">
        <f t="shared" si="8"/>
        <v>1140615</v>
      </c>
      <c r="G19" s="250">
        <f t="shared" si="8"/>
        <v>64520.121587272086</v>
      </c>
      <c r="H19" s="250">
        <f t="shared" si="8"/>
        <v>40787.282256794155</v>
      </c>
      <c r="I19" s="250">
        <f t="shared" si="8"/>
        <v>209171.59799999997</v>
      </c>
      <c r="J19" s="250">
        <f t="shared" si="8"/>
        <v>239170</v>
      </c>
      <c r="K19" s="250">
        <f t="shared" si="8"/>
        <v>6408581.190292595</v>
      </c>
      <c r="L19" s="245" t="s">
        <v>234</v>
      </c>
      <c r="M19" s="250">
        <f>SUM(M6:M16)</f>
        <v>734505.1434029612</v>
      </c>
      <c r="N19" s="250">
        <f t="shared" ref="N19:W19" si="9">SUM(N6:N16)</f>
        <v>0</v>
      </c>
      <c r="O19" s="250">
        <f t="shared" si="9"/>
        <v>3401411.7487294986</v>
      </c>
      <c r="P19" s="250">
        <f t="shared" si="9"/>
        <v>0</v>
      </c>
      <c r="Q19" s="250">
        <f t="shared" si="9"/>
        <v>449250</v>
      </c>
      <c r="R19" s="250">
        <f t="shared" si="9"/>
        <v>59060.994975961054</v>
      </c>
      <c r="S19" s="250">
        <f t="shared" si="9"/>
        <v>35685.314341364116</v>
      </c>
      <c r="T19" s="250">
        <f t="shared" si="9"/>
        <v>165094</v>
      </c>
      <c r="U19" s="250">
        <f t="shared" si="9"/>
        <v>160653</v>
      </c>
      <c r="V19" s="250">
        <f t="shared" si="9"/>
        <v>5005660.2014497854</v>
      </c>
      <c r="W19" s="250">
        <f t="shared" si="9"/>
        <v>0</v>
      </c>
      <c r="X19" s="245" t="s">
        <v>235</v>
      </c>
      <c r="Y19" s="247">
        <f>(B19/M19)-1</f>
        <v>0.11985784223261842</v>
      </c>
      <c r="Z19" s="247">
        <v>0</v>
      </c>
      <c r="AA19" s="247">
        <f>(D19/O19)-1</f>
        <v>0.14416487357115582</v>
      </c>
      <c r="AB19" s="247">
        <v>0</v>
      </c>
      <c r="AC19" s="247">
        <f t="shared" ref="AC19:AG19" si="10">(G19/R19)-1</f>
        <v>9.2432012253315321E-2</v>
      </c>
      <c r="AD19" s="247">
        <f t="shared" si="10"/>
        <v>0.14297107954899446</v>
      </c>
      <c r="AE19" s="247">
        <f t="shared" si="10"/>
        <v>0.26698485711170594</v>
      </c>
      <c r="AF19" s="247">
        <f t="shared" si="10"/>
        <v>0.48873659377664902</v>
      </c>
      <c r="AG19" s="247">
        <f t="shared" si="10"/>
        <v>0.28026692431829137</v>
      </c>
    </row>
    <row r="20" spans="1:64" ht="15.6">
      <c r="A20" s="252"/>
      <c r="B20" s="242">
        <v>822541.34500000009</v>
      </c>
      <c r="C20" s="242">
        <v>0</v>
      </c>
      <c r="D20" s="253">
        <v>3891775.8434485304</v>
      </c>
      <c r="E20" s="242">
        <v>0</v>
      </c>
      <c r="F20" s="242">
        <v>1140615</v>
      </c>
      <c r="G20" s="242">
        <v>64520.121587272086</v>
      </c>
      <c r="H20" s="242">
        <v>40787.282256794155</v>
      </c>
      <c r="I20" s="242">
        <v>209171.59799999997</v>
      </c>
      <c r="J20" s="242">
        <v>239170</v>
      </c>
      <c r="K20" s="242">
        <v>6476608.190292595</v>
      </c>
      <c r="L20" s="252"/>
      <c r="M20" s="242"/>
      <c r="N20" s="242"/>
      <c r="O20" s="253"/>
      <c r="P20" s="242"/>
      <c r="Q20" s="242"/>
      <c r="R20" s="254"/>
      <c r="S20" s="242"/>
      <c r="T20" s="242"/>
      <c r="U20" s="242"/>
      <c r="V20" s="242"/>
      <c r="Y20" s="255"/>
      <c r="Z20" s="255"/>
      <c r="AA20" s="255"/>
      <c r="AB20" s="255"/>
      <c r="AC20" s="255"/>
      <c r="AD20" s="255"/>
      <c r="AE20" s="255"/>
      <c r="AF20" s="255"/>
      <c r="AG20" s="256"/>
    </row>
    <row r="21" spans="1:64">
      <c r="B21" s="257"/>
      <c r="C21" s="257"/>
      <c r="D21" s="258"/>
      <c r="E21" s="257"/>
      <c r="F21" s="258"/>
      <c r="G21" s="258"/>
      <c r="H21" s="258"/>
      <c r="I21" s="258"/>
      <c r="J21" s="258"/>
      <c r="K21" s="259"/>
      <c r="M21" s="257"/>
      <c r="N21" s="257"/>
      <c r="O21" s="258"/>
      <c r="P21" s="257"/>
      <c r="Q21" s="257"/>
      <c r="R21" s="258"/>
      <c r="S21" s="258"/>
      <c r="T21" s="258"/>
      <c r="U21" s="258"/>
      <c r="V21" s="258"/>
      <c r="Y21" s="255"/>
      <c r="Z21" s="255"/>
      <c r="AA21" s="255"/>
      <c r="AB21" s="255"/>
      <c r="AC21" s="255"/>
      <c r="AD21" s="255"/>
      <c r="AE21" s="255"/>
      <c r="AF21" s="255"/>
      <c r="AG21" s="256"/>
    </row>
    <row r="22" spans="1:64" ht="40.200000000000003">
      <c r="A22" s="231" t="s">
        <v>236</v>
      </c>
      <c r="B22" s="227" t="str">
        <f>+B4</f>
        <v>2014 Actual</v>
      </c>
      <c r="C22" s="228"/>
      <c r="D22" s="229"/>
      <c r="E22" s="228"/>
      <c r="F22" s="229"/>
      <c r="G22" s="228"/>
      <c r="H22" s="229"/>
      <c r="I22" s="228"/>
      <c r="J22" s="228"/>
      <c r="K22" s="230"/>
      <c r="L22" s="231" t="s">
        <v>219</v>
      </c>
      <c r="M22" s="227" t="str">
        <f>+M4</f>
        <v>INCLUDE 2014 DATA</v>
      </c>
      <c r="N22" s="228">
        <f t="shared" ref="N22:P22" si="11">+N4</f>
        <v>0</v>
      </c>
      <c r="O22" s="229">
        <f t="shared" si="11"/>
        <v>0</v>
      </c>
      <c r="P22" s="228">
        <f t="shared" si="11"/>
        <v>0</v>
      </c>
      <c r="Q22" s="228"/>
      <c r="R22" s="229"/>
      <c r="S22" s="228"/>
      <c r="T22" s="229"/>
      <c r="U22" s="228"/>
      <c r="V22" s="228"/>
      <c r="X22" s="234" t="s">
        <v>237</v>
      </c>
    </row>
    <row r="23" spans="1:64" s="237" customFormat="1" ht="40.200000000000003" thickBot="1">
      <c r="A23" s="235" t="s">
        <v>223</v>
      </c>
      <c r="B23" s="236" t="s">
        <v>224</v>
      </c>
      <c r="C23" s="237" t="s">
        <v>225</v>
      </c>
      <c r="D23" s="236" t="s">
        <v>226</v>
      </c>
      <c r="E23" s="237" t="s">
        <v>227</v>
      </c>
      <c r="F23" s="236" t="s">
        <v>228</v>
      </c>
      <c r="G23" s="237" t="s">
        <v>229</v>
      </c>
      <c r="H23" s="236" t="s">
        <v>230</v>
      </c>
      <c r="I23" s="236" t="s">
        <v>231</v>
      </c>
      <c r="J23" s="236" t="s">
        <v>232</v>
      </c>
      <c r="K23" s="238" t="s">
        <v>233</v>
      </c>
      <c r="L23" s="235" t="s">
        <v>223</v>
      </c>
      <c r="M23" s="236" t="s">
        <v>224</v>
      </c>
      <c r="N23" s="237" t="s">
        <v>225</v>
      </c>
      <c r="O23" s="237" t="s">
        <v>226</v>
      </c>
      <c r="P23" s="237" t="s">
        <v>227</v>
      </c>
      <c r="Q23" s="236" t="s">
        <v>228</v>
      </c>
      <c r="R23" s="236" t="s">
        <v>229</v>
      </c>
      <c r="S23" s="237" t="s">
        <v>230</v>
      </c>
      <c r="T23" s="236" t="str">
        <f>+T5</f>
        <v>Winter Park</v>
      </c>
      <c r="U23" s="236" t="str">
        <f>+U5</f>
        <v>New Smyrna Beach</v>
      </c>
      <c r="V23" s="236" t="s">
        <v>233</v>
      </c>
      <c r="W23" s="236"/>
      <c r="X23" s="236" t="s">
        <v>223</v>
      </c>
      <c r="Y23" s="238" t="s">
        <v>224</v>
      </c>
      <c r="Z23" s="237" t="s">
        <v>225</v>
      </c>
      <c r="AA23" s="235" t="s">
        <v>226</v>
      </c>
      <c r="AB23" s="237" t="s">
        <v>227</v>
      </c>
      <c r="AC23" s="237" t="s">
        <v>229</v>
      </c>
      <c r="AD23" s="237" t="s">
        <v>230</v>
      </c>
      <c r="AE23" s="260" t="str">
        <f>+AE5</f>
        <v>Winter Park</v>
      </c>
      <c r="AF23" s="260" t="str">
        <f>+AF5</f>
        <v>New Smyrna Beach</v>
      </c>
      <c r="AG23" s="237" t="s">
        <v>233</v>
      </c>
      <c r="AH23" s="236"/>
      <c r="AJ23" s="236"/>
      <c r="AK23" s="236"/>
      <c r="AL23" s="236"/>
      <c r="AM23" s="238"/>
      <c r="AO23" s="235"/>
      <c r="AP23" s="236"/>
      <c r="AS23" s="236"/>
      <c r="AT23" s="236"/>
      <c r="AV23" s="236"/>
      <c r="AW23" s="236"/>
      <c r="AX23" s="236"/>
      <c r="AY23" s="238"/>
      <c r="AZ23" s="239"/>
      <c r="BA23" s="238"/>
      <c r="BB23" s="235"/>
      <c r="BC23" s="236"/>
      <c r="BF23" s="236"/>
      <c r="BG23" s="236"/>
      <c r="BI23" s="236"/>
      <c r="BJ23" s="236"/>
      <c r="BK23" s="236"/>
      <c r="BL23" s="240"/>
    </row>
    <row r="24" spans="1:64">
      <c r="A24" s="241">
        <v>42005</v>
      </c>
      <c r="B24" s="248">
        <v>55893.767999999996</v>
      </c>
      <c r="C24" s="248">
        <v>0</v>
      </c>
      <c r="D24" s="248">
        <v>270576.53929652547</v>
      </c>
      <c r="E24" s="248">
        <v>0</v>
      </c>
      <c r="F24" s="248">
        <v>73250</v>
      </c>
      <c r="G24" s="248">
        <v>4758.6501985440973</v>
      </c>
      <c r="H24" s="248">
        <v>2854.7034059911311</v>
      </c>
      <c r="I24" s="248">
        <v>12284.608</v>
      </c>
      <c r="J24" s="248">
        <v>23405</v>
      </c>
      <c r="K24" s="226">
        <f>SUM(B24:J24)</f>
        <v>443023.26890106068</v>
      </c>
      <c r="L24" s="245">
        <v>41640</v>
      </c>
      <c r="M24" s="243">
        <v>53789.683053531968</v>
      </c>
      <c r="N24" s="243">
        <v>0</v>
      </c>
      <c r="O24" s="243">
        <v>302663.98175208498</v>
      </c>
      <c r="P24" s="243">
        <v>-414.11599999999999</v>
      </c>
      <c r="Q24" s="243">
        <v>0</v>
      </c>
      <c r="R24" s="243">
        <v>5124.569409685555</v>
      </c>
      <c r="S24" s="243">
        <v>3598.7401938137978</v>
      </c>
      <c r="T24" s="243">
        <v>16537</v>
      </c>
      <c r="U24" s="243">
        <v>0</v>
      </c>
      <c r="V24" s="261">
        <f>SUM(M24:U24)</f>
        <v>381299.85840911634</v>
      </c>
      <c r="X24" s="245">
        <v>41275</v>
      </c>
      <c r="Y24" s="246">
        <f t="shared" ref="Y24:AB34" si="12">(B24/M24)-1</f>
        <v>3.9116886864234202E-2</v>
      </c>
      <c r="Z24" s="246" t="e">
        <f t="shared" si="12"/>
        <v>#DIV/0!</v>
      </c>
      <c r="AA24" s="246">
        <f t="shared" si="12"/>
        <v>-0.10601671949800306</v>
      </c>
      <c r="AB24" s="246">
        <f t="shared" si="12"/>
        <v>-1</v>
      </c>
      <c r="AC24" s="246">
        <f>(G24/R24)-1</f>
        <v>-7.1404869734003729E-2</v>
      </c>
      <c r="AD24" s="246">
        <f>(H24/S24)-1</f>
        <v>-0.20674923660831623</v>
      </c>
      <c r="AE24" s="246">
        <f t="shared" ref="AE24:AG35" si="13">(I24/T24)-1</f>
        <v>-0.25714410110660946</v>
      </c>
      <c r="AF24" s="246" t="e">
        <f t="shared" si="13"/>
        <v>#DIV/0!</v>
      </c>
      <c r="AG24" s="247">
        <f>(K24/V24)-1</f>
        <v>0.16187630058261937</v>
      </c>
    </row>
    <row r="25" spans="1:64">
      <c r="A25" s="241">
        <v>42036</v>
      </c>
      <c r="B25" s="248">
        <v>48914.218000000001</v>
      </c>
      <c r="C25" s="248">
        <v>0</v>
      </c>
      <c r="D25" s="248">
        <v>301035.69455627701</v>
      </c>
      <c r="E25" s="248">
        <v>0</v>
      </c>
      <c r="F25" s="248">
        <v>85800</v>
      </c>
      <c r="G25" s="248">
        <v>1891.0991284847378</v>
      </c>
      <c r="H25" s="248">
        <v>3125.6857217388688</v>
      </c>
      <c r="I25" s="248">
        <v>14177.11</v>
      </c>
      <c r="J25" s="248">
        <v>21900</v>
      </c>
      <c r="K25" s="226">
        <f>SUM(B25:J25)</f>
        <v>476843.80740650056</v>
      </c>
      <c r="L25" s="245">
        <f t="shared" ref="L25:L35" si="14">L24+31</f>
        <v>41671</v>
      </c>
      <c r="M25" s="243">
        <v>55279.361545482316</v>
      </c>
      <c r="N25" s="243">
        <v>0</v>
      </c>
      <c r="O25" s="243">
        <v>247855.38629166124</v>
      </c>
      <c r="P25" s="243">
        <v>0</v>
      </c>
      <c r="Q25" s="243">
        <v>0</v>
      </c>
      <c r="R25" s="243">
        <v>4132.2357440350515</v>
      </c>
      <c r="S25" s="243">
        <v>2923.0439027417733</v>
      </c>
      <c r="T25" s="243">
        <v>15456</v>
      </c>
      <c r="U25" s="243">
        <v>18635</v>
      </c>
      <c r="V25" s="261">
        <f t="shared" ref="V25:V35" si="15">SUM(M25:U25)</f>
        <v>344281.02748392033</v>
      </c>
      <c r="X25" s="245">
        <f t="shared" ref="X25:X35" si="16">X24+31</f>
        <v>41306</v>
      </c>
      <c r="Y25" s="246">
        <f t="shared" si="12"/>
        <v>-0.11514502641723268</v>
      </c>
      <c r="Z25" s="246" t="e">
        <f t="shared" si="12"/>
        <v>#DIV/0!</v>
      </c>
      <c r="AA25" s="246">
        <f t="shared" si="12"/>
        <v>0.21456184213013785</v>
      </c>
      <c r="AB25" s="246" t="e">
        <f t="shared" si="12"/>
        <v>#DIV/0!</v>
      </c>
      <c r="AC25" s="246">
        <f t="shared" ref="AC25:AD34" si="17">(G25/R25)-1</f>
        <v>-0.54235449146032644</v>
      </c>
      <c r="AD25" s="246">
        <f t="shared" si="17"/>
        <v>6.9325615946794539E-2</v>
      </c>
      <c r="AE25" s="246">
        <f t="shared" si="13"/>
        <v>-8.2743918219461698E-2</v>
      </c>
      <c r="AF25" s="246">
        <f t="shared" si="13"/>
        <v>0.17520794204453982</v>
      </c>
      <c r="AG25" s="247">
        <f t="shared" si="13"/>
        <v>0.38504236173389361</v>
      </c>
    </row>
    <row r="26" spans="1:64">
      <c r="A26" s="241">
        <v>42067</v>
      </c>
      <c r="B26" s="248">
        <v>66651.542000000016</v>
      </c>
      <c r="C26" s="248">
        <v>0</v>
      </c>
      <c r="D26" s="248">
        <v>304886.05383588315</v>
      </c>
      <c r="E26" s="248">
        <v>0</v>
      </c>
      <c r="F26" s="248">
        <v>111860</v>
      </c>
      <c r="G26" s="248">
        <v>7271.0262253584497</v>
      </c>
      <c r="H26" s="248">
        <v>3177.2140875774903</v>
      </c>
      <c r="I26" s="248">
        <v>13087.405999999997</v>
      </c>
      <c r="J26" s="248">
        <v>14690</v>
      </c>
      <c r="K26" s="226">
        <f t="shared" ref="K26:K34" si="18">SUM(B26:J26)</f>
        <v>521623.24214881909</v>
      </c>
      <c r="L26" s="245">
        <f t="shared" si="14"/>
        <v>41702</v>
      </c>
      <c r="M26" s="243">
        <v>60007.115803946937</v>
      </c>
      <c r="N26" s="243">
        <v>0</v>
      </c>
      <c r="O26" s="243">
        <v>277647.81523986027</v>
      </c>
      <c r="P26" s="243">
        <v>0</v>
      </c>
      <c r="Q26" s="243">
        <v>0</v>
      </c>
      <c r="R26" s="243">
        <v>4021.6145055988081</v>
      </c>
      <c r="S26" s="243">
        <v>2594.3847094808966</v>
      </c>
      <c r="T26" s="243">
        <v>16997</v>
      </c>
      <c r="U26" s="243">
        <v>14868</v>
      </c>
      <c r="V26" s="261">
        <f t="shared" si="15"/>
        <v>376135.93025888689</v>
      </c>
      <c r="X26" s="245">
        <f t="shared" si="16"/>
        <v>41337</v>
      </c>
      <c r="Y26" s="246">
        <f t="shared" si="12"/>
        <v>0.11072730470435377</v>
      </c>
      <c r="Z26" s="246" t="e">
        <f t="shared" si="12"/>
        <v>#DIV/0!</v>
      </c>
      <c r="AA26" s="246">
        <f t="shared" si="12"/>
        <v>9.8103558180321793E-2</v>
      </c>
      <c r="AB26" s="246" t="e">
        <f t="shared" si="12"/>
        <v>#DIV/0!</v>
      </c>
      <c r="AC26" s="246">
        <f t="shared" si="17"/>
        <v>0.80798687075448883</v>
      </c>
      <c r="AD26" s="246">
        <f t="shared" si="17"/>
        <v>0.22465032883007185</v>
      </c>
      <c r="AE26" s="246">
        <f t="shared" si="13"/>
        <v>-0.23001670883097036</v>
      </c>
      <c r="AF26" s="246">
        <f t="shared" si="13"/>
        <v>-1.1972020446596732E-2</v>
      </c>
      <c r="AG26" s="247">
        <f t="shared" si="13"/>
        <v>0.38679450747977251</v>
      </c>
    </row>
    <row r="27" spans="1:64">
      <c r="A27" s="241">
        <v>42098</v>
      </c>
      <c r="B27" s="248">
        <v>71298.913</v>
      </c>
      <c r="C27" s="248">
        <v>0</v>
      </c>
      <c r="D27" s="248">
        <v>335684.37210155645</v>
      </c>
      <c r="E27" s="248">
        <v>0</v>
      </c>
      <c r="F27" s="248">
        <v>125830</v>
      </c>
      <c r="G27" s="248">
        <v>5562.312992333108</v>
      </c>
      <c r="H27" s="248">
        <v>2118.9420340686947</v>
      </c>
      <c r="I27" s="248">
        <v>16697.978999999999</v>
      </c>
      <c r="J27" s="248">
        <v>14400</v>
      </c>
      <c r="K27" s="226">
        <f t="shared" si="18"/>
        <v>571592.51912795834</v>
      </c>
      <c r="L27" s="245">
        <f t="shared" si="14"/>
        <v>41733</v>
      </c>
      <c r="M27" s="243">
        <v>62174.597000000002</v>
      </c>
      <c r="N27" s="243">
        <v>0</v>
      </c>
      <c r="O27" s="243">
        <v>311518.40575135191</v>
      </c>
      <c r="P27" s="243">
        <v>0</v>
      </c>
      <c r="Q27" s="243">
        <v>0</v>
      </c>
      <c r="R27" s="243">
        <v>5396.7403632383848</v>
      </c>
      <c r="S27" s="243">
        <v>2558.409262151109</v>
      </c>
      <c r="T27" s="243">
        <v>15387</v>
      </c>
      <c r="U27" s="243">
        <v>7200</v>
      </c>
      <c r="V27" s="261">
        <f t="shared" si="15"/>
        <v>404235.1523767414</v>
      </c>
      <c r="X27" s="245">
        <f t="shared" si="16"/>
        <v>41368</v>
      </c>
      <c r="Y27" s="246">
        <f t="shared" si="12"/>
        <v>0.14675311848020511</v>
      </c>
      <c r="Z27" s="246" t="e">
        <f t="shared" si="12"/>
        <v>#DIV/0!</v>
      </c>
      <c r="AA27" s="246">
        <f t="shared" si="12"/>
        <v>7.7574762531024799E-2</v>
      </c>
      <c r="AB27" s="246" t="e">
        <f t="shared" si="12"/>
        <v>#DIV/0!</v>
      </c>
      <c r="AC27" s="246">
        <f t="shared" si="17"/>
        <v>3.068011761739986E-2</v>
      </c>
      <c r="AD27" s="246">
        <f t="shared" si="17"/>
        <v>-0.17177362300233012</v>
      </c>
      <c r="AE27" s="246">
        <f t="shared" si="13"/>
        <v>8.5200428933515315E-2</v>
      </c>
      <c r="AF27" s="246">
        <f t="shared" si="13"/>
        <v>1</v>
      </c>
      <c r="AG27" s="247">
        <f t="shared" si="13"/>
        <v>0.41400992904061518</v>
      </c>
    </row>
    <row r="28" spans="1:64">
      <c r="A28" s="241">
        <v>42129</v>
      </c>
      <c r="B28" s="248">
        <v>72522.712999999989</v>
      </c>
      <c r="C28" s="248">
        <v>0</v>
      </c>
      <c r="D28" s="248">
        <v>363433.20049330872</v>
      </c>
      <c r="E28" s="248">
        <v>0</v>
      </c>
      <c r="F28" s="248">
        <v>113525</v>
      </c>
      <c r="G28" s="248">
        <v>6014.8991004178788</v>
      </c>
      <c r="H28" s="248">
        <v>3481.674325252809</v>
      </c>
      <c r="I28" s="248">
        <v>20002.003000000004</v>
      </c>
      <c r="J28" s="248">
        <v>18285</v>
      </c>
      <c r="K28" s="226">
        <f t="shared" si="18"/>
        <v>597264.48991897935</v>
      </c>
      <c r="L28" s="245">
        <f t="shared" si="14"/>
        <v>41764</v>
      </c>
      <c r="M28" s="243">
        <v>69701.235000000001</v>
      </c>
      <c r="N28" s="243">
        <v>0</v>
      </c>
      <c r="O28" s="243">
        <v>346316.90070568124</v>
      </c>
      <c r="P28" s="243">
        <v>0</v>
      </c>
      <c r="Q28" s="243">
        <v>0</v>
      </c>
      <c r="R28" s="243">
        <v>5912.6414068960285</v>
      </c>
      <c r="S28" s="243">
        <v>2856.3084321532915</v>
      </c>
      <c r="T28" s="243">
        <v>16790</v>
      </c>
      <c r="U28" s="243">
        <v>14775</v>
      </c>
      <c r="V28" s="261">
        <f t="shared" si="15"/>
        <v>456352.08554473054</v>
      </c>
      <c r="X28" s="245">
        <f t="shared" si="16"/>
        <v>41399</v>
      </c>
      <c r="Y28" s="246">
        <f t="shared" si="12"/>
        <v>4.047959838875137E-2</v>
      </c>
      <c r="Z28" s="246" t="e">
        <f t="shared" si="12"/>
        <v>#DIV/0!</v>
      </c>
      <c r="AA28" s="246">
        <f t="shared" si="12"/>
        <v>4.9423807364728622E-2</v>
      </c>
      <c r="AB28" s="246" t="e">
        <f t="shared" si="12"/>
        <v>#DIV/0!</v>
      </c>
      <c r="AC28" s="246">
        <f t="shared" si="17"/>
        <v>1.7294756519917742E-2</v>
      </c>
      <c r="AD28" s="246">
        <f t="shared" si="17"/>
        <v>0.2189420043227166</v>
      </c>
      <c r="AE28" s="246">
        <f t="shared" si="13"/>
        <v>0.19130452650387153</v>
      </c>
      <c r="AF28" s="246">
        <f t="shared" si="13"/>
        <v>0.23756345177664984</v>
      </c>
      <c r="AG28" s="247">
        <f t="shared" si="13"/>
        <v>0.3087800162149954</v>
      </c>
    </row>
    <row r="29" spans="1:64">
      <c r="A29" s="241">
        <v>42160</v>
      </c>
      <c r="B29" s="248">
        <v>76756.249999999985</v>
      </c>
      <c r="C29" s="248">
        <v>0</v>
      </c>
      <c r="D29" s="248">
        <v>363754.52057248855</v>
      </c>
      <c r="E29" s="248">
        <v>0</v>
      </c>
      <c r="F29" s="248">
        <v>115975</v>
      </c>
      <c r="G29" s="248">
        <v>6068.0906072946518</v>
      </c>
      <c r="H29" s="248">
        <v>3690.9136656444712</v>
      </c>
      <c r="I29" s="248">
        <v>21595.621000000006</v>
      </c>
      <c r="J29" s="248">
        <v>26070</v>
      </c>
      <c r="K29" s="226">
        <f t="shared" si="18"/>
        <v>613910.39584542776</v>
      </c>
      <c r="L29" s="245">
        <f t="shared" si="14"/>
        <v>41795</v>
      </c>
      <c r="M29" s="243">
        <v>74290.361000000004</v>
      </c>
      <c r="N29" s="243">
        <v>0</v>
      </c>
      <c r="O29" s="243">
        <v>361951.71226013481</v>
      </c>
      <c r="P29" s="243">
        <v>0</v>
      </c>
      <c r="Q29" s="243">
        <v>81900</v>
      </c>
      <c r="R29" s="243">
        <v>5789.2380307687336</v>
      </c>
      <c r="S29" s="243">
        <v>4003.3649859109446</v>
      </c>
      <c r="T29" s="243">
        <v>16560</v>
      </c>
      <c r="U29" s="243">
        <v>23090</v>
      </c>
      <c r="V29" s="261">
        <f t="shared" si="15"/>
        <v>567584.67627681454</v>
      </c>
      <c r="X29" s="245">
        <f t="shared" si="16"/>
        <v>41430</v>
      </c>
      <c r="Y29" s="246">
        <f t="shared" si="12"/>
        <v>3.3192583355463601E-2</v>
      </c>
      <c r="Z29" s="246" t="e">
        <f t="shared" si="12"/>
        <v>#DIV/0!</v>
      </c>
      <c r="AA29" s="246">
        <f t="shared" si="12"/>
        <v>4.9807978558700228E-3</v>
      </c>
      <c r="AB29" s="246" t="e">
        <f t="shared" si="12"/>
        <v>#DIV/0!</v>
      </c>
      <c r="AC29" s="246">
        <f t="shared" si="17"/>
        <v>4.8167405631599269E-2</v>
      </c>
      <c r="AD29" s="246">
        <f t="shared" si="17"/>
        <v>-7.8047173157102634E-2</v>
      </c>
      <c r="AE29" s="246">
        <f t="shared" si="13"/>
        <v>0.30408339371980708</v>
      </c>
      <c r="AF29" s="246">
        <f t="shared" si="13"/>
        <v>0.12906019922044165</v>
      </c>
      <c r="AG29" s="247">
        <f t="shared" si="13"/>
        <v>8.1619045588926076E-2</v>
      </c>
    </row>
    <row r="30" spans="1:64">
      <c r="A30" s="241">
        <v>42191</v>
      </c>
      <c r="B30" s="248">
        <v>87703.695000000022</v>
      </c>
      <c r="C30" s="248">
        <v>0</v>
      </c>
      <c r="D30" s="248">
        <v>389609.56643043342</v>
      </c>
      <c r="E30" s="248">
        <v>0</v>
      </c>
      <c r="F30" s="248">
        <v>144250</v>
      </c>
      <c r="G30" s="248">
        <v>6157.5820506803384</v>
      </c>
      <c r="H30" s="248">
        <v>3999.2680194534855</v>
      </c>
      <c r="I30" s="248">
        <v>22495.288999999997</v>
      </c>
      <c r="J30" s="248">
        <f t="shared" ref="J30:J35" si="19">SUM(B30:F30)</f>
        <v>621563.26143043349</v>
      </c>
      <c r="K30" s="226">
        <f t="shared" si="18"/>
        <v>1275778.6619310006</v>
      </c>
      <c r="L30" s="245">
        <f t="shared" si="14"/>
        <v>41826</v>
      </c>
      <c r="M30" s="243">
        <v>83182.856999999989</v>
      </c>
      <c r="N30" s="243">
        <v>0</v>
      </c>
      <c r="O30" s="243">
        <v>342204.55535516626</v>
      </c>
      <c r="P30" s="243">
        <v>0</v>
      </c>
      <c r="Q30" s="243">
        <v>90850</v>
      </c>
      <c r="R30" s="243">
        <v>6401.7082499392218</v>
      </c>
      <c r="S30" s="243">
        <v>3991.8651475950396</v>
      </c>
      <c r="T30" s="243">
        <v>17112</v>
      </c>
      <c r="U30" s="243">
        <v>24575</v>
      </c>
      <c r="V30" s="261">
        <f t="shared" si="15"/>
        <v>568317.98575270048</v>
      </c>
      <c r="X30" s="245">
        <f t="shared" si="16"/>
        <v>41461</v>
      </c>
      <c r="Y30" s="246">
        <f t="shared" si="12"/>
        <v>5.4348193402398159E-2</v>
      </c>
      <c r="Z30" s="246" t="e">
        <f t="shared" si="12"/>
        <v>#DIV/0!</v>
      </c>
      <c r="AA30" s="246">
        <f t="shared" si="12"/>
        <v>0.13852828763797898</v>
      </c>
      <c r="AB30" s="246" t="e">
        <f t="shared" si="12"/>
        <v>#DIV/0!</v>
      </c>
      <c r="AC30" s="246">
        <f t="shared" si="17"/>
        <v>-3.8134539989572502E-2</v>
      </c>
      <c r="AD30" s="246">
        <f t="shared" si="17"/>
        <v>1.8544894641308041E-3</v>
      </c>
      <c r="AE30" s="246">
        <f t="shared" si="13"/>
        <v>0.31459145628798479</v>
      </c>
      <c r="AF30" s="246">
        <f t="shared" si="13"/>
        <v>24.29250300835945</v>
      </c>
      <c r="AG30" s="247">
        <f t="shared" si="13"/>
        <v>1.2448324598443143</v>
      </c>
    </row>
    <row r="31" spans="1:64">
      <c r="A31" s="241">
        <v>42222</v>
      </c>
      <c r="B31" s="248">
        <v>87128.212999999989</v>
      </c>
      <c r="C31" s="248">
        <v>0</v>
      </c>
      <c r="D31" s="248">
        <v>390530.61461388075</v>
      </c>
      <c r="E31" s="248">
        <v>0</v>
      </c>
      <c r="F31" s="248">
        <v>100175</v>
      </c>
      <c r="G31" s="248">
        <v>6195.4934190703561</v>
      </c>
      <c r="H31" s="248">
        <v>4014.4510416657254</v>
      </c>
      <c r="I31" s="248">
        <v>22139.88</v>
      </c>
      <c r="J31" s="248">
        <f t="shared" si="19"/>
        <v>577833.82761388074</v>
      </c>
      <c r="K31" s="226">
        <f t="shared" si="18"/>
        <v>1188017.4796884977</v>
      </c>
      <c r="L31" s="245">
        <f t="shared" si="14"/>
        <v>41857</v>
      </c>
      <c r="M31" s="243">
        <v>85591.366999999998</v>
      </c>
      <c r="N31" s="243">
        <v>0</v>
      </c>
      <c r="O31" s="243">
        <v>419564.14984265558</v>
      </c>
      <c r="P31" s="243">
        <v>0</v>
      </c>
      <c r="Q31" s="243">
        <v>96050</v>
      </c>
      <c r="R31" s="243">
        <v>6197.4538796816068</v>
      </c>
      <c r="S31" s="243">
        <v>3823.33904429315</v>
      </c>
      <c r="T31" s="243">
        <v>17112</v>
      </c>
      <c r="U31" s="243">
        <v>25040</v>
      </c>
      <c r="V31" s="261">
        <f t="shared" si="15"/>
        <v>653378.30976663041</v>
      </c>
      <c r="X31" s="245">
        <f t="shared" si="16"/>
        <v>41492</v>
      </c>
      <c r="Y31" s="246">
        <f t="shared" si="12"/>
        <v>1.7955619285762614E-2</v>
      </c>
      <c r="Z31" s="246" t="e">
        <f t="shared" si="12"/>
        <v>#DIV/0!</v>
      </c>
      <c r="AA31" s="246">
        <f t="shared" si="12"/>
        <v>-6.9199275580773434E-2</v>
      </c>
      <c r="AB31" s="246" t="e">
        <f t="shared" si="12"/>
        <v>#DIV/0!</v>
      </c>
      <c r="AC31" s="246">
        <f t="shared" si="17"/>
        <v>-3.1633323124491408E-4</v>
      </c>
      <c r="AD31" s="246">
        <f t="shared" si="17"/>
        <v>4.9985626479512879E-2</v>
      </c>
      <c r="AE31" s="246">
        <f t="shared" si="13"/>
        <v>0.29382187938288928</v>
      </c>
      <c r="AF31" s="246">
        <f t="shared" si="13"/>
        <v>22.076430815250827</v>
      </c>
      <c r="AG31" s="247">
        <f t="shared" si="13"/>
        <v>0.81826892924074324</v>
      </c>
    </row>
    <row r="32" spans="1:64">
      <c r="A32" s="241">
        <v>42253</v>
      </c>
      <c r="B32" s="248">
        <v>63560.309000000023</v>
      </c>
      <c r="C32" s="248">
        <v>0</v>
      </c>
      <c r="D32" s="248">
        <v>343139.74523460411</v>
      </c>
      <c r="E32" s="248">
        <v>0</v>
      </c>
      <c r="F32" s="248">
        <v>79625</v>
      </c>
      <c r="G32" s="248">
        <v>5873.1038321490651</v>
      </c>
      <c r="H32" s="248">
        <v>3961.0302713583897</v>
      </c>
      <c r="I32" s="248">
        <v>20172.212</v>
      </c>
      <c r="J32" s="248">
        <f t="shared" si="19"/>
        <v>486325.05423460412</v>
      </c>
      <c r="K32" s="226">
        <f t="shared" si="18"/>
        <v>1002656.4545727157</v>
      </c>
      <c r="L32" s="245">
        <f t="shared" si="14"/>
        <v>41888</v>
      </c>
      <c r="M32" s="243">
        <v>67753.782000000007</v>
      </c>
      <c r="N32" s="243">
        <v>0</v>
      </c>
      <c r="O32" s="243">
        <v>345805.26331882627</v>
      </c>
      <c r="P32" s="243">
        <v>0</v>
      </c>
      <c r="Q32" s="243">
        <v>91130</v>
      </c>
      <c r="R32" s="243">
        <v>6805.4888168294692</v>
      </c>
      <c r="S32" s="243">
        <v>3785.5901196064347</v>
      </c>
      <c r="T32" s="243">
        <v>16560</v>
      </c>
      <c r="U32" s="243">
        <v>17885</v>
      </c>
      <c r="V32" s="261">
        <f t="shared" si="15"/>
        <v>549725.12425526208</v>
      </c>
      <c r="X32" s="245">
        <f t="shared" si="16"/>
        <v>41523</v>
      </c>
      <c r="Y32" s="246">
        <f t="shared" si="12"/>
        <v>-6.1892825407148244E-2</v>
      </c>
      <c r="Z32" s="246" t="e">
        <f t="shared" si="12"/>
        <v>#DIV/0!</v>
      </c>
      <c r="AA32" s="246">
        <f t="shared" si="12"/>
        <v>-7.7081478131366676E-3</v>
      </c>
      <c r="AB32" s="246" t="e">
        <f t="shared" si="12"/>
        <v>#DIV/0!</v>
      </c>
      <c r="AC32" s="246">
        <f t="shared" si="17"/>
        <v>-0.13700485149203168</v>
      </c>
      <c r="AD32" s="246">
        <f t="shared" si="17"/>
        <v>4.6344201619533676E-2</v>
      </c>
      <c r="AE32" s="246">
        <f t="shared" si="13"/>
        <v>0.21812874396135262</v>
      </c>
      <c r="AF32" s="246">
        <f t="shared" si="13"/>
        <v>26.191783854325084</v>
      </c>
      <c r="AG32" s="247">
        <f t="shared" si="13"/>
        <v>0.82392328517103985</v>
      </c>
    </row>
    <row r="33" spans="1:64">
      <c r="A33" s="241">
        <v>42284</v>
      </c>
      <c r="B33" s="248">
        <v>76277.917999999991</v>
      </c>
      <c r="C33" s="248">
        <v>0</v>
      </c>
      <c r="D33" s="248">
        <v>342108.00647605077</v>
      </c>
      <c r="E33" s="248">
        <v>0</v>
      </c>
      <c r="F33" s="248">
        <v>89775</v>
      </c>
      <c r="G33" s="248">
        <v>5258.0817677860405</v>
      </c>
      <c r="H33" s="248">
        <v>2100.2086067896485</v>
      </c>
      <c r="I33" s="248">
        <v>16044.305</v>
      </c>
      <c r="J33" s="248">
        <f t="shared" si="19"/>
        <v>508160.92447605077</v>
      </c>
      <c r="K33" s="226">
        <f t="shared" si="18"/>
        <v>1039724.4443266772</v>
      </c>
      <c r="L33" s="245">
        <f t="shared" si="14"/>
        <v>41919</v>
      </c>
      <c r="M33" s="243">
        <v>64604.751999999979</v>
      </c>
      <c r="N33" s="243">
        <v>0</v>
      </c>
      <c r="O33" s="243">
        <v>322850.12587526627</v>
      </c>
      <c r="P33" s="243">
        <v>0</v>
      </c>
      <c r="Q33" s="243">
        <v>87075</v>
      </c>
      <c r="R33" s="243">
        <v>5315.6805058958926</v>
      </c>
      <c r="S33" s="243">
        <v>3217.6337529843995</v>
      </c>
      <c r="T33" s="243">
        <v>16583</v>
      </c>
      <c r="U33" s="243">
        <v>14590</v>
      </c>
      <c r="V33" s="261">
        <f t="shared" si="15"/>
        <v>514236.19213414652</v>
      </c>
      <c r="X33" s="245">
        <f t="shared" si="16"/>
        <v>41554</v>
      </c>
      <c r="Y33" s="246">
        <f t="shared" si="12"/>
        <v>0.18068587276675885</v>
      </c>
      <c r="Z33" s="246" t="e">
        <f t="shared" si="12"/>
        <v>#DIV/0!</v>
      </c>
      <c r="AA33" s="246">
        <f t="shared" si="12"/>
        <v>5.9649599171055723E-2</v>
      </c>
      <c r="AB33" s="246" t="e">
        <f t="shared" si="12"/>
        <v>#DIV/0!</v>
      </c>
      <c r="AC33" s="246">
        <f t="shared" si="17"/>
        <v>-1.0835628297443112E-2</v>
      </c>
      <c r="AD33" s="246">
        <f t="shared" si="17"/>
        <v>-0.3472816460724667</v>
      </c>
      <c r="AE33" s="246">
        <f t="shared" si="13"/>
        <v>-3.2484773563287717E-2</v>
      </c>
      <c r="AF33" s="246">
        <f t="shared" si="13"/>
        <v>33.829398524746452</v>
      </c>
      <c r="AG33" s="247">
        <f t="shared" si="13"/>
        <v>1.0218811126686487</v>
      </c>
    </row>
    <row r="34" spans="1:64">
      <c r="A34" s="241">
        <v>42315</v>
      </c>
      <c r="B34" s="248">
        <v>61865.206000000006</v>
      </c>
      <c r="C34" s="248">
        <v>0</v>
      </c>
      <c r="D34" s="248">
        <v>344196.51250407309</v>
      </c>
      <c r="E34" s="248">
        <v>0</v>
      </c>
      <c r="F34" s="248">
        <v>86925</v>
      </c>
      <c r="G34" s="248">
        <v>5194.9087056549597</v>
      </c>
      <c r="H34" s="248">
        <v>2828.3385813702926</v>
      </c>
      <c r="I34" s="248">
        <v>15609.645</v>
      </c>
      <c r="J34" s="248">
        <f t="shared" si="19"/>
        <v>492986.7185040731</v>
      </c>
      <c r="K34" s="226">
        <f t="shared" si="18"/>
        <v>1009606.3292951714</v>
      </c>
      <c r="L34" s="245">
        <f t="shared" si="14"/>
        <v>41950</v>
      </c>
      <c r="M34" s="243">
        <v>51616.438000000002</v>
      </c>
      <c r="N34" s="243">
        <v>0</v>
      </c>
      <c r="O34" s="243">
        <v>236602.42883206101</v>
      </c>
      <c r="P34" s="243">
        <v>0</v>
      </c>
      <c r="Q34" s="243">
        <v>44020</v>
      </c>
      <c r="R34" s="243">
        <v>3679.2900633923027</v>
      </c>
      <c r="S34" s="243">
        <v>2410.9527906332833</v>
      </c>
      <c r="T34" s="243">
        <v>16077</v>
      </c>
      <c r="U34" s="243">
        <v>7205</v>
      </c>
      <c r="V34" s="261">
        <f t="shared" si="15"/>
        <v>361611.10968608665</v>
      </c>
      <c r="X34" s="245">
        <f t="shared" si="16"/>
        <v>41585</v>
      </c>
      <c r="Y34" s="246">
        <f t="shared" si="12"/>
        <v>0.19855628162485761</v>
      </c>
      <c r="Z34" s="246" t="e">
        <f t="shared" si="12"/>
        <v>#DIV/0!</v>
      </c>
      <c r="AA34" s="246">
        <f t="shared" si="12"/>
        <v>0.45474631939802168</v>
      </c>
      <c r="AB34" s="246" t="e">
        <f t="shared" si="12"/>
        <v>#DIV/0!</v>
      </c>
      <c r="AC34" s="246">
        <f t="shared" si="17"/>
        <v>0.41193236090368424</v>
      </c>
      <c r="AD34" s="246">
        <f t="shared" si="17"/>
        <v>0.17312068173154693</v>
      </c>
      <c r="AE34" s="246">
        <f t="shared" si="13"/>
        <v>-2.9069789139764879E-2</v>
      </c>
      <c r="AF34" s="246">
        <f t="shared" si="13"/>
        <v>67.42286169383388</v>
      </c>
      <c r="AG34" s="247">
        <f t="shared" si="13"/>
        <v>1.791967122281191</v>
      </c>
    </row>
    <row r="35" spans="1:64">
      <c r="A35" s="241">
        <v>42346</v>
      </c>
      <c r="B35" s="248">
        <v>63976.488000000005</v>
      </c>
      <c r="C35" s="248">
        <v>0</v>
      </c>
      <c r="D35" s="248">
        <v>313989.42448680341</v>
      </c>
      <c r="E35" s="248">
        <v>0</v>
      </c>
      <c r="F35" s="248">
        <v>73750</v>
      </c>
      <c r="G35" s="248">
        <v>4646.9185594983974</v>
      </c>
      <c r="H35" s="248">
        <v>2836.0391753632684</v>
      </c>
      <c r="I35" s="248">
        <v>12572.003000000001</v>
      </c>
      <c r="J35" s="248">
        <f t="shared" si="19"/>
        <v>451715.91248680343</v>
      </c>
      <c r="K35" s="226">
        <f>SUM(B35:J35)</f>
        <v>923486.78570846852</v>
      </c>
      <c r="L35" s="245">
        <f t="shared" si="14"/>
        <v>41981</v>
      </c>
      <c r="M35" s="243">
        <v>52485.398999999998</v>
      </c>
      <c r="N35" s="243">
        <v>0</v>
      </c>
      <c r="O35" s="243">
        <v>316442.92193695024</v>
      </c>
      <c r="P35" s="243">
        <v>0</v>
      </c>
      <c r="Q35" s="243">
        <v>13575</v>
      </c>
      <c r="R35" s="243">
        <v>4424.6242624126007</v>
      </c>
      <c r="S35" s="243">
        <v>2923.9965997321551</v>
      </c>
      <c r="T35" s="243">
        <v>15847</v>
      </c>
      <c r="U35" s="243">
        <v>14375</v>
      </c>
      <c r="V35" s="261">
        <f t="shared" si="15"/>
        <v>420073.94179909496</v>
      </c>
      <c r="X35" s="245">
        <f t="shared" si="16"/>
        <v>41616</v>
      </c>
      <c r="Y35" s="246"/>
      <c r="Z35" s="246"/>
      <c r="AA35" s="246"/>
      <c r="AB35" s="246"/>
      <c r="AC35" s="246"/>
      <c r="AD35" s="246"/>
      <c r="AE35" s="246"/>
      <c r="AF35" s="246"/>
      <c r="AG35" s="247">
        <f t="shared" si="13"/>
        <v>1.198391030287083</v>
      </c>
    </row>
    <row r="36" spans="1:64">
      <c r="A36" s="241"/>
      <c r="B36" s="248"/>
      <c r="C36" s="248"/>
      <c r="D36" s="248"/>
      <c r="E36" s="248"/>
      <c r="F36" s="248"/>
      <c r="G36" s="248"/>
      <c r="H36" s="248"/>
      <c r="I36" s="248"/>
      <c r="J36" s="248"/>
      <c r="K36" s="249"/>
      <c r="L36" s="245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X36" s="245"/>
      <c r="Y36" s="246"/>
      <c r="Z36" s="246"/>
      <c r="AA36" s="246"/>
      <c r="AB36" s="246"/>
      <c r="AC36" s="246"/>
      <c r="AD36" s="246"/>
      <c r="AE36" s="246"/>
      <c r="AF36" s="246"/>
      <c r="AG36" s="247"/>
    </row>
    <row r="37" spans="1:64">
      <c r="A37" s="241" t="s">
        <v>285</v>
      </c>
      <c r="B37" s="248">
        <f t="shared" ref="B37:K37" si="20">SUM(B24:B35)</f>
        <v>832549.23299999989</v>
      </c>
      <c r="C37" s="248">
        <f t="shared" si="20"/>
        <v>0</v>
      </c>
      <c r="D37" s="248">
        <f t="shared" si="20"/>
        <v>4062944.2506018844</v>
      </c>
      <c r="E37" s="248">
        <f t="shared" si="20"/>
        <v>0</v>
      </c>
      <c r="F37" s="248">
        <f t="shared" si="20"/>
        <v>1200740</v>
      </c>
      <c r="G37" s="248">
        <f t="shared" si="20"/>
        <v>64892.166587272077</v>
      </c>
      <c r="H37" s="248">
        <f t="shared" si="20"/>
        <v>38188.468936274279</v>
      </c>
      <c r="I37" s="248">
        <f t="shared" si="20"/>
        <v>206878.06099999999</v>
      </c>
      <c r="J37" s="248">
        <f t="shared" si="20"/>
        <v>3257335.6987458454</v>
      </c>
      <c r="K37" s="250">
        <f t="shared" si="20"/>
        <v>9663527.878871277</v>
      </c>
      <c r="L37" s="245" t="s">
        <v>234</v>
      </c>
      <c r="M37" s="248">
        <f>SUM(M24:M29)</f>
        <v>375242.35340296128</v>
      </c>
      <c r="N37" s="248">
        <f t="shared" ref="N37:V37" si="21">SUM(N24:N29)</f>
        <v>0</v>
      </c>
      <c r="O37" s="248">
        <f t="shared" si="21"/>
        <v>1847954.2020007744</v>
      </c>
      <c r="P37" s="248">
        <f t="shared" si="21"/>
        <v>-414.11599999999999</v>
      </c>
      <c r="Q37" s="248">
        <f t="shared" si="21"/>
        <v>81900</v>
      </c>
      <c r="R37" s="248">
        <f t="shared" si="21"/>
        <v>30377.039460222564</v>
      </c>
      <c r="S37" s="248">
        <f t="shared" si="21"/>
        <v>18534.251486251815</v>
      </c>
      <c r="T37" s="248">
        <f t="shared" si="21"/>
        <v>97727</v>
      </c>
      <c r="U37" s="248">
        <f t="shared" si="21"/>
        <v>78568</v>
      </c>
      <c r="V37" s="248">
        <f t="shared" si="21"/>
        <v>2529888.7303502099</v>
      </c>
      <c r="X37" s="245" t="s">
        <v>235</v>
      </c>
      <c r="Y37" s="246">
        <f>(B37/M37)-1</f>
        <v>1.2186973976947395</v>
      </c>
      <c r="Z37" s="246" t="e">
        <f>(C37/N37)-1</f>
        <v>#DIV/0!</v>
      </c>
      <c r="AA37" s="246">
        <f>(D37/O37)-1</f>
        <v>1.1986173933330959</v>
      </c>
      <c r="AB37" s="246">
        <f>(E37/P37)-1</f>
        <v>-1</v>
      </c>
      <c r="AC37" s="246">
        <f t="shared" ref="AC37:AF37" si="22">(G37/R37)-1</f>
        <v>1.1362241923623135</v>
      </c>
      <c r="AD37" s="246">
        <f t="shared" si="22"/>
        <v>1.0604268246064001</v>
      </c>
      <c r="AE37" s="246">
        <f t="shared" si="22"/>
        <v>1.1168976945982174</v>
      </c>
      <c r="AF37" s="246">
        <f t="shared" si="22"/>
        <v>40.458808913881548</v>
      </c>
      <c r="AG37" s="247">
        <f>(K37/V37)-1</f>
        <v>2.8197442294363535</v>
      </c>
    </row>
    <row r="38" spans="1:64">
      <c r="K38" s="263"/>
      <c r="Y38" s="255"/>
      <c r="Z38" s="255"/>
      <c r="AA38" s="255"/>
      <c r="AB38" s="255"/>
      <c r="AC38" s="255"/>
      <c r="AD38" s="255"/>
      <c r="AE38" s="255"/>
      <c r="AF38" s="255"/>
      <c r="AG38" s="256"/>
    </row>
    <row r="39" spans="1:64" ht="15.6">
      <c r="C39" s="264"/>
      <c r="D39" s="252"/>
      <c r="E39" s="264"/>
      <c r="K39" s="263"/>
      <c r="N39" s="264"/>
      <c r="O39" s="252"/>
      <c r="P39" s="264"/>
      <c r="Q39" s="264"/>
      <c r="Y39" s="255"/>
      <c r="Z39" s="255"/>
      <c r="AA39" s="255"/>
      <c r="AB39" s="255"/>
      <c r="AC39" s="255"/>
      <c r="AD39" s="255"/>
      <c r="AE39" s="255"/>
      <c r="AF39" s="255"/>
      <c r="AG39" s="256"/>
    </row>
    <row r="40" spans="1:64" ht="40.200000000000003">
      <c r="A40" s="231" t="s">
        <v>238</v>
      </c>
      <c r="B40" s="227" t="str">
        <f>+B22</f>
        <v>2014 Actual</v>
      </c>
      <c r="C40" s="228"/>
      <c r="D40" s="229"/>
      <c r="E40" s="228"/>
      <c r="F40" s="229"/>
      <c r="G40" s="228"/>
      <c r="H40" s="229"/>
      <c r="I40" s="228"/>
      <c r="J40" s="228"/>
      <c r="K40" s="230"/>
      <c r="L40" s="231" t="s">
        <v>219</v>
      </c>
      <c r="M40" s="227" t="str">
        <f>+M22</f>
        <v>INCLUDE 2014 DATA</v>
      </c>
      <c r="N40" s="228"/>
      <c r="O40" s="229"/>
      <c r="P40" s="228"/>
      <c r="Q40" s="228"/>
      <c r="R40" s="229"/>
      <c r="S40" s="228"/>
      <c r="T40" s="229"/>
      <c r="U40" s="228"/>
      <c r="V40" s="228"/>
      <c r="X40" s="234" t="s">
        <v>239</v>
      </c>
    </row>
    <row r="41" spans="1:64" s="237" customFormat="1" ht="40.200000000000003" thickBot="1">
      <c r="A41" s="235" t="s">
        <v>223</v>
      </c>
      <c r="B41" s="236" t="s">
        <v>224</v>
      </c>
      <c r="C41" s="237" t="s">
        <v>225</v>
      </c>
      <c r="D41" s="236" t="s">
        <v>226</v>
      </c>
      <c r="E41" s="237" t="s">
        <v>227</v>
      </c>
      <c r="F41" s="236" t="s">
        <v>228</v>
      </c>
      <c r="G41" s="237" t="s">
        <v>229</v>
      </c>
      <c r="H41" s="236" t="s">
        <v>230</v>
      </c>
      <c r="I41" s="236" t="s">
        <v>231</v>
      </c>
      <c r="J41" s="236" t="s">
        <v>232</v>
      </c>
      <c r="K41" s="238" t="s">
        <v>233</v>
      </c>
      <c r="L41" s="235" t="s">
        <v>223</v>
      </c>
      <c r="M41" s="236" t="s">
        <v>224</v>
      </c>
      <c r="N41" s="237" t="s">
        <v>225</v>
      </c>
      <c r="O41" s="237" t="s">
        <v>226</v>
      </c>
      <c r="P41" s="237" t="s">
        <v>227</v>
      </c>
      <c r="Q41" s="236" t="s">
        <v>228</v>
      </c>
      <c r="R41" s="236" t="s">
        <v>229</v>
      </c>
      <c r="S41" s="237" t="s">
        <v>230</v>
      </c>
      <c r="T41" s="236" t="str">
        <f>+T23</f>
        <v>Winter Park</v>
      </c>
      <c r="U41" s="236" t="str">
        <f>+U23</f>
        <v>New Smyrna Beach</v>
      </c>
      <c r="V41" s="236" t="s">
        <v>233</v>
      </c>
      <c r="W41" s="236"/>
      <c r="X41" s="236" t="s">
        <v>223</v>
      </c>
      <c r="Y41" s="238" t="s">
        <v>224</v>
      </c>
      <c r="Z41" s="237" t="s">
        <v>225</v>
      </c>
      <c r="AA41" s="235" t="s">
        <v>226</v>
      </c>
      <c r="AB41" s="237" t="s">
        <v>227</v>
      </c>
      <c r="AC41" s="237" t="s">
        <v>229</v>
      </c>
      <c r="AD41" s="237" t="s">
        <v>230</v>
      </c>
      <c r="AE41" s="260" t="str">
        <f>+AE23</f>
        <v>Winter Park</v>
      </c>
      <c r="AF41" s="260" t="str">
        <f>+AF23</f>
        <v>New Smyrna Beach</v>
      </c>
      <c r="AG41" s="237" t="s">
        <v>233</v>
      </c>
      <c r="AH41" s="236"/>
      <c r="AJ41" s="236"/>
      <c r="AK41" s="236"/>
      <c r="AL41" s="236"/>
      <c r="AM41" s="238"/>
      <c r="AO41" s="235"/>
      <c r="AP41" s="236"/>
      <c r="AS41" s="236"/>
      <c r="AT41" s="236"/>
      <c r="AV41" s="236"/>
      <c r="AW41" s="236"/>
      <c r="AX41" s="236"/>
      <c r="AY41" s="238"/>
      <c r="AZ41" s="239"/>
      <c r="BA41" s="238"/>
      <c r="BB41" s="235"/>
      <c r="BC41" s="236"/>
      <c r="BF41" s="236"/>
      <c r="BG41" s="236"/>
      <c r="BI41" s="236"/>
      <c r="BJ41" s="236"/>
      <c r="BK41" s="236"/>
      <c r="BL41" s="240"/>
    </row>
    <row r="42" spans="1:64">
      <c r="A42" s="241">
        <v>42005</v>
      </c>
      <c r="B42" s="265">
        <v>55893.767999999996</v>
      </c>
      <c r="C42" s="265">
        <v>0</v>
      </c>
      <c r="D42" s="265">
        <v>270576.53929652547</v>
      </c>
      <c r="E42" s="265">
        <v>0</v>
      </c>
      <c r="F42" s="265">
        <v>73250</v>
      </c>
      <c r="G42" s="265">
        <v>4758.6501985440973</v>
      </c>
      <c r="H42" s="265">
        <v>2854.7034059911311</v>
      </c>
      <c r="I42" s="265">
        <v>12284.608</v>
      </c>
      <c r="J42" s="265">
        <v>23405</v>
      </c>
      <c r="K42" s="226">
        <f>SUM(B42:J42)</f>
        <v>443023.26890106068</v>
      </c>
      <c r="L42" s="245">
        <v>41640</v>
      </c>
      <c r="M42" s="243">
        <v>53789.683053531968</v>
      </c>
      <c r="N42" s="243">
        <v>0</v>
      </c>
      <c r="O42" s="243">
        <v>302663.98175208498</v>
      </c>
      <c r="P42" s="243">
        <v>-414.11599999999999</v>
      </c>
      <c r="Q42" s="243">
        <v>0</v>
      </c>
      <c r="R42" s="243">
        <v>5124.569409685555</v>
      </c>
      <c r="S42" s="243">
        <v>3598.7401938137978</v>
      </c>
      <c r="T42" s="243">
        <v>16537</v>
      </c>
      <c r="U42" s="243">
        <v>0</v>
      </c>
      <c r="V42" s="261">
        <f>SUM(M42:U42)</f>
        <v>381299.85840911634</v>
      </c>
      <c r="X42" s="245">
        <v>41275</v>
      </c>
      <c r="Y42" s="246">
        <f t="shared" ref="Y42:AB52" si="23">(B42/M42)-1</f>
        <v>3.9116886864234202E-2</v>
      </c>
      <c r="Z42" s="246" t="e">
        <f t="shared" si="23"/>
        <v>#DIV/0!</v>
      </c>
      <c r="AA42" s="246">
        <f t="shared" si="23"/>
        <v>-0.10601671949800306</v>
      </c>
      <c r="AB42" s="246">
        <f t="shared" si="23"/>
        <v>-1</v>
      </c>
      <c r="AC42" s="246">
        <f>(G42/R42)-1</f>
        <v>-7.1404869734003729E-2</v>
      </c>
      <c r="AD42" s="246">
        <f>(H42/S42)-1</f>
        <v>-0.20674923660831623</v>
      </c>
      <c r="AE42" s="246"/>
      <c r="AF42" s="246"/>
      <c r="AG42" s="247">
        <f>(K42/V42)-1</f>
        <v>0.16187630058261937</v>
      </c>
    </row>
    <row r="43" spans="1:64">
      <c r="A43" s="241">
        <v>42036</v>
      </c>
      <c r="B43" s="265">
        <v>48914.218000000001</v>
      </c>
      <c r="C43" s="265">
        <v>0</v>
      </c>
      <c r="D43" s="265">
        <v>301035.69455627701</v>
      </c>
      <c r="E43" s="265">
        <v>0</v>
      </c>
      <c r="F43" s="265">
        <v>85800</v>
      </c>
      <c r="G43" s="265">
        <v>1891.0991284847378</v>
      </c>
      <c r="H43" s="265">
        <v>3125.6857217388688</v>
      </c>
      <c r="I43" s="265">
        <v>14177.11</v>
      </c>
      <c r="J43" s="265">
        <v>21900</v>
      </c>
      <c r="K43" s="226">
        <f>SUM(B43:J43)</f>
        <v>476843.80740650056</v>
      </c>
      <c r="L43" s="245">
        <f t="shared" ref="L43:L53" si="24">L42+31</f>
        <v>41671</v>
      </c>
      <c r="M43" s="243">
        <v>55279.361545482316</v>
      </c>
      <c r="N43" s="243">
        <v>0</v>
      </c>
      <c r="O43" s="243">
        <v>247855.38629166124</v>
      </c>
      <c r="P43" s="243">
        <v>0</v>
      </c>
      <c r="Q43" s="243">
        <v>0</v>
      </c>
      <c r="R43" s="243">
        <v>4132.2357440350515</v>
      </c>
      <c r="S43" s="243">
        <v>2923.0439027417733</v>
      </c>
      <c r="T43" s="243">
        <v>15456</v>
      </c>
      <c r="U43" s="243">
        <v>18635</v>
      </c>
      <c r="V43" s="261">
        <f t="shared" ref="V43:V53" si="25">SUM(M43:U43)</f>
        <v>344281.02748392033</v>
      </c>
      <c r="X43" s="245">
        <f t="shared" ref="X43:X53" si="26">X42+31</f>
        <v>41306</v>
      </c>
      <c r="Y43" s="246">
        <f t="shared" si="23"/>
        <v>-0.11514502641723268</v>
      </c>
      <c r="Z43" s="246" t="e">
        <f t="shared" si="23"/>
        <v>#DIV/0!</v>
      </c>
      <c r="AA43" s="246">
        <f t="shared" si="23"/>
        <v>0.21456184213013785</v>
      </c>
      <c r="AB43" s="246" t="e">
        <f t="shared" si="23"/>
        <v>#DIV/0!</v>
      </c>
      <c r="AC43" s="246">
        <f t="shared" ref="AC43:AD52" si="27">(G43/R43)-1</f>
        <v>-0.54235449146032644</v>
      </c>
      <c r="AD43" s="246">
        <f t="shared" si="27"/>
        <v>6.9325615946794539E-2</v>
      </c>
      <c r="AE43" s="246"/>
      <c r="AF43" s="246"/>
      <c r="AG43" s="247">
        <f t="shared" ref="AG43:AG53" si="28">(K43/V43)-1</f>
        <v>0.38504236173389361</v>
      </c>
    </row>
    <row r="44" spans="1:64">
      <c r="A44" s="241">
        <v>42067</v>
      </c>
      <c r="B44" s="265">
        <v>66651.542000000016</v>
      </c>
      <c r="C44" s="265">
        <v>0</v>
      </c>
      <c r="D44" s="265">
        <v>304886.05383588315</v>
      </c>
      <c r="E44" s="265">
        <v>0</v>
      </c>
      <c r="F44" s="265">
        <v>111860</v>
      </c>
      <c r="G44" s="265">
        <v>7271.0262253584497</v>
      </c>
      <c r="H44" s="265">
        <v>3177.2140875774903</v>
      </c>
      <c r="I44" s="265">
        <v>13087.405999999997</v>
      </c>
      <c r="J44" s="265">
        <v>14690</v>
      </c>
      <c r="K44" s="226">
        <f t="shared" ref="K44:K52" si="29">SUM(B44:J44)</f>
        <v>521623.24214881909</v>
      </c>
      <c r="L44" s="245">
        <f t="shared" si="24"/>
        <v>41702</v>
      </c>
      <c r="M44" s="243">
        <v>60007.115803946937</v>
      </c>
      <c r="N44" s="243">
        <v>0</v>
      </c>
      <c r="O44" s="243">
        <v>277647.81523986027</v>
      </c>
      <c r="P44" s="243">
        <v>0</v>
      </c>
      <c r="Q44" s="243">
        <v>0</v>
      </c>
      <c r="R44" s="243">
        <v>4021.6145055988081</v>
      </c>
      <c r="S44" s="243">
        <v>2594.3847094808966</v>
      </c>
      <c r="T44" s="243">
        <v>16997</v>
      </c>
      <c r="U44" s="243">
        <v>14868</v>
      </c>
      <c r="V44" s="261">
        <f t="shared" si="25"/>
        <v>376135.93025888689</v>
      </c>
      <c r="X44" s="245">
        <f t="shared" si="26"/>
        <v>41337</v>
      </c>
      <c r="Y44" s="246">
        <f t="shared" si="23"/>
        <v>0.11072730470435377</v>
      </c>
      <c r="Z44" s="246" t="e">
        <f t="shared" si="23"/>
        <v>#DIV/0!</v>
      </c>
      <c r="AA44" s="246">
        <f t="shared" si="23"/>
        <v>9.8103558180321793E-2</v>
      </c>
      <c r="AB44" s="246" t="e">
        <f t="shared" si="23"/>
        <v>#DIV/0!</v>
      </c>
      <c r="AC44" s="246">
        <f t="shared" si="27"/>
        <v>0.80798687075448883</v>
      </c>
      <c r="AD44" s="246">
        <f t="shared" si="27"/>
        <v>0.22465032883007185</v>
      </c>
      <c r="AE44" s="246"/>
      <c r="AF44" s="246"/>
      <c r="AG44" s="247">
        <f t="shared" si="28"/>
        <v>0.38679450747977251</v>
      </c>
    </row>
    <row r="45" spans="1:64">
      <c r="A45" s="241">
        <v>42098</v>
      </c>
      <c r="B45" s="265">
        <v>71298.913</v>
      </c>
      <c r="C45" s="265">
        <v>0</v>
      </c>
      <c r="D45" s="265">
        <v>335684.37210155645</v>
      </c>
      <c r="E45" s="265">
        <v>0</v>
      </c>
      <c r="F45" s="265">
        <v>125830</v>
      </c>
      <c r="G45" s="265">
        <v>5562.312992333108</v>
      </c>
      <c r="H45" s="265">
        <v>2118.9420340686947</v>
      </c>
      <c r="I45" s="265">
        <v>16697.978999999999</v>
      </c>
      <c r="J45" s="265">
        <v>14400</v>
      </c>
      <c r="K45" s="226">
        <f t="shared" si="29"/>
        <v>571592.51912795834</v>
      </c>
      <c r="L45" s="245">
        <f t="shared" si="24"/>
        <v>41733</v>
      </c>
      <c r="M45" s="243">
        <v>62174.597000000002</v>
      </c>
      <c r="N45" s="243">
        <v>0</v>
      </c>
      <c r="O45" s="243">
        <v>311518.40575135191</v>
      </c>
      <c r="P45" s="243">
        <v>0</v>
      </c>
      <c r="Q45" s="243">
        <v>0</v>
      </c>
      <c r="R45" s="243">
        <v>5396.7403632383848</v>
      </c>
      <c r="S45" s="243">
        <v>2558.409262151109</v>
      </c>
      <c r="T45" s="243">
        <v>15387</v>
      </c>
      <c r="U45" s="243">
        <v>7200</v>
      </c>
      <c r="V45" s="261">
        <f t="shared" si="25"/>
        <v>404235.1523767414</v>
      </c>
      <c r="X45" s="245">
        <f t="shared" si="26"/>
        <v>41368</v>
      </c>
      <c r="Y45" s="246">
        <f t="shared" si="23"/>
        <v>0.14675311848020511</v>
      </c>
      <c r="Z45" s="246" t="e">
        <f t="shared" si="23"/>
        <v>#DIV/0!</v>
      </c>
      <c r="AA45" s="246">
        <f t="shared" si="23"/>
        <v>7.7574762531024799E-2</v>
      </c>
      <c r="AB45" s="246" t="e">
        <f t="shared" si="23"/>
        <v>#DIV/0!</v>
      </c>
      <c r="AC45" s="246">
        <f t="shared" si="27"/>
        <v>3.068011761739986E-2</v>
      </c>
      <c r="AD45" s="246">
        <f t="shared" si="27"/>
        <v>-0.17177362300233012</v>
      </c>
      <c r="AE45" s="246"/>
      <c r="AF45" s="246"/>
      <c r="AG45" s="247">
        <f t="shared" si="28"/>
        <v>0.41400992904061518</v>
      </c>
    </row>
    <row r="46" spans="1:64">
      <c r="A46" s="241">
        <v>42129</v>
      </c>
      <c r="B46" s="265">
        <v>72522.712999999989</v>
      </c>
      <c r="C46" s="265">
        <v>0</v>
      </c>
      <c r="D46" s="265">
        <v>363433.20049330872</v>
      </c>
      <c r="E46" s="265">
        <v>0</v>
      </c>
      <c r="F46" s="265">
        <v>113525</v>
      </c>
      <c r="G46" s="265">
        <v>6014.8991004178788</v>
      </c>
      <c r="H46" s="265">
        <v>3481.674325252809</v>
      </c>
      <c r="I46" s="265">
        <v>20002.003000000004</v>
      </c>
      <c r="J46" s="265">
        <v>18285</v>
      </c>
      <c r="K46" s="226">
        <f t="shared" si="29"/>
        <v>597264.48991897935</v>
      </c>
      <c r="L46" s="245">
        <f t="shared" si="24"/>
        <v>41764</v>
      </c>
      <c r="M46" s="243">
        <v>69701.235000000001</v>
      </c>
      <c r="N46" s="243">
        <v>0</v>
      </c>
      <c r="O46" s="243">
        <v>346316.90070568124</v>
      </c>
      <c r="P46" s="243">
        <v>0</v>
      </c>
      <c r="Q46" s="243">
        <v>0</v>
      </c>
      <c r="R46" s="243">
        <v>5912.6414068960285</v>
      </c>
      <c r="S46" s="243">
        <v>2856.3084321532915</v>
      </c>
      <c r="T46" s="243">
        <v>16790</v>
      </c>
      <c r="U46" s="243">
        <v>14775</v>
      </c>
      <c r="V46" s="261">
        <f t="shared" si="25"/>
        <v>456352.08554473054</v>
      </c>
      <c r="X46" s="245">
        <f t="shared" si="26"/>
        <v>41399</v>
      </c>
      <c r="Y46" s="246">
        <f t="shared" si="23"/>
        <v>4.047959838875137E-2</v>
      </c>
      <c r="Z46" s="246" t="e">
        <f t="shared" si="23"/>
        <v>#DIV/0!</v>
      </c>
      <c r="AA46" s="246">
        <f t="shared" si="23"/>
        <v>4.9423807364728622E-2</v>
      </c>
      <c r="AB46" s="246" t="e">
        <f t="shared" si="23"/>
        <v>#DIV/0!</v>
      </c>
      <c r="AC46" s="246">
        <f t="shared" si="27"/>
        <v>1.7294756519917742E-2</v>
      </c>
      <c r="AD46" s="246">
        <f t="shared" si="27"/>
        <v>0.2189420043227166</v>
      </c>
      <c r="AE46" s="246"/>
      <c r="AF46" s="246"/>
      <c r="AG46" s="247">
        <f t="shared" si="28"/>
        <v>0.3087800162149954</v>
      </c>
    </row>
    <row r="47" spans="1:64">
      <c r="A47" s="241">
        <v>42160</v>
      </c>
      <c r="B47" s="265">
        <v>76756.249999999985</v>
      </c>
      <c r="C47" s="265">
        <v>0</v>
      </c>
      <c r="D47" s="265">
        <v>363754.52057248855</v>
      </c>
      <c r="E47" s="265">
        <v>0</v>
      </c>
      <c r="F47" s="265">
        <v>115975</v>
      </c>
      <c r="G47" s="265">
        <v>6068.0906072946518</v>
      </c>
      <c r="H47" s="265">
        <v>3690.9136656444712</v>
      </c>
      <c r="I47" s="265">
        <v>21595.621000000006</v>
      </c>
      <c r="J47" s="265">
        <v>26070</v>
      </c>
      <c r="K47" s="226">
        <f t="shared" si="29"/>
        <v>613910.39584542776</v>
      </c>
      <c r="L47" s="245">
        <f t="shared" si="24"/>
        <v>41795</v>
      </c>
      <c r="M47" s="243">
        <v>74290.361000000004</v>
      </c>
      <c r="N47" s="243">
        <v>0</v>
      </c>
      <c r="O47" s="243">
        <v>361951.71226013481</v>
      </c>
      <c r="P47" s="243">
        <v>0</v>
      </c>
      <c r="Q47" s="243">
        <v>81900</v>
      </c>
      <c r="R47" s="243">
        <v>5789.2380307687336</v>
      </c>
      <c r="S47" s="243">
        <v>4003.3649859109446</v>
      </c>
      <c r="T47" s="243">
        <v>16560</v>
      </c>
      <c r="U47" s="243">
        <v>23090</v>
      </c>
      <c r="V47" s="261">
        <f t="shared" si="25"/>
        <v>567584.67627681454</v>
      </c>
      <c r="X47" s="245">
        <f t="shared" si="26"/>
        <v>41430</v>
      </c>
      <c r="Y47" s="246">
        <f t="shared" si="23"/>
        <v>3.3192583355463601E-2</v>
      </c>
      <c r="Z47" s="246" t="e">
        <f t="shared" si="23"/>
        <v>#DIV/0!</v>
      </c>
      <c r="AA47" s="246">
        <f t="shared" si="23"/>
        <v>4.9807978558700228E-3</v>
      </c>
      <c r="AB47" s="246" t="e">
        <f t="shared" si="23"/>
        <v>#DIV/0!</v>
      </c>
      <c r="AC47" s="246">
        <f t="shared" si="27"/>
        <v>4.8167405631599269E-2</v>
      </c>
      <c r="AD47" s="246">
        <f t="shared" si="27"/>
        <v>-7.8047173157102634E-2</v>
      </c>
      <c r="AE47" s="246"/>
      <c r="AF47" s="246"/>
      <c r="AG47" s="247">
        <f t="shared" si="28"/>
        <v>8.1619045588926076E-2</v>
      </c>
    </row>
    <row r="48" spans="1:64">
      <c r="A48" s="241">
        <v>42191</v>
      </c>
      <c r="B48" s="265">
        <v>87703.695000000022</v>
      </c>
      <c r="C48" s="265">
        <v>0</v>
      </c>
      <c r="D48" s="265">
        <v>389609.56643043342</v>
      </c>
      <c r="E48" s="265">
        <v>0</v>
      </c>
      <c r="F48" s="265">
        <v>144250</v>
      </c>
      <c r="G48" s="265">
        <v>6157.5820506803384</v>
      </c>
      <c r="H48" s="265">
        <v>3999.2680194534855</v>
      </c>
      <c r="I48" s="265">
        <v>22495.288999999997</v>
      </c>
      <c r="J48" s="265">
        <v>29660</v>
      </c>
      <c r="K48" s="226">
        <f t="shared" si="29"/>
        <v>683875.40050056728</v>
      </c>
      <c r="L48" s="245">
        <f t="shared" si="24"/>
        <v>41826</v>
      </c>
      <c r="M48" s="243">
        <v>83182.856999999989</v>
      </c>
      <c r="N48" s="243">
        <v>0</v>
      </c>
      <c r="O48" s="243">
        <v>342204.55535516626</v>
      </c>
      <c r="P48" s="243">
        <v>0</v>
      </c>
      <c r="Q48" s="243">
        <v>90850</v>
      </c>
      <c r="R48" s="243">
        <v>6401.7082499392218</v>
      </c>
      <c r="S48" s="243">
        <v>3991.8651475950396</v>
      </c>
      <c r="T48" s="243">
        <v>17112</v>
      </c>
      <c r="U48" s="243">
        <v>24575</v>
      </c>
      <c r="V48" s="261">
        <f t="shared" si="25"/>
        <v>568317.98575270048</v>
      </c>
      <c r="X48" s="245">
        <f t="shared" si="26"/>
        <v>41461</v>
      </c>
      <c r="Y48" s="246">
        <f t="shared" si="23"/>
        <v>5.4348193402398159E-2</v>
      </c>
      <c r="Z48" s="246" t="e">
        <f t="shared" si="23"/>
        <v>#DIV/0!</v>
      </c>
      <c r="AA48" s="246">
        <f t="shared" si="23"/>
        <v>0.13852828763797898</v>
      </c>
      <c r="AB48" s="246" t="e">
        <f t="shared" si="23"/>
        <v>#DIV/0!</v>
      </c>
      <c r="AC48" s="246">
        <f t="shared" si="27"/>
        <v>-3.8134539989572502E-2</v>
      </c>
      <c r="AD48" s="246">
        <f t="shared" si="27"/>
        <v>1.8544894641308041E-3</v>
      </c>
      <c r="AE48" s="246"/>
      <c r="AF48" s="246"/>
      <c r="AG48" s="247">
        <f t="shared" si="28"/>
        <v>0.20333232036430893</v>
      </c>
    </row>
    <row r="49" spans="1:64">
      <c r="A49" s="241">
        <v>42222</v>
      </c>
      <c r="B49" s="265">
        <v>87128.212999999989</v>
      </c>
      <c r="C49" s="265">
        <v>0</v>
      </c>
      <c r="D49" s="265">
        <v>390530.61461388075</v>
      </c>
      <c r="E49" s="265">
        <v>0</v>
      </c>
      <c r="F49" s="265">
        <v>100175</v>
      </c>
      <c r="G49" s="265">
        <v>6195.4934190703561</v>
      </c>
      <c r="H49" s="265">
        <v>4014.4510416657254</v>
      </c>
      <c r="I49" s="265">
        <v>22139.88</v>
      </c>
      <c r="J49" s="265">
        <v>29325</v>
      </c>
      <c r="K49" s="226">
        <f t="shared" si="29"/>
        <v>639508.65207461687</v>
      </c>
      <c r="L49" s="245">
        <f t="shared" si="24"/>
        <v>41857</v>
      </c>
      <c r="M49" s="243">
        <v>85591.366999999998</v>
      </c>
      <c r="N49" s="243">
        <v>0</v>
      </c>
      <c r="O49" s="243">
        <v>419564.14984265558</v>
      </c>
      <c r="P49" s="243">
        <v>0</v>
      </c>
      <c r="Q49" s="243">
        <v>96050</v>
      </c>
      <c r="R49" s="243">
        <v>6197.4538796816068</v>
      </c>
      <c r="S49" s="243">
        <v>3823.33904429315</v>
      </c>
      <c r="T49" s="243">
        <v>17112</v>
      </c>
      <c r="U49" s="243">
        <v>25040</v>
      </c>
      <c r="V49" s="261">
        <f t="shared" si="25"/>
        <v>653378.30976663041</v>
      </c>
      <c r="X49" s="245">
        <f t="shared" si="26"/>
        <v>41492</v>
      </c>
      <c r="Y49" s="246">
        <f t="shared" si="23"/>
        <v>1.7955619285762614E-2</v>
      </c>
      <c r="Z49" s="246" t="e">
        <f t="shared" si="23"/>
        <v>#DIV/0!</v>
      </c>
      <c r="AA49" s="246">
        <f t="shared" si="23"/>
        <v>-6.9199275580773434E-2</v>
      </c>
      <c r="AB49" s="246" t="e">
        <f t="shared" si="23"/>
        <v>#DIV/0!</v>
      </c>
      <c r="AC49" s="246">
        <f t="shared" si="27"/>
        <v>-3.1633323124491408E-4</v>
      </c>
      <c r="AD49" s="246">
        <f t="shared" si="27"/>
        <v>4.9985626479512879E-2</v>
      </c>
      <c r="AE49" s="246"/>
      <c r="AF49" s="246"/>
      <c r="AG49" s="247">
        <f t="shared" si="28"/>
        <v>-2.122760655609679E-2</v>
      </c>
    </row>
    <row r="50" spans="1:64">
      <c r="A50" s="241">
        <v>42253</v>
      </c>
      <c r="B50" s="265">
        <v>63560.309000000023</v>
      </c>
      <c r="C50" s="265">
        <v>0</v>
      </c>
      <c r="D50" s="265">
        <v>343139.74523460411</v>
      </c>
      <c r="E50" s="265">
        <v>0</v>
      </c>
      <c r="F50" s="265">
        <v>79625</v>
      </c>
      <c r="G50" s="265">
        <v>5873.1038321490651</v>
      </c>
      <c r="H50" s="265">
        <v>3961.0302713583897</v>
      </c>
      <c r="I50" s="265">
        <v>20172.212</v>
      </c>
      <c r="J50" s="265">
        <v>21365</v>
      </c>
      <c r="K50" s="226">
        <f t="shared" si="29"/>
        <v>537696.40033811156</v>
      </c>
      <c r="L50" s="245">
        <f t="shared" si="24"/>
        <v>41888</v>
      </c>
      <c r="M50" s="243">
        <v>67753.782000000007</v>
      </c>
      <c r="N50" s="243">
        <v>0</v>
      </c>
      <c r="O50" s="243">
        <v>345805.26331882627</v>
      </c>
      <c r="P50" s="243">
        <v>0</v>
      </c>
      <c r="Q50" s="243">
        <v>91130</v>
      </c>
      <c r="R50" s="243">
        <v>6805.4888168294692</v>
      </c>
      <c r="S50" s="243">
        <v>3785.5901196064347</v>
      </c>
      <c r="T50" s="243">
        <v>16560</v>
      </c>
      <c r="U50" s="243">
        <v>17885</v>
      </c>
      <c r="V50" s="261">
        <f t="shared" si="25"/>
        <v>549725.12425526208</v>
      </c>
      <c r="X50" s="245">
        <f t="shared" si="26"/>
        <v>41523</v>
      </c>
      <c r="Y50" s="246">
        <f t="shared" si="23"/>
        <v>-6.1892825407148244E-2</v>
      </c>
      <c r="Z50" s="246" t="e">
        <f t="shared" si="23"/>
        <v>#DIV/0!</v>
      </c>
      <c r="AA50" s="246">
        <f t="shared" si="23"/>
        <v>-7.7081478131366676E-3</v>
      </c>
      <c r="AB50" s="246" t="e">
        <f t="shared" si="23"/>
        <v>#DIV/0!</v>
      </c>
      <c r="AC50" s="246">
        <f t="shared" si="27"/>
        <v>-0.13700485149203168</v>
      </c>
      <c r="AD50" s="246">
        <f t="shared" si="27"/>
        <v>4.6344201619533676E-2</v>
      </c>
      <c r="AE50" s="246"/>
      <c r="AF50" s="246"/>
      <c r="AG50" s="247">
        <f t="shared" si="28"/>
        <v>-2.1881342850113339E-2</v>
      </c>
    </row>
    <row r="51" spans="1:64">
      <c r="A51" s="241">
        <v>42284</v>
      </c>
      <c r="B51" s="265">
        <v>76277.917999999991</v>
      </c>
      <c r="C51" s="265">
        <v>0</v>
      </c>
      <c r="D51" s="265">
        <v>342108.00647605077</v>
      </c>
      <c r="E51" s="265">
        <v>0</v>
      </c>
      <c r="F51" s="265">
        <v>89775</v>
      </c>
      <c r="G51" s="265">
        <v>5258.0817677860405</v>
      </c>
      <c r="H51" s="265">
        <v>2100.2086067896485</v>
      </c>
      <c r="I51" s="265">
        <v>16044.305</v>
      </c>
      <c r="J51" s="265">
        <v>14880</v>
      </c>
      <c r="K51" s="226">
        <f t="shared" si="29"/>
        <v>546443.51985062647</v>
      </c>
      <c r="L51" s="245">
        <f t="shared" si="24"/>
        <v>41919</v>
      </c>
      <c r="M51" s="243">
        <v>64604.751999999979</v>
      </c>
      <c r="N51" s="243">
        <v>0</v>
      </c>
      <c r="O51" s="243">
        <v>322850.12587526627</v>
      </c>
      <c r="P51" s="243">
        <v>0</v>
      </c>
      <c r="Q51" s="243">
        <v>87075</v>
      </c>
      <c r="R51" s="243">
        <v>5315.6805058958926</v>
      </c>
      <c r="S51" s="243">
        <v>3217.6337529843995</v>
      </c>
      <c r="T51" s="243">
        <v>16583</v>
      </c>
      <c r="U51" s="243">
        <v>14590</v>
      </c>
      <c r="V51" s="261">
        <f t="shared" si="25"/>
        <v>514236.19213414652</v>
      </c>
      <c r="X51" s="245">
        <f t="shared" si="26"/>
        <v>41554</v>
      </c>
      <c r="Y51" s="246">
        <f t="shared" si="23"/>
        <v>0.18068587276675885</v>
      </c>
      <c r="Z51" s="246" t="e">
        <f t="shared" si="23"/>
        <v>#DIV/0!</v>
      </c>
      <c r="AA51" s="246">
        <f t="shared" si="23"/>
        <v>5.9649599171055723E-2</v>
      </c>
      <c r="AB51" s="246" t="e">
        <f t="shared" si="23"/>
        <v>#DIV/0!</v>
      </c>
      <c r="AC51" s="246">
        <f t="shared" si="27"/>
        <v>-1.0835628297443112E-2</v>
      </c>
      <c r="AD51" s="246">
        <f t="shared" si="27"/>
        <v>-0.3472816460724667</v>
      </c>
      <c r="AE51" s="246"/>
      <c r="AF51" s="246"/>
      <c r="AG51" s="247">
        <f t="shared" si="28"/>
        <v>6.2631390417728916E-2</v>
      </c>
    </row>
    <row r="52" spans="1:64">
      <c r="A52" s="241">
        <v>42315</v>
      </c>
      <c r="B52" s="265">
        <v>61865.206000000006</v>
      </c>
      <c r="C52" s="265">
        <v>0</v>
      </c>
      <c r="D52" s="265">
        <v>344196.51250407309</v>
      </c>
      <c r="E52" s="265">
        <v>0</v>
      </c>
      <c r="F52" s="265">
        <v>86925</v>
      </c>
      <c r="G52" s="265">
        <v>5194.9087056549597</v>
      </c>
      <c r="H52" s="265">
        <v>2828.3385813702926</v>
      </c>
      <c r="I52" s="265">
        <v>15609.645</v>
      </c>
      <c r="J52" s="265">
        <v>10785</v>
      </c>
      <c r="K52" s="226">
        <f t="shared" si="29"/>
        <v>527404.61079109833</v>
      </c>
      <c r="L52" s="245">
        <f t="shared" si="24"/>
        <v>41950</v>
      </c>
      <c r="M52" s="243">
        <v>51616.438000000002</v>
      </c>
      <c r="N52" s="243">
        <v>0</v>
      </c>
      <c r="O52" s="243">
        <v>236602.42883206101</v>
      </c>
      <c r="P52" s="243">
        <v>0</v>
      </c>
      <c r="Q52" s="243">
        <v>44020</v>
      </c>
      <c r="R52" s="243">
        <v>3679.2900633923027</v>
      </c>
      <c r="S52" s="243">
        <v>2410.9527906332833</v>
      </c>
      <c r="T52" s="243">
        <v>16077</v>
      </c>
      <c r="U52" s="243">
        <v>7205</v>
      </c>
      <c r="V52" s="261">
        <f t="shared" si="25"/>
        <v>361611.10968608665</v>
      </c>
      <c r="X52" s="245">
        <f t="shared" si="26"/>
        <v>41585</v>
      </c>
      <c r="Y52" s="246">
        <f t="shared" si="23"/>
        <v>0.19855628162485761</v>
      </c>
      <c r="Z52" s="246" t="e">
        <f t="shared" si="23"/>
        <v>#DIV/0!</v>
      </c>
      <c r="AA52" s="246">
        <f t="shared" si="23"/>
        <v>0.45474631939802168</v>
      </c>
      <c r="AB52" s="246" t="e">
        <f t="shared" si="23"/>
        <v>#DIV/0!</v>
      </c>
      <c r="AC52" s="246">
        <f t="shared" si="27"/>
        <v>0.41193236090368424</v>
      </c>
      <c r="AD52" s="246">
        <f t="shared" si="27"/>
        <v>0.17312068173154693</v>
      </c>
      <c r="AE52" s="246"/>
      <c r="AF52" s="246"/>
      <c r="AG52" s="247">
        <f t="shared" si="28"/>
        <v>0.45848564013682114</v>
      </c>
    </row>
    <row r="53" spans="1:64">
      <c r="A53" s="241">
        <v>42346</v>
      </c>
      <c r="B53" s="265">
        <v>63976.488000000005</v>
      </c>
      <c r="C53" s="265">
        <v>0</v>
      </c>
      <c r="D53" s="265">
        <v>313989.42448680341</v>
      </c>
      <c r="E53" s="265">
        <v>0</v>
      </c>
      <c r="F53" s="265">
        <v>73750</v>
      </c>
      <c r="G53" s="265">
        <v>4646.9185594983974</v>
      </c>
      <c r="H53" s="265">
        <v>2836.0391753632684</v>
      </c>
      <c r="I53" s="265">
        <v>12572.003000000001</v>
      </c>
      <c r="J53" s="265">
        <v>14625</v>
      </c>
      <c r="K53" s="226">
        <f>SUM(B53:J53)</f>
        <v>486395.8732216651</v>
      </c>
      <c r="L53" s="245">
        <f t="shared" si="24"/>
        <v>41981</v>
      </c>
      <c r="M53" s="243">
        <v>52485.398999999998</v>
      </c>
      <c r="N53" s="243">
        <v>0</v>
      </c>
      <c r="O53" s="243">
        <v>316442.92193695024</v>
      </c>
      <c r="P53" s="243">
        <v>0</v>
      </c>
      <c r="Q53" s="243">
        <v>13575</v>
      </c>
      <c r="R53" s="243">
        <v>4424.6242624126007</v>
      </c>
      <c r="S53" s="243">
        <v>2923.9965997321551</v>
      </c>
      <c r="T53" s="243">
        <v>15847</v>
      </c>
      <c r="U53" s="243">
        <v>14375</v>
      </c>
      <c r="V53" s="261">
        <f t="shared" si="25"/>
        <v>420073.94179909496</v>
      </c>
      <c r="X53" s="245">
        <f t="shared" si="26"/>
        <v>41616</v>
      </c>
      <c r="Y53" s="246"/>
      <c r="Z53" s="246"/>
      <c r="AA53" s="246"/>
      <c r="AB53" s="246"/>
      <c r="AC53" s="246"/>
      <c r="AD53" s="246"/>
      <c r="AE53" s="246"/>
      <c r="AF53" s="246"/>
      <c r="AG53" s="247">
        <f t="shared" si="28"/>
        <v>0.1578815651799923</v>
      </c>
    </row>
    <row r="54" spans="1:64">
      <c r="A54" s="241"/>
      <c r="B54" s="248"/>
      <c r="C54" s="248"/>
      <c r="D54" s="248"/>
      <c r="E54" s="248"/>
      <c r="F54" s="248"/>
      <c r="G54" s="248"/>
      <c r="H54" s="248"/>
      <c r="I54" s="248"/>
      <c r="J54" s="248"/>
      <c r="K54" s="249"/>
      <c r="L54" s="245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X54" s="245"/>
      <c r="Y54" s="246"/>
      <c r="Z54" s="246"/>
      <c r="AA54" s="246"/>
      <c r="AB54" s="246"/>
      <c r="AC54" s="246"/>
      <c r="AD54" s="246"/>
      <c r="AE54" s="246"/>
      <c r="AF54" s="246"/>
      <c r="AG54" s="247"/>
    </row>
    <row r="55" spans="1:64">
      <c r="A55" s="241" t="s">
        <v>285</v>
      </c>
      <c r="B55" s="248">
        <f t="shared" ref="B55:K55" si="30">SUM(B42:B53)</f>
        <v>832549.23299999989</v>
      </c>
      <c r="C55" s="248">
        <f t="shared" si="30"/>
        <v>0</v>
      </c>
      <c r="D55" s="248">
        <f t="shared" si="30"/>
        <v>4062944.2506018844</v>
      </c>
      <c r="E55" s="248">
        <f t="shared" si="30"/>
        <v>0</v>
      </c>
      <c r="F55" s="248">
        <f t="shared" si="30"/>
        <v>1200740</v>
      </c>
      <c r="G55" s="248">
        <f t="shared" si="30"/>
        <v>64892.166587272077</v>
      </c>
      <c r="H55" s="248">
        <f t="shared" si="30"/>
        <v>38188.468936274279</v>
      </c>
      <c r="I55" s="248">
        <f t="shared" si="30"/>
        <v>206878.06099999999</v>
      </c>
      <c r="J55" s="248">
        <f t="shared" si="30"/>
        <v>239390</v>
      </c>
      <c r="K55" s="250">
        <f t="shared" si="30"/>
        <v>6645582.1801254312</v>
      </c>
      <c r="L55" s="245" t="s">
        <v>234</v>
      </c>
      <c r="M55" s="248">
        <f>SUM(M42:M44)</f>
        <v>169076.16040296122</v>
      </c>
      <c r="N55" s="248">
        <f t="shared" ref="N55:V55" si="31">SUM(N42:N44)</f>
        <v>0</v>
      </c>
      <c r="O55" s="248">
        <f t="shared" si="31"/>
        <v>828167.18328360654</v>
      </c>
      <c r="P55" s="248">
        <f t="shared" si="31"/>
        <v>-414.11599999999999</v>
      </c>
      <c r="Q55" s="248">
        <f t="shared" si="31"/>
        <v>0</v>
      </c>
      <c r="R55" s="248">
        <f t="shared" si="31"/>
        <v>13278.419659319414</v>
      </c>
      <c r="S55" s="248">
        <f t="shared" si="31"/>
        <v>9116.1688060364686</v>
      </c>
      <c r="T55" s="248">
        <f t="shared" si="31"/>
        <v>48990</v>
      </c>
      <c r="U55" s="248">
        <f t="shared" si="31"/>
        <v>33503</v>
      </c>
      <c r="V55" s="250">
        <f t="shared" si="31"/>
        <v>1101716.8161519235</v>
      </c>
      <c r="X55" s="245" t="s">
        <v>235</v>
      </c>
      <c r="Y55" s="246">
        <f>(B55/M55)-1</f>
        <v>3.9241077572129353</v>
      </c>
      <c r="Z55" s="246" t="e">
        <f>(C55/N55)-1</f>
        <v>#DIV/0!</v>
      </c>
      <c r="AA55" s="246">
        <f>(D55/O55)-1</f>
        <v>3.9059469302957464</v>
      </c>
      <c r="AB55" s="246">
        <f>(E55/P55)-1</f>
        <v>-1</v>
      </c>
      <c r="AC55" s="246">
        <f t="shared" ref="AC55:AD55" si="32">(G55/R55)-1</f>
        <v>3.8870398927125134</v>
      </c>
      <c r="AD55" s="246">
        <f t="shared" si="32"/>
        <v>3.1890919034964513</v>
      </c>
      <c r="AE55" s="246"/>
      <c r="AF55" s="246"/>
      <c r="AG55" s="247">
        <f>(K55/V55)-1</f>
        <v>5.03202391276655</v>
      </c>
    </row>
    <row r="56" spans="1:64">
      <c r="B56" s="266"/>
      <c r="C56" s="266"/>
      <c r="D56" s="266"/>
      <c r="E56" s="266"/>
      <c r="F56" s="267"/>
      <c r="G56" s="266"/>
      <c r="H56" s="267"/>
      <c r="I56" s="267"/>
      <c r="J56" s="267"/>
      <c r="K56" s="263"/>
      <c r="M56" s="266"/>
      <c r="N56" s="266"/>
      <c r="O56" s="266"/>
      <c r="P56" s="266"/>
      <c r="Q56" s="266"/>
      <c r="R56" s="267"/>
      <c r="S56" s="266"/>
      <c r="T56" s="267"/>
      <c r="U56" s="267"/>
      <c r="V56" s="267"/>
      <c r="Y56" s="255"/>
      <c r="Z56" s="255"/>
      <c r="AA56" s="255"/>
      <c r="AB56" s="255"/>
      <c r="AC56" s="255"/>
      <c r="AD56" s="255"/>
      <c r="AE56" s="255"/>
      <c r="AF56" s="255"/>
      <c r="AG56" s="256"/>
    </row>
    <row r="57" spans="1:64" ht="15.6">
      <c r="B57" s="268"/>
      <c r="C57" s="252"/>
      <c r="D57" s="268"/>
      <c r="E57" s="268"/>
      <c r="F57" s="268"/>
      <c r="G57" s="268"/>
      <c r="H57" s="268"/>
      <c r="I57" s="268"/>
      <c r="J57" s="268"/>
      <c r="K57" s="263"/>
      <c r="M57" s="268"/>
      <c r="N57" s="252"/>
      <c r="O57" s="268"/>
      <c r="P57" s="268"/>
      <c r="Q57" s="268"/>
      <c r="R57" s="268"/>
      <c r="S57" s="268"/>
      <c r="T57" s="268"/>
      <c r="U57" s="268"/>
      <c r="V57" s="268"/>
      <c r="Y57" s="255"/>
      <c r="Z57" s="255"/>
      <c r="AA57" s="255"/>
      <c r="AB57" s="255"/>
      <c r="AC57" s="255"/>
      <c r="AD57" s="255"/>
      <c r="AE57" s="255"/>
      <c r="AF57" s="255"/>
      <c r="AG57" s="256"/>
    </row>
    <row r="58" spans="1:64" ht="27">
      <c r="A58" s="231" t="s">
        <v>240</v>
      </c>
      <c r="B58" s="227" t="str">
        <f>+B40</f>
        <v>2014 Actual</v>
      </c>
      <c r="C58" s="228"/>
      <c r="D58" s="229"/>
      <c r="E58" s="228"/>
      <c r="F58" s="229"/>
      <c r="G58" s="228"/>
      <c r="H58" s="229"/>
      <c r="I58" s="228"/>
      <c r="J58" s="228"/>
      <c r="K58" s="230"/>
      <c r="L58" s="231" t="s">
        <v>219</v>
      </c>
      <c r="M58" s="227"/>
      <c r="N58" s="228"/>
      <c r="O58" s="229"/>
      <c r="P58" s="228"/>
      <c r="Q58" s="228"/>
      <c r="R58" s="229"/>
      <c r="S58" s="228"/>
      <c r="T58" s="229"/>
      <c r="U58" s="228"/>
      <c r="V58" s="228"/>
      <c r="X58" s="234" t="s">
        <v>241</v>
      </c>
    </row>
    <row r="59" spans="1:64" s="237" customFormat="1" ht="40.200000000000003" thickBot="1">
      <c r="A59" s="235" t="s">
        <v>223</v>
      </c>
      <c r="B59" s="236" t="s">
        <v>224</v>
      </c>
      <c r="C59" s="237" t="s">
        <v>225</v>
      </c>
      <c r="D59" s="236" t="s">
        <v>226</v>
      </c>
      <c r="E59" s="237" t="s">
        <v>227</v>
      </c>
      <c r="F59" s="236" t="s">
        <v>228</v>
      </c>
      <c r="G59" s="237" t="s">
        <v>229</v>
      </c>
      <c r="H59" s="236" t="s">
        <v>230</v>
      </c>
      <c r="I59" s="236" t="s">
        <v>231</v>
      </c>
      <c r="J59" s="236" t="s">
        <v>232</v>
      </c>
      <c r="K59" s="238" t="s">
        <v>233</v>
      </c>
      <c r="L59" s="235" t="s">
        <v>223</v>
      </c>
      <c r="M59" s="236" t="s">
        <v>224</v>
      </c>
      <c r="N59" s="237" t="s">
        <v>225</v>
      </c>
      <c r="O59" s="237" t="s">
        <v>226</v>
      </c>
      <c r="P59" s="237" t="s">
        <v>227</v>
      </c>
      <c r="Q59" s="236" t="s">
        <v>228</v>
      </c>
      <c r="R59" s="236" t="s">
        <v>229</v>
      </c>
      <c r="S59" s="237" t="s">
        <v>230</v>
      </c>
      <c r="T59" s="236" t="str">
        <f>+T41</f>
        <v>Winter Park</v>
      </c>
      <c r="U59" s="236" t="str">
        <f>+U41</f>
        <v>New Smyrna Beach</v>
      </c>
      <c r="V59" s="236" t="s">
        <v>233</v>
      </c>
      <c r="W59" s="236"/>
      <c r="X59" s="236" t="s">
        <v>223</v>
      </c>
      <c r="Y59" s="238" t="s">
        <v>224</v>
      </c>
      <c r="Z59" s="237" t="s">
        <v>225</v>
      </c>
      <c r="AA59" s="235" t="s">
        <v>226</v>
      </c>
      <c r="AB59" s="237" t="s">
        <v>227</v>
      </c>
      <c r="AC59" s="237" t="s">
        <v>229</v>
      </c>
      <c r="AD59" s="237" t="s">
        <v>230</v>
      </c>
      <c r="AE59" s="260" t="str">
        <f>+AE41</f>
        <v>Winter Park</v>
      </c>
      <c r="AF59" s="260" t="str">
        <f>+AF41</f>
        <v>New Smyrna Beach</v>
      </c>
      <c r="AG59" s="237" t="s">
        <v>233</v>
      </c>
      <c r="AH59" s="236"/>
      <c r="AJ59" s="236"/>
      <c r="AK59" s="236"/>
      <c r="AL59" s="236"/>
      <c r="AM59" s="238"/>
      <c r="AO59" s="235"/>
      <c r="AP59" s="236"/>
      <c r="AS59" s="236"/>
      <c r="AT59" s="236"/>
      <c r="AV59" s="236"/>
      <c r="AW59" s="236"/>
      <c r="AX59" s="236"/>
      <c r="AY59" s="238"/>
      <c r="AZ59" s="239"/>
      <c r="BA59" s="238"/>
      <c r="BB59" s="235"/>
      <c r="BC59" s="236"/>
      <c r="BF59" s="236"/>
      <c r="BG59" s="236"/>
      <c r="BI59" s="236"/>
      <c r="BJ59" s="236"/>
      <c r="BK59" s="236"/>
      <c r="BL59" s="240"/>
    </row>
    <row r="60" spans="1:64">
      <c r="A60" s="241">
        <v>42005</v>
      </c>
      <c r="B60" s="248">
        <v>113</v>
      </c>
      <c r="C60" s="248">
        <v>0</v>
      </c>
      <c r="D60" s="248">
        <v>586</v>
      </c>
      <c r="E60" s="248">
        <v>0</v>
      </c>
      <c r="F60" s="248">
        <v>0</v>
      </c>
      <c r="G60" s="248">
        <v>8</v>
      </c>
      <c r="H60" s="248">
        <v>3</v>
      </c>
      <c r="I60" s="248">
        <v>26</v>
      </c>
      <c r="J60" s="248">
        <v>35</v>
      </c>
      <c r="K60" s="261">
        <f t="shared" ref="K60:K70" si="33">SUM(B60:J60)</f>
        <v>771</v>
      </c>
      <c r="L60" s="245">
        <v>41640</v>
      </c>
      <c r="M60" s="243">
        <v>88</v>
      </c>
      <c r="N60" s="243">
        <v>0</v>
      </c>
      <c r="O60" s="243">
        <v>760</v>
      </c>
      <c r="P60" s="243">
        <v>0</v>
      </c>
      <c r="Q60" s="243">
        <v>0</v>
      </c>
      <c r="R60" s="243">
        <v>12</v>
      </c>
      <c r="S60" s="243">
        <v>7</v>
      </c>
      <c r="T60" s="243">
        <v>23</v>
      </c>
      <c r="U60" s="243">
        <v>0</v>
      </c>
      <c r="V60" s="269">
        <f>SUM(M60:U60)</f>
        <v>890</v>
      </c>
      <c r="X60" s="245">
        <v>41275</v>
      </c>
      <c r="Y60" s="246">
        <f t="shared" ref="Y60:AB70" si="34">(B60/M60)-1</f>
        <v>0.28409090909090917</v>
      </c>
      <c r="Z60" s="246" t="e">
        <f t="shared" si="34"/>
        <v>#DIV/0!</v>
      </c>
      <c r="AA60" s="246">
        <f t="shared" si="34"/>
        <v>-0.22894736842105268</v>
      </c>
      <c r="AB60" s="246" t="e">
        <f t="shared" si="34"/>
        <v>#DIV/0!</v>
      </c>
      <c r="AC60" s="246">
        <f>(G60/R60)-1</f>
        <v>-0.33333333333333337</v>
      </c>
      <c r="AD60" s="246">
        <f>(H60/S60)-1</f>
        <v>-0.5714285714285714</v>
      </c>
      <c r="AE60" s="246"/>
      <c r="AF60" s="246"/>
      <c r="AG60" s="247">
        <f>(K60/V60)-1</f>
        <v>-0.13370786516853927</v>
      </c>
    </row>
    <row r="61" spans="1:64">
      <c r="A61" s="241">
        <v>42036</v>
      </c>
      <c r="B61" s="248">
        <v>116</v>
      </c>
      <c r="C61" s="248">
        <v>0</v>
      </c>
      <c r="D61" s="248">
        <v>907</v>
      </c>
      <c r="E61" s="248">
        <v>0</v>
      </c>
      <c r="F61" s="248">
        <v>200</v>
      </c>
      <c r="G61" s="248">
        <v>13</v>
      </c>
      <c r="H61" s="248">
        <v>8</v>
      </c>
      <c r="I61" s="248">
        <v>45</v>
      </c>
      <c r="J61" s="248">
        <v>40</v>
      </c>
      <c r="K61" s="261">
        <f t="shared" si="33"/>
        <v>1329</v>
      </c>
      <c r="L61" s="245">
        <f t="shared" ref="L61:L71" si="35">L60+31</f>
        <v>41671</v>
      </c>
      <c r="M61" s="243">
        <v>111</v>
      </c>
      <c r="N61" s="243">
        <v>0</v>
      </c>
      <c r="O61" s="243">
        <v>556</v>
      </c>
      <c r="P61" s="243">
        <v>0</v>
      </c>
      <c r="Q61" s="243">
        <v>0</v>
      </c>
      <c r="R61" s="243">
        <v>9</v>
      </c>
      <c r="S61" s="243">
        <v>4</v>
      </c>
      <c r="T61" s="243">
        <v>22</v>
      </c>
      <c r="U61" s="243">
        <v>30</v>
      </c>
      <c r="V61" s="269">
        <f t="shared" ref="V61:V71" si="36">SUM(M61:U61)</f>
        <v>732</v>
      </c>
      <c r="X61" s="245">
        <f t="shared" ref="X61:X71" si="37">X60+31</f>
        <v>41306</v>
      </c>
      <c r="Y61" s="246">
        <f t="shared" si="34"/>
        <v>4.5045045045045029E-2</v>
      </c>
      <c r="Z61" s="246" t="e">
        <f t="shared" si="34"/>
        <v>#DIV/0!</v>
      </c>
      <c r="AA61" s="246">
        <f t="shared" si="34"/>
        <v>0.63129496402877705</v>
      </c>
      <c r="AB61" s="246" t="e">
        <f t="shared" si="34"/>
        <v>#DIV/0!</v>
      </c>
      <c r="AC61" s="246">
        <f t="shared" ref="AC61:AD73" si="38">(G61/R61)-1</f>
        <v>0.44444444444444442</v>
      </c>
      <c r="AD61" s="246">
        <f t="shared" si="38"/>
        <v>1</v>
      </c>
      <c r="AE61" s="246"/>
      <c r="AF61" s="246"/>
      <c r="AG61" s="247">
        <f t="shared" ref="AG61:AG71" si="39">(K61/V61)-1</f>
        <v>0.81557377049180335</v>
      </c>
    </row>
    <row r="62" spans="1:64">
      <c r="A62" s="241">
        <v>42067</v>
      </c>
      <c r="B62" s="248">
        <v>120</v>
      </c>
      <c r="C62" s="248">
        <v>0</v>
      </c>
      <c r="D62" s="248">
        <v>688</v>
      </c>
      <c r="E62" s="248">
        <v>0</v>
      </c>
      <c r="F62" s="248">
        <v>200</v>
      </c>
      <c r="G62" s="248">
        <v>10</v>
      </c>
      <c r="H62" s="248">
        <v>4</v>
      </c>
      <c r="I62" s="248">
        <v>36</v>
      </c>
      <c r="J62" s="248">
        <v>20</v>
      </c>
      <c r="K62" s="261">
        <f t="shared" si="33"/>
        <v>1078</v>
      </c>
      <c r="L62" s="245">
        <f t="shared" si="35"/>
        <v>41702</v>
      </c>
      <c r="M62" s="243">
        <v>123</v>
      </c>
      <c r="N62" s="243">
        <v>0</v>
      </c>
      <c r="O62" s="243">
        <v>586</v>
      </c>
      <c r="P62" s="243">
        <v>0</v>
      </c>
      <c r="Q62" s="243">
        <v>0</v>
      </c>
      <c r="R62" s="243">
        <v>8</v>
      </c>
      <c r="S62" s="243">
        <v>3</v>
      </c>
      <c r="T62" s="243">
        <v>23</v>
      </c>
      <c r="U62" s="243">
        <v>20</v>
      </c>
      <c r="V62" s="269">
        <f t="shared" si="36"/>
        <v>763</v>
      </c>
      <c r="X62" s="245">
        <f t="shared" si="37"/>
        <v>41337</v>
      </c>
      <c r="Y62" s="246">
        <f t="shared" si="34"/>
        <v>-2.4390243902439046E-2</v>
      </c>
      <c r="Z62" s="246" t="e">
        <f t="shared" si="34"/>
        <v>#DIV/0!</v>
      </c>
      <c r="AA62" s="246">
        <f t="shared" si="34"/>
        <v>0.1740614334470989</v>
      </c>
      <c r="AB62" s="246" t="e">
        <f t="shared" si="34"/>
        <v>#DIV/0!</v>
      </c>
      <c r="AC62" s="246">
        <f t="shared" si="38"/>
        <v>0.25</v>
      </c>
      <c r="AD62" s="246">
        <f t="shared" si="38"/>
        <v>0.33333333333333326</v>
      </c>
      <c r="AE62" s="246"/>
      <c r="AF62" s="246"/>
      <c r="AG62" s="247">
        <f t="shared" si="39"/>
        <v>0.41284403669724767</v>
      </c>
    </row>
    <row r="63" spans="1:64">
      <c r="A63" s="241">
        <v>42098</v>
      </c>
      <c r="B63" s="248">
        <v>151</v>
      </c>
      <c r="C63" s="248">
        <v>0</v>
      </c>
      <c r="D63" s="248">
        <v>787</v>
      </c>
      <c r="E63" s="248">
        <v>0</v>
      </c>
      <c r="F63" s="248">
        <v>200</v>
      </c>
      <c r="G63" s="248">
        <v>11</v>
      </c>
      <c r="H63" s="248">
        <v>5</v>
      </c>
      <c r="I63" s="248">
        <v>45</v>
      </c>
      <c r="J63" s="248">
        <v>20</v>
      </c>
      <c r="K63" s="261">
        <f t="shared" si="33"/>
        <v>1219</v>
      </c>
      <c r="L63" s="245">
        <f t="shared" si="35"/>
        <v>41733</v>
      </c>
      <c r="M63" s="243">
        <v>129</v>
      </c>
      <c r="N63" s="243">
        <v>0</v>
      </c>
      <c r="O63" s="243">
        <v>711</v>
      </c>
      <c r="P63" s="243">
        <v>0</v>
      </c>
      <c r="Q63" s="243">
        <v>0</v>
      </c>
      <c r="R63" s="243">
        <v>12</v>
      </c>
      <c r="S63" s="243">
        <v>7</v>
      </c>
      <c r="T63" s="243">
        <v>23</v>
      </c>
      <c r="U63" s="243">
        <v>10</v>
      </c>
      <c r="V63" s="269">
        <f t="shared" si="36"/>
        <v>892</v>
      </c>
      <c r="X63" s="245">
        <f t="shared" si="37"/>
        <v>41368</v>
      </c>
      <c r="Y63" s="246">
        <f t="shared" si="34"/>
        <v>0.17054263565891481</v>
      </c>
      <c r="Z63" s="246" t="e">
        <f t="shared" si="34"/>
        <v>#DIV/0!</v>
      </c>
      <c r="AA63" s="246">
        <f t="shared" si="34"/>
        <v>0.10689170182841079</v>
      </c>
      <c r="AB63" s="246" t="e">
        <f t="shared" si="34"/>
        <v>#DIV/0!</v>
      </c>
      <c r="AC63" s="246">
        <f t="shared" si="38"/>
        <v>-8.333333333333337E-2</v>
      </c>
      <c r="AD63" s="246">
        <f t="shared" si="38"/>
        <v>-0.2857142857142857</v>
      </c>
      <c r="AE63" s="246"/>
      <c r="AF63" s="246"/>
      <c r="AG63" s="247">
        <f t="shared" si="39"/>
        <v>0.36659192825112097</v>
      </c>
    </row>
    <row r="64" spans="1:64">
      <c r="A64" s="241">
        <v>42129</v>
      </c>
      <c r="B64" s="248">
        <v>138</v>
      </c>
      <c r="C64" s="248">
        <v>0</v>
      </c>
      <c r="D64" s="248">
        <v>761</v>
      </c>
      <c r="E64" s="248">
        <v>0</v>
      </c>
      <c r="F64" s="248">
        <v>200</v>
      </c>
      <c r="G64" s="248">
        <v>12</v>
      </c>
      <c r="H64" s="248">
        <v>7</v>
      </c>
      <c r="I64" s="248">
        <v>54</v>
      </c>
      <c r="J64" s="248">
        <v>25</v>
      </c>
      <c r="K64" s="261">
        <f t="shared" si="33"/>
        <v>1197</v>
      </c>
      <c r="L64" s="245">
        <f t="shared" si="35"/>
        <v>41764</v>
      </c>
      <c r="M64" s="243">
        <v>123</v>
      </c>
      <c r="N64" s="243">
        <v>0</v>
      </c>
      <c r="O64" s="243">
        <v>728</v>
      </c>
      <c r="P64" s="243">
        <v>0</v>
      </c>
      <c r="Q64" s="243">
        <v>0</v>
      </c>
      <c r="R64" s="243">
        <v>13</v>
      </c>
      <c r="S64" s="243">
        <v>7</v>
      </c>
      <c r="T64" s="243">
        <v>23</v>
      </c>
      <c r="U64" s="243">
        <v>30</v>
      </c>
      <c r="V64" s="269">
        <f t="shared" si="36"/>
        <v>924</v>
      </c>
      <c r="X64" s="245">
        <f t="shared" si="37"/>
        <v>41399</v>
      </c>
      <c r="Y64" s="246">
        <f t="shared" si="34"/>
        <v>0.12195121951219523</v>
      </c>
      <c r="Z64" s="246" t="e">
        <f t="shared" si="34"/>
        <v>#DIV/0!</v>
      </c>
      <c r="AA64" s="246">
        <f t="shared" si="34"/>
        <v>4.5329670329670391E-2</v>
      </c>
      <c r="AB64" s="246" t="e">
        <f t="shared" si="34"/>
        <v>#DIV/0!</v>
      </c>
      <c r="AC64" s="246">
        <f t="shared" si="38"/>
        <v>-7.6923076923076872E-2</v>
      </c>
      <c r="AD64" s="246">
        <f t="shared" si="38"/>
        <v>0</v>
      </c>
      <c r="AE64" s="246"/>
      <c r="AF64" s="246"/>
      <c r="AG64" s="247">
        <f t="shared" si="39"/>
        <v>0.29545454545454541</v>
      </c>
    </row>
    <row r="65" spans="1:33">
      <c r="A65" s="241">
        <v>42160</v>
      </c>
      <c r="B65" s="248">
        <v>146</v>
      </c>
      <c r="C65" s="248">
        <v>0</v>
      </c>
      <c r="D65" s="248">
        <v>836</v>
      </c>
      <c r="E65" s="248">
        <v>0</v>
      </c>
      <c r="F65" s="248">
        <v>200</v>
      </c>
      <c r="G65" s="248">
        <v>13</v>
      </c>
      <c r="H65" s="248">
        <v>8</v>
      </c>
      <c r="I65" s="248">
        <v>60</v>
      </c>
      <c r="J65" s="248">
        <v>40</v>
      </c>
      <c r="K65" s="261">
        <f t="shared" si="33"/>
        <v>1303</v>
      </c>
      <c r="L65" s="245">
        <f t="shared" si="35"/>
        <v>41795</v>
      </c>
      <c r="M65" s="243">
        <v>140</v>
      </c>
      <c r="N65" s="243">
        <v>0</v>
      </c>
      <c r="O65" s="243">
        <v>781</v>
      </c>
      <c r="P65" s="243">
        <v>0</v>
      </c>
      <c r="Q65" s="243">
        <v>200</v>
      </c>
      <c r="R65" s="243">
        <v>13</v>
      </c>
      <c r="S65" s="243">
        <v>7</v>
      </c>
      <c r="T65" s="243">
        <v>22</v>
      </c>
      <c r="U65" s="243">
        <v>35</v>
      </c>
      <c r="V65" s="269">
        <f t="shared" si="36"/>
        <v>1198</v>
      </c>
      <c r="X65" s="245">
        <f t="shared" si="37"/>
        <v>41430</v>
      </c>
      <c r="Y65" s="246">
        <f t="shared" si="34"/>
        <v>4.2857142857142927E-2</v>
      </c>
      <c r="Z65" s="246" t="e">
        <f t="shared" si="34"/>
        <v>#DIV/0!</v>
      </c>
      <c r="AA65" s="246">
        <f t="shared" si="34"/>
        <v>7.0422535211267512E-2</v>
      </c>
      <c r="AB65" s="246" t="e">
        <f t="shared" si="34"/>
        <v>#DIV/0!</v>
      </c>
      <c r="AC65" s="246">
        <f t="shared" si="38"/>
        <v>0</v>
      </c>
      <c r="AD65" s="246">
        <f t="shared" si="38"/>
        <v>0.14285714285714279</v>
      </c>
      <c r="AE65" s="246"/>
      <c r="AF65" s="246"/>
      <c r="AG65" s="247">
        <f t="shared" si="39"/>
        <v>8.7646076794657857E-2</v>
      </c>
    </row>
    <row r="66" spans="1:33">
      <c r="A66" s="241">
        <v>42191</v>
      </c>
      <c r="B66" s="248">
        <v>141</v>
      </c>
      <c r="C66" s="248">
        <v>0</v>
      </c>
      <c r="D66" s="248">
        <v>746</v>
      </c>
      <c r="E66" s="248">
        <v>0</v>
      </c>
      <c r="F66" s="248">
        <v>200</v>
      </c>
      <c r="G66" s="248">
        <v>12</v>
      </c>
      <c r="H66" s="248">
        <v>7</v>
      </c>
      <c r="I66" s="248">
        <v>55</v>
      </c>
      <c r="J66" s="248">
        <v>45</v>
      </c>
      <c r="K66" s="261">
        <f t="shared" si="33"/>
        <v>1206</v>
      </c>
      <c r="L66" s="245">
        <f t="shared" si="35"/>
        <v>41826</v>
      </c>
      <c r="M66" s="243">
        <v>151</v>
      </c>
      <c r="N66" s="243">
        <v>0</v>
      </c>
      <c r="O66" s="243">
        <v>725</v>
      </c>
      <c r="P66" s="243">
        <v>0</v>
      </c>
      <c r="Q66" s="243">
        <v>200</v>
      </c>
      <c r="R66" s="243">
        <v>13</v>
      </c>
      <c r="S66" s="243">
        <v>8</v>
      </c>
      <c r="T66" s="243">
        <v>23</v>
      </c>
      <c r="U66" s="243">
        <v>35</v>
      </c>
      <c r="V66" s="269">
        <f t="shared" si="36"/>
        <v>1155</v>
      </c>
      <c r="X66" s="245">
        <f t="shared" si="37"/>
        <v>41461</v>
      </c>
      <c r="Y66" s="246">
        <f t="shared" si="34"/>
        <v>-6.6225165562913912E-2</v>
      </c>
      <c r="Z66" s="246" t="e">
        <f t="shared" si="34"/>
        <v>#DIV/0!</v>
      </c>
      <c r="AA66" s="246">
        <f t="shared" si="34"/>
        <v>2.8965517241379413E-2</v>
      </c>
      <c r="AB66" s="246" t="e">
        <f t="shared" si="34"/>
        <v>#DIV/0!</v>
      </c>
      <c r="AC66" s="246">
        <f t="shared" si="38"/>
        <v>-7.6923076923076872E-2</v>
      </c>
      <c r="AD66" s="246">
        <f t="shared" si="38"/>
        <v>-0.125</v>
      </c>
      <c r="AE66" s="246"/>
      <c r="AF66" s="246"/>
      <c r="AG66" s="247">
        <f t="shared" si="39"/>
        <v>4.415584415584406E-2</v>
      </c>
    </row>
    <row r="67" spans="1:33">
      <c r="A67" s="241">
        <v>42222</v>
      </c>
      <c r="B67" s="248">
        <v>154</v>
      </c>
      <c r="C67" s="248">
        <v>0</v>
      </c>
      <c r="D67" s="248">
        <v>811</v>
      </c>
      <c r="E67" s="248">
        <v>0</v>
      </c>
      <c r="F67" s="248">
        <v>0</v>
      </c>
      <c r="G67" s="248">
        <v>12</v>
      </c>
      <c r="H67" s="248">
        <v>8</v>
      </c>
      <c r="I67" s="248">
        <v>46</v>
      </c>
      <c r="J67" s="248">
        <v>45</v>
      </c>
      <c r="K67" s="261">
        <f t="shared" si="33"/>
        <v>1076</v>
      </c>
      <c r="L67" s="245">
        <f t="shared" si="35"/>
        <v>41857</v>
      </c>
      <c r="M67" s="243">
        <v>146</v>
      </c>
      <c r="N67" s="243">
        <v>0</v>
      </c>
      <c r="O67" s="243">
        <v>829</v>
      </c>
      <c r="P67" s="243">
        <v>0</v>
      </c>
      <c r="Q67" s="243">
        <v>200</v>
      </c>
      <c r="R67" s="243">
        <v>14</v>
      </c>
      <c r="S67" s="243">
        <v>8</v>
      </c>
      <c r="T67" s="243">
        <v>23</v>
      </c>
      <c r="U67" s="243">
        <v>35</v>
      </c>
      <c r="V67" s="269">
        <f t="shared" si="36"/>
        <v>1255</v>
      </c>
      <c r="X67" s="245">
        <f t="shared" si="37"/>
        <v>41492</v>
      </c>
      <c r="Y67" s="246">
        <f t="shared" si="34"/>
        <v>5.4794520547945202E-2</v>
      </c>
      <c r="Z67" s="246" t="e">
        <f t="shared" si="34"/>
        <v>#DIV/0!</v>
      </c>
      <c r="AA67" s="246">
        <f t="shared" si="34"/>
        <v>-2.1712907117008462E-2</v>
      </c>
      <c r="AB67" s="246" t="e">
        <f t="shared" si="34"/>
        <v>#DIV/0!</v>
      </c>
      <c r="AC67" s="246">
        <f t="shared" si="38"/>
        <v>-0.1428571428571429</v>
      </c>
      <c r="AD67" s="246">
        <f t="shared" si="38"/>
        <v>0</v>
      </c>
      <c r="AE67" s="246"/>
      <c r="AF67" s="246"/>
      <c r="AG67" s="247">
        <f t="shared" si="39"/>
        <v>-0.14262948207171311</v>
      </c>
    </row>
    <row r="68" spans="1:33">
      <c r="A68" s="241">
        <v>42253</v>
      </c>
      <c r="B68" s="248">
        <v>97</v>
      </c>
      <c r="C68" s="248">
        <v>0</v>
      </c>
      <c r="D68" s="248">
        <v>818</v>
      </c>
      <c r="E68" s="248">
        <v>0</v>
      </c>
      <c r="F68" s="248">
        <v>0</v>
      </c>
      <c r="G68" s="248">
        <v>13</v>
      </c>
      <c r="H68" s="248">
        <v>7</v>
      </c>
      <c r="I68" s="248">
        <v>55</v>
      </c>
      <c r="J68" s="248">
        <v>30</v>
      </c>
      <c r="K68" s="261">
        <f t="shared" si="33"/>
        <v>1020</v>
      </c>
      <c r="L68" s="245">
        <f t="shared" si="35"/>
        <v>41888</v>
      </c>
      <c r="M68" s="243">
        <v>128</v>
      </c>
      <c r="N68" s="243">
        <v>0</v>
      </c>
      <c r="O68" s="243">
        <v>701</v>
      </c>
      <c r="P68" s="243">
        <v>0</v>
      </c>
      <c r="Q68" s="243">
        <v>200</v>
      </c>
      <c r="R68" s="243">
        <v>12</v>
      </c>
      <c r="S68" s="243">
        <v>7</v>
      </c>
      <c r="T68" s="243">
        <v>23</v>
      </c>
      <c r="U68" s="243">
        <v>25</v>
      </c>
      <c r="V68" s="269">
        <f t="shared" si="36"/>
        <v>1096</v>
      </c>
      <c r="X68" s="245">
        <f t="shared" si="37"/>
        <v>41523</v>
      </c>
      <c r="Y68" s="246">
        <f t="shared" si="34"/>
        <v>-0.2421875</v>
      </c>
      <c r="Z68" s="246" t="e">
        <f t="shared" si="34"/>
        <v>#DIV/0!</v>
      </c>
      <c r="AA68" s="246">
        <f t="shared" si="34"/>
        <v>0.16690442225392288</v>
      </c>
      <c r="AB68" s="246" t="e">
        <f t="shared" si="34"/>
        <v>#DIV/0!</v>
      </c>
      <c r="AC68" s="246">
        <f t="shared" si="38"/>
        <v>8.3333333333333259E-2</v>
      </c>
      <c r="AD68" s="246">
        <f t="shared" si="38"/>
        <v>0</v>
      </c>
      <c r="AE68" s="246"/>
      <c r="AF68" s="246"/>
      <c r="AG68" s="247">
        <f t="shared" si="39"/>
        <v>-6.9343065693430628E-2</v>
      </c>
    </row>
    <row r="69" spans="1:33">
      <c r="A69" s="241">
        <v>42284</v>
      </c>
      <c r="B69" s="248">
        <v>131</v>
      </c>
      <c r="C69" s="248">
        <v>0</v>
      </c>
      <c r="D69" s="248">
        <v>737</v>
      </c>
      <c r="E69" s="248">
        <v>0</v>
      </c>
      <c r="F69" s="248">
        <v>0</v>
      </c>
      <c r="G69" s="248">
        <v>12</v>
      </c>
      <c r="H69" s="248">
        <v>5</v>
      </c>
      <c r="I69" s="248">
        <v>47</v>
      </c>
      <c r="J69" s="248">
        <v>20</v>
      </c>
      <c r="K69" s="261">
        <f t="shared" si="33"/>
        <v>952</v>
      </c>
      <c r="L69" s="245">
        <f t="shared" si="35"/>
        <v>41919</v>
      </c>
      <c r="M69" s="243">
        <v>137</v>
      </c>
      <c r="N69" s="243">
        <v>0</v>
      </c>
      <c r="O69" s="243">
        <v>760</v>
      </c>
      <c r="P69" s="243">
        <v>0</v>
      </c>
      <c r="Q69" s="243">
        <v>200</v>
      </c>
      <c r="R69" s="243">
        <v>12</v>
      </c>
      <c r="S69" s="243">
        <v>7</v>
      </c>
      <c r="T69" s="243">
        <v>22</v>
      </c>
      <c r="U69" s="243">
        <v>20</v>
      </c>
      <c r="V69" s="269">
        <f t="shared" si="36"/>
        <v>1158</v>
      </c>
      <c r="X69" s="245">
        <f t="shared" si="37"/>
        <v>41554</v>
      </c>
      <c r="Y69" s="246">
        <f t="shared" si="34"/>
        <v>-4.3795620437956151E-2</v>
      </c>
      <c r="Z69" s="246" t="e">
        <f t="shared" si="34"/>
        <v>#DIV/0!</v>
      </c>
      <c r="AA69" s="246">
        <f t="shared" si="34"/>
        <v>-3.0263157894736881E-2</v>
      </c>
      <c r="AB69" s="246" t="e">
        <f t="shared" si="34"/>
        <v>#DIV/0!</v>
      </c>
      <c r="AC69" s="246">
        <f t="shared" si="38"/>
        <v>0</v>
      </c>
      <c r="AD69" s="246">
        <f t="shared" si="38"/>
        <v>-0.2857142857142857</v>
      </c>
      <c r="AE69" s="246"/>
      <c r="AF69" s="246"/>
      <c r="AG69" s="247">
        <f t="shared" si="39"/>
        <v>-0.17789291882556135</v>
      </c>
    </row>
    <row r="70" spans="1:33">
      <c r="A70" s="241">
        <v>42315</v>
      </c>
      <c r="B70" s="248">
        <v>131</v>
      </c>
      <c r="C70" s="248">
        <v>0</v>
      </c>
      <c r="D70" s="248">
        <v>738</v>
      </c>
      <c r="E70" s="248">
        <v>0</v>
      </c>
      <c r="F70" s="248">
        <v>0</v>
      </c>
      <c r="G70" s="248">
        <v>11</v>
      </c>
      <c r="H70" s="248">
        <v>6</v>
      </c>
      <c r="I70" s="248">
        <v>44</v>
      </c>
      <c r="J70" s="248">
        <v>15</v>
      </c>
      <c r="K70" s="261">
        <f t="shared" si="33"/>
        <v>945</v>
      </c>
      <c r="L70" s="245">
        <f t="shared" si="35"/>
        <v>41950</v>
      </c>
      <c r="M70" s="243">
        <v>115</v>
      </c>
      <c r="N70" s="243">
        <v>0</v>
      </c>
      <c r="O70" s="243">
        <v>598</v>
      </c>
      <c r="P70" s="243">
        <v>0</v>
      </c>
      <c r="Q70" s="243">
        <v>0</v>
      </c>
      <c r="R70" s="243">
        <v>9</v>
      </c>
      <c r="S70" s="243">
        <v>4</v>
      </c>
      <c r="T70" s="243">
        <v>23</v>
      </c>
      <c r="U70" s="243">
        <v>20</v>
      </c>
      <c r="V70" s="269">
        <f t="shared" si="36"/>
        <v>769</v>
      </c>
      <c r="X70" s="245">
        <f t="shared" si="37"/>
        <v>41585</v>
      </c>
      <c r="Y70" s="246">
        <f t="shared" si="34"/>
        <v>0.13913043478260878</v>
      </c>
      <c r="Z70" s="246" t="e">
        <f t="shared" si="34"/>
        <v>#DIV/0!</v>
      </c>
      <c r="AA70" s="246">
        <f t="shared" si="34"/>
        <v>0.23411371237458201</v>
      </c>
      <c r="AB70" s="246" t="e">
        <f t="shared" si="34"/>
        <v>#DIV/0!</v>
      </c>
      <c r="AC70" s="246">
        <f t="shared" si="38"/>
        <v>0.22222222222222232</v>
      </c>
      <c r="AD70" s="246">
        <f t="shared" si="38"/>
        <v>0.5</v>
      </c>
      <c r="AE70" s="246"/>
      <c r="AF70" s="246"/>
      <c r="AG70" s="247">
        <f t="shared" si="39"/>
        <v>0.22886866059817956</v>
      </c>
    </row>
    <row r="71" spans="1:33">
      <c r="A71" s="241">
        <v>42346</v>
      </c>
      <c r="B71" s="248"/>
      <c r="C71" s="248"/>
      <c r="D71" s="248"/>
      <c r="E71" s="248"/>
      <c r="F71" s="248"/>
      <c r="G71" s="248"/>
      <c r="H71" s="248"/>
      <c r="I71" s="248"/>
      <c r="J71" s="248"/>
      <c r="K71" s="261"/>
      <c r="L71" s="245">
        <f t="shared" si="35"/>
        <v>41981</v>
      </c>
      <c r="M71" s="243">
        <v>105</v>
      </c>
      <c r="N71" s="243">
        <v>0</v>
      </c>
      <c r="O71" s="243">
        <v>557</v>
      </c>
      <c r="P71" s="243">
        <v>0</v>
      </c>
      <c r="Q71" s="243">
        <v>0</v>
      </c>
      <c r="R71" s="243">
        <v>9</v>
      </c>
      <c r="S71" s="243">
        <v>4</v>
      </c>
      <c r="T71" s="243">
        <v>23</v>
      </c>
      <c r="U71" s="243">
        <v>20</v>
      </c>
      <c r="V71" s="269">
        <f t="shared" si="36"/>
        <v>718</v>
      </c>
      <c r="X71" s="245">
        <f t="shared" si="37"/>
        <v>41616</v>
      </c>
      <c r="Y71" s="246"/>
      <c r="Z71" s="246"/>
      <c r="AA71" s="246"/>
      <c r="AB71" s="246"/>
      <c r="AC71" s="246">
        <f t="shared" si="38"/>
        <v>-1</v>
      </c>
      <c r="AD71" s="246">
        <f t="shared" si="38"/>
        <v>-1</v>
      </c>
      <c r="AE71" s="246"/>
      <c r="AF71" s="246"/>
      <c r="AG71" s="247">
        <f t="shared" si="39"/>
        <v>-1</v>
      </c>
    </row>
    <row r="72" spans="1:33">
      <c r="A72" s="241"/>
      <c r="B72" s="248"/>
      <c r="C72" s="248"/>
      <c r="D72" s="248"/>
      <c r="E72" s="248"/>
      <c r="F72" s="248"/>
      <c r="G72" s="248"/>
      <c r="H72" s="248"/>
      <c r="I72" s="248"/>
      <c r="J72" s="248"/>
      <c r="K72" s="249"/>
      <c r="L72" s="245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X72" s="245"/>
      <c r="Y72" s="246"/>
      <c r="Z72" s="246"/>
      <c r="AA72" s="246"/>
      <c r="AB72" s="246"/>
      <c r="AC72" s="246"/>
      <c r="AD72" s="246"/>
      <c r="AE72" s="246"/>
      <c r="AF72" s="246"/>
      <c r="AG72" s="247"/>
    </row>
    <row r="73" spans="1:33">
      <c r="A73" s="241" t="s">
        <v>286</v>
      </c>
      <c r="B73" s="250">
        <f>AVERAGE(B60:B61)</f>
        <v>114.5</v>
      </c>
      <c r="C73" s="250">
        <f t="shared" ref="C73:J73" si="40">AVERAGE(C60:C61)</f>
        <v>0</v>
      </c>
      <c r="D73" s="250">
        <f t="shared" si="40"/>
        <v>746.5</v>
      </c>
      <c r="E73" s="250">
        <f t="shared" si="40"/>
        <v>0</v>
      </c>
      <c r="F73" s="250">
        <f t="shared" si="40"/>
        <v>100</v>
      </c>
      <c r="G73" s="250">
        <f t="shared" si="40"/>
        <v>10.5</v>
      </c>
      <c r="H73" s="250">
        <f t="shared" si="40"/>
        <v>5.5</v>
      </c>
      <c r="I73" s="250">
        <f t="shared" si="40"/>
        <v>35.5</v>
      </c>
      <c r="J73" s="250">
        <f t="shared" si="40"/>
        <v>37.5</v>
      </c>
      <c r="K73" s="250">
        <f>AVERAGE(K60:K61)</f>
        <v>1050</v>
      </c>
      <c r="L73" s="245" t="s">
        <v>234</v>
      </c>
      <c r="M73" s="250">
        <f>AVERAGE(M60:M61)</f>
        <v>99.5</v>
      </c>
      <c r="N73" s="250">
        <f t="shared" ref="N73:U73" si="41">AVERAGE(N60:N61)</f>
        <v>0</v>
      </c>
      <c r="O73" s="250">
        <f t="shared" si="41"/>
        <v>658</v>
      </c>
      <c r="P73" s="250">
        <f t="shared" si="41"/>
        <v>0</v>
      </c>
      <c r="Q73" s="250">
        <f t="shared" si="41"/>
        <v>0</v>
      </c>
      <c r="R73" s="250">
        <f t="shared" si="41"/>
        <v>10.5</v>
      </c>
      <c r="S73" s="250">
        <f t="shared" si="41"/>
        <v>5.5</v>
      </c>
      <c r="T73" s="250">
        <f t="shared" si="41"/>
        <v>22.5</v>
      </c>
      <c r="U73" s="250">
        <f t="shared" si="41"/>
        <v>15</v>
      </c>
      <c r="V73" s="250">
        <f>AVERAGE(V60:V61)</f>
        <v>811</v>
      </c>
      <c r="X73" s="245" t="s">
        <v>235</v>
      </c>
      <c r="Y73" s="246">
        <f>(B73/M73)-1</f>
        <v>0.15075376884422109</v>
      </c>
      <c r="Z73" s="246" t="e">
        <f>(C73/N73)-1</f>
        <v>#DIV/0!</v>
      </c>
      <c r="AA73" s="246">
        <f>(D73/O73)-1</f>
        <v>0.13449848024316102</v>
      </c>
      <c r="AB73" s="246" t="e">
        <f>(E73/P73)-1</f>
        <v>#DIV/0!</v>
      </c>
      <c r="AC73" s="246">
        <f t="shared" si="38"/>
        <v>0</v>
      </c>
      <c r="AD73" s="246">
        <f t="shared" si="38"/>
        <v>0</v>
      </c>
      <c r="AE73" s="246"/>
      <c r="AF73" s="246"/>
      <c r="AG73" s="247">
        <f>(K73/V73)-1</f>
        <v>0.29469790382244132</v>
      </c>
    </row>
    <row r="74" spans="1:33">
      <c r="A74" s="245"/>
      <c r="B74" s="248"/>
      <c r="C74" s="248"/>
      <c r="D74" s="248"/>
      <c r="E74" s="248"/>
      <c r="F74" s="248"/>
      <c r="G74" s="248"/>
      <c r="H74" s="248"/>
      <c r="I74" s="248"/>
      <c r="J74" s="248"/>
      <c r="K74" s="270"/>
      <c r="L74" s="245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X74" s="245"/>
      <c r="Y74" s="246"/>
      <c r="Z74" s="246"/>
      <c r="AA74" s="246"/>
      <c r="AB74" s="246"/>
      <c r="AC74" s="246"/>
      <c r="AD74" s="246"/>
      <c r="AE74" s="246"/>
      <c r="AF74" s="246"/>
      <c r="AG74" s="247"/>
    </row>
    <row r="75" spans="1:33">
      <c r="K75" s="263"/>
      <c r="AG75" s="251"/>
    </row>
    <row r="76" spans="1:33" ht="409.6">
      <c r="A76" s="271" t="s">
        <v>242</v>
      </c>
      <c r="B76" s="272" t="s">
        <v>243</v>
      </c>
      <c r="C76" s="273"/>
      <c r="D76" s="273"/>
      <c r="E76" s="273"/>
      <c r="F76" s="273"/>
      <c r="G76" s="273"/>
      <c r="H76" s="273"/>
      <c r="I76" s="273"/>
      <c r="J76" s="273"/>
      <c r="K76" s="274"/>
      <c r="L76" s="271"/>
      <c r="M76" s="272"/>
      <c r="N76" s="273"/>
      <c r="O76" s="273"/>
      <c r="P76" s="273"/>
      <c r="Q76" s="273"/>
      <c r="R76" s="273"/>
      <c r="S76" s="273"/>
      <c r="T76" s="273"/>
      <c r="U76" s="273"/>
      <c r="V76" s="273"/>
      <c r="AG76" s="251"/>
    </row>
    <row r="77" spans="1:33" ht="409.6">
      <c r="A77" s="275"/>
      <c r="B77" s="272" t="s">
        <v>244</v>
      </c>
      <c r="C77" s="273"/>
      <c r="D77" s="273"/>
      <c r="E77" s="273"/>
      <c r="F77" s="273"/>
      <c r="G77" s="273"/>
      <c r="H77" s="273"/>
      <c r="I77" s="273"/>
      <c r="J77" s="273"/>
      <c r="K77" s="276"/>
      <c r="L77" s="275"/>
      <c r="M77" s="272"/>
      <c r="N77" s="273"/>
      <c r="O77" s="273"/>
      <c r="P77" s="273"/>
      <c r="Q77" s="273"/>
      <c r="R77" s="273"/>
      <c r="S77" s="273"/>
      <c r="T77" s="273"/>
      <c r="U77" s="273"/>
      <c r="V77" s="273"/>
    </row>
    <row r="78" spans="1:33">
      <c r="A78" s="275"/>
      <c r="B78" s="277" t="s">
        <v>245</v>
      </c>
      <c r="C78" s="273"/>
      <c r="D78" s="273"/>
      <c r="E78" s="273"/>
      <c r="F78" s="273"/>
      <c r="G78" s="273"/>
      <c r="H78" s="273"/>
      <c r="I78" s="273"/>
      <c r="J78" s="273"/>
      <c r="K78" s="276"/>
      <c r="L78" s="275"/>
      <c r="M78" s="277"/>
      <c r="N78" s="273"/>
      <c r="O78" s="273"/>
      <c r="P78" s="273"/>
      <c r="Q78" s="273"/>
      <c r="R78" s="273"/>
      <c r="S78" s="273"/>
      <c r="T78" s="273"/>
      <c r="U78" s="273"/>
      <c r="V78" s="273"/>
    </row>
    <row r="81" spans="2:13">
      <c r="B81" s="278"/>
      <c r="M81" s="278"/>
    </row>
  </sheetData>
  <printOptions horizontalCentered="1" gridLines="1"/>
  <pageMargins left="0.25" right="0.25" top="1" bottom="1" header="0.5" footer="0.5"/>
  <pageSetup scale="83" orientation="landscape" r:id="rId1"/>
  <headerFooter alignWithMargins="0"/>
  <rowBreaks count="1" manualBreakCount="1">
    <brk id="38" max="16383" man="1"/>
  </rowBreaks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L33"/>
  <sheetViews>
    <sheetView workbookViewId="0">
      <selection activeCell="A2" sqref="A1:A2"/>
    </sheetView>
  </sheetViews>
  <sheetFormatPr defaultColWidth="9.109375" defaultRowHeight="13.2"/>
  <cols>
    <col min="1" max="1" width="10.109375" style="233" bestFit="1" customWidth="1"/>
    <col min="2" max="2" width="10" style="233" bestFit="1" customWidth="1"/>
    <col min="3" max="3" width="13.6640625" style="233" bestFit="1" customWidth="1"/>
    <col min="4" max="4" width="9.109375" style="233"/>
    <col min="5" max="6" width="14" style="233" customWidth="1"/>
    <col min="7" max="16384" width="9.109375" style="233"/>
  </cols>
  <sheetData>
    <row r="1" spans="1:12" ht="14.4">
      <c r="A1" s="453" t="s">
        <v>294</v>
      </c>
    </row>
    <row r="2" spans="1:12" ht="14.4">
      <c r="A2" s="453" t="s">
        <v>290</v>
      </c>
    </row>
    <row r="4" spans="1:12">
      <c r="B4" s="280"/>
      <c r="C4" s="280"/>
      <c r="D4" s="280"/>
      <c r="E4" s="419" t="s">
        <v>246</v>
      </c>
      <c r="F4" s="419"/>
      <c r="K4" s="419" t="s">
        <v>246</v>
      </c>
      <c r="L4" s="419"/>
    </row>
    <row r="5" spans="1:12">
      <c r="B5" s="280" t="s">
        <v>90</v>
      </c>
      <c r="C5" s="280" t="s">
        <v>247</v>
      </c>
      <c r="D5" s="280"/>
      <c r="E5" s="280" t="s">
        <v>37</v>
      </c>
      <c r="F5" s="280" t="s">
        <v>248</v>
      </c>
      <c r="I5" s="281" t="s">
        <v>249</v>
      </c>
      <c r="K5" s="280" t="s">
        <v>37</v>
      </c>
      <c r="L5" s="280" t="s">
        <v>248</v>
      </c>
    </row>
    <row r="6" spans="1:12">
      <c r="B6" s="280"/>
      <c r="C6" s="280"/>
      <c r="D6" s="280"/>
      <c r="E6" s="280"/>
      <c r="F6" s="280"/>
      <c r="I6" s="281"/>
      <c r="K6" s="280"/>
      <c r="L6" s="280"/>
    </row>
    <row r="7" spans="1:12" ht="14.4">
      <c r="A7" s="282">
        <v>42005</v>
      </c>
      <c r="B7" s="248">
        <v>3039</v>
      </c>
      <c r="C7" s="283">
        <v>4327.2699126166917</v>
      </c>
      <c r="E7" s="255">
        <f>B7/C7-1</f>
        <v>-0.29770962723184458</v>
      </c>
      <c r="F7" s="284">
        <f>B7-C7</f>
        <v>-1288.2699126166917</v>
      </c>
      <c r="I7" s="284"/>
      <c r="K7" s="29" t="e">
        <f>B7/I7-1</f>
        <v>#DIV/0!</v>
      </c>
    </row>
    <row r="8" spans="1:12" ht="14.4">
      <c r="A8" s="282">
        <v>42036</v>
      </c>
      <c r="B8" s="248">
        <v>3955</v>
      </c>
      <c r="C8" s="283">
        <v>4363.7692386110093</v>
      </c>
      <c r="E8" s="255">
        <f t="shared" ref="E8:E18" si="0">B8/C8-1</f>
        <v>-9.3673431444124877E-2</v>
      </c>
      <c r="F8" s="284">
        <f t="shared" ref="F8:F18" si="1">B8-C8</f>
        <v>-408.76923861100931</v>
      </c>
      <c r="I8" s="284"/>
      <c r="K8" s="29" t="e">
        <f t="shared" ref="K8:K18" si="2">B8/I8-1</f>
        <v>#DIV/0!</v>
      </c>
    </row>
    <row r="9" spans="1:12" ht="14.4">
      <c r="A9" s="282">
        <v>42064</v>
      </c>
      <c r="B9" s="248">
        <v>4739</v>
      </c>
      <c r="C9" s="283">
        <v>4493.5864958063503</v>
      </c>
      <c r="E9" s="255">
        <f t="shared" si="0"/>
        <v>5.461417164723148E-2</v>
      </c>
      <c r="F9" s="284">
        <f t="shared" si="1"/>
        <v>245.41350419364971</v>
      </c>
      <c r="I9" s="284"/>
      <c r="K9" s="29" t="e">
        <f t="shared" si="2"/>
        <v>#DIV/0!</v>
      </c>
    </row>
    <row r="10" spans="1:12" ht="14.4">
      <c r="A10" s="282">
        <v>42095</v>
      </c>
      <c r="B10" s="248">
        <v>3568</v>
      </c>
      <c r="C10" s="283">
        <v>4631.3619690735486</v>
      </c>
      <c r="E10" s="255">
        <f t="shared" si="0"/>
        <v>-0.22960027226856161</v>
      </c>
      <c r="F10" s="284">
        <f t="shared" si="1"/>
        <v>-1063.3619690735486</v>
      </c>
      <c r="I10" s="284"/>
      <c r="K10" s="29" t="e">
        <f t="shared" si="2"/>
        <v>#DIV/0!</v>
      </c>
    </row>
    <row r="11" spans="1:12" ht="14.4">
      <c r="A11" s="282">
        <v>42125</v>
      </c>
      <c r="B11" s="248">
        <v>3941</v>
      </c>
      <c r="C11" s="283">
        <v>4680.0356960763884</v>
      </c>
      <c r="E11" s="255">
        <f t="shared" si="0"/>
        <v>-0.15791240581689903</v>
      </c>
      <c r="F11" s="284">
        <f t="shared" si="1"/>
        <v>-739.03569607638838</v>
      </c>
      <c r="I11" s="284"/>
      <c r="K11" s="29" t="e">
        <f t="shared" si="2"/>
        <v>#DIV/0!</v>
      </c>
    </row>
    <row r="12" spans="1:12" s="288" customFormat="1" ht="14.4">
      <c r="A12" s="285">
        <v>42156</v>
      </c>
      <c r="B12" s="286">
        <v>4977</v>
      </c>
      <c r="C12" s="287">
        <v>4781.575251719134</v>
      </c>
      <c r="E12" s="289">
        <f t="shared" si="0"/>
        <v>4.087036969889879E-2</v>
      </c>
      <c r="F12" s="290">
        <f t="shared" si="1"/>
        <v>195.42474828086597</v>
      </c>
      <c r="I12" s="290"/>
      <c r="K12" s="291" t="e">
        <f t="shared" si="2"/>
        <v>#DIV/0!</v>
      </c>
    </row>
    <row r="13" spans="1:12" ht="14.4">
      <c r="A13" s="282">
        <v>42186</v>
      </c>
      <c r="B13" s="248">
        <v>3749</v>
      </c>
      <c r="C13" s="283">
        <v>4906.122264175905</v>
      </c>
      <c r="E13" s="255">
        <f t="shared" si="0"/>
        <v>-0.23585271664041374</v>
      </c>
      <c r="F13" s="284">
        <f t="shared" si="1"/>
        <v>-1157.122264175905</v>
      </c>
      <c r="I13" s="284"/>
      <c r="K13" s="29" t="e">
        <f t="shared" si="2"/>
        <v>#DIV/0!</v>
      </c>
    </row>
    <row r="14" spans="1:12" ht="14.4">
      <c r="A14" s="282">
        <v>42217</v>
      </c>
      <c r="B14" s="248">
        <v>3929</v>
      </c>
      <c r="C14" s="292">
        <v>5032.5012353032444</v>
      </c>
      <c r="E14" s="255">
        <f t="shared" si="0"/>
        <v>-0.2192749059974648</v>
      </c>
      <c r="F14" s="284">
        <f t="shared" si="1"/>
        <v>-1103.5012353032444</v>
      </c>
      <c r="I14" s="284"/>
      <c r="K14" s="29" t="e">
        <f t="shared" si="2"/>
        <v>#DIV/0!</v>
      </c>
    </row>
    <row r="15" spans="1:12" ht="14.4">
      <c r="A15" s="282">
        <v>42248</v>
      </c>
      <c r="B15" s="248">
        <v>4063</v>
      </c>
      <c r="C15" s="283">
        <v>5167.8842164544139</v>
      </c>
      <c r="E15" s="255">
        <f t="shared" si="0"/>
        <v>-0.21379817545766411</v>
      </c>
      <c r="F15" s="284">
        <f t="shared" si="1"/>
        <v>-1104.8842164544139</v>
      </c>
      <c r="I15" s="284"/>
      <c r="K15" s="29" t="e">
        <f t="shared" si="2"/>
        <v>#DIV/0!</v>
      </c>
    </row>
    <row r="16" spans="1:12" ht="14.4">
      <c r="A16" s="282">
        <v>42278</v>
      </c>
      <c r="B16" s="248">
        <v>4890</v>
      </c>
      <c r="C16" s="283">
        <v>5320.610500969864</v>
      </c>
      <c r="E16" s="255">
        <f t="shared" si="0"/>
        <v>-8.0932536010927758E-2</v>
      </c>
      <c r="F16" s="284">
        <f t="shared" si="1"/>
        <v>-430.61050096986401</v>
      </c>
      <c r="I16" s="284"/>
      <c r="K16" s="29" t="e">
        <f t="shared" si="2"/>
        <v>#DIV/0!</v>
      </c>
    </row>
    <row r="17" spans="1:11" ht="14.4">
      <c r="A17" s="282">
        <v>42309</v>
      </c>
      <c r="B17" s="248">
        <v>4121</v>
      </c>
      <c r="C17" s="283">
        <v>5437.1144734959917</v>
      </c>
      <c r="E17" s="255">
        <f t="shared" si="0"/>
        <v>-0.24206120358723071</v>
      </c>
      <c r="F17" s="284">
        <f t="shared" si="1"/>
        <v>-1316.1144734959917</v>
      </c>
      <c r="I17" s="284"/>
      <c r="K17" s="29" t="e">
        <f t="shared" si="2"/>
        <v>#DIV/0!</v>
      </c>
    </row>
    <row r="18" spans="1:11" ht="14.4">
      <c r="A18" s="282">
        <v>42339</v>
      </c>
      <c r="B18" s="248">
        <v>3461</v>
      </c>
      <c r="C18" s="283">
        <v>5570.1778942681703</v>
      </c>
      <c r="E18" s="255">
        <f t="shared" si="0"/>
        <v>-0.37865539203668142</v>
      </c>
      <c r="F18" s="284">
        <f t="shared" si="1"/>
        <v>-2109.1778942681703</v>
      </c>
      <c r="I18" s="284"/>
      <c r="K18" s="29" t="e">
        <f t="shared" si="2"/>
        <v>#DIV/0!</v>
      </c>
    </row>
    <row r="19" spans="1:11">
      <c r="E19" s="255"/>
      <c r="F19" s="284"/>
    </row>
    <row r="20" spans="1:11">
      <c r="E20" s="255"/>
      <c r="F20" s="284"/>
    </row>
    <row r="21" spans="1:11">
      <c r="A21" s="251" t="s">
        <v>250</v>
      </c>
      <c r="B21" s="250">
        <f>SUMIF(B7:B18,"&gt;0",B7:B18)</f>
        <v>48432</v>
      </c>
      <c r="C21" s="250">
        <f>SUMIF(B7:B18,"&gt;0",C7:C18)</f>
        <v>58712.009148570716</v>
      </c>
      <c r="D21" s="251"/>
      <c r="E21" s="256">
        <f>B21/C21-1</f>
        <v>-0.17509210292151911</v>
      </c>
      <c r="F21" s="293">
        <f>B21-C21</f>
        <v>-10280.009148570716</v>
      </c>
    </row>
    <row r="31" spans="1:11">
      <c r="B31" s="284">
        <f>SUM(B7:B17)</f>
        <v>44971</v>
      </c>
    </row>
    <row r="32" spans="1:11">
      <c r="B32" s="284">
        <f>C18</f>
        <v>5570.1778942681703</v>
      </c>
    </row>
    <row r="33" spans="2:2">
      <c r="B33" s="294">
        <f>SUM(B31:B32)</f>
        <v>50541.17789426817</v>
      </c>
    </row>
  </sheetData>
  <mergeCells count="2">
    <mergeCell ref="E4:F4"/>
    <mergeCell ref="K4:L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I15"/>
  <sheetViews>
    <sheetView workbookViewId="0">
      <selection activeCell="C1" sqref="C1:C2"/>
    </sheetView>
  </sheetViews>
  <sheetFormatPr defaultRowHeight="14.4"/>
  <cols>
    <col min="3" max="3" width="17.6640625" customWidth="1"/>
    <col min="7" max="7" width="19.109375" customWidth="1"/>
  </cols>
  <sheetData>
    <row r="1" spans="3:9" s="418" customFormat="1">
      <c r="C1" s="453" t="s">
        <v>295</v>
      </c>
    </row>
    <row r="2" spans="3:9" s="418" customFormat="1">
      <c r="C2" s="453" t="s">
        <v>290</v>
      </c>
    </row>
    <row r="4" spans="3:9">
      <c r="C4" t="s">
        <v>22</v>
      </c>
      <c r="G4" t="s">
        <v>23</v>
      </c>
    </row>
    <row r="6" spans="3:9">
      <c r="D6" t="s">
        <v>20</v>
      </c>
      <c r="E6" t="s">
        <v>21</v>
      </c>
      <c r="H6" t="s">
        <v>20</v>
      </c>
      <c r="I6" t="s">
        <v>21</v>
      </c>
    </row>
    <row r="7" spans="3:9">
      <c r="C7" t="s">
        <v>19</v>
      </c>
      <c r="D7" s="4">
        <v>0.99399999999999999</v>
      </c>
      <c r="E7" s="4">
        <v>7.7000000000000002E-3</v>
      </c>
      <c r="G7" t="s">
        <v>24</v>
      </c>
      <c r="H7" s="319">
        <v>0.99983144316638406</v>
      </c>
      <c r="I7" s="4">
        <v>8.9999999999999998E-4</v>
      </c>
    </row>
    <row r="8" spans="3:9">
      <c r="C8" t="s">
        <v>11</v>
      </c>
      <c r="D8" s="4">
        <v>0.93700000000000006</v>
      </c>
      <c r="E8" s="4">
        <v>3.5400000000000001E-2</v>
      </c>
      <c r="G8" t="s">
        <v>11</v>
      </c>
      <c r="H8" s="320">
        <v>1</v>
      </c>
      <c r="I8" s="4">
        <v>6.9999999999999999E-4</v>
      </c>
    </row>
    <row r="9" spans="3:9">
      <c r="C9" t="s">
        <v>25</v>
      </c>
      <c r="D9" s="4">
        <v>0.94799999999999995</v>
      </c>
      <c r="E9" s="4">
        <v>2.23E-2</v>
      </c>
      <c r="G9" t="s">
        <v>25</v>
      </c>
      <c r="H9" s="320">
        <v>1</v>
      </c>
      <c r="I9" s="4">
        <v>8.9999999999999998E-4</v>
      </c>
    </row>
    <row r="10" spans="3:9">
      <c r="C10" t="s">
        <v>26</v>
      </c>
      <c r="D10" s="4">
        <v>0.84899999999999998</v>
      </c>
      <c r="E10" s="4">
        <v>2.47E-2</v>
      </c>
      <c r="G10" t="s">
        <v>26</v>
      </c>
      <c r="H10" s="320">
        <v>0.999</v>
      </c>
      <c r="I10" s="4">
        <v>1.8E-3</v>
      </c>
    </row>
    <row r="11" spans="3:9">
      <c r="C11" t="s">
        <v>27</v>
      </c>
      <c r="D11" s="4">
        <v>0.83099999999999996</v>
      </c>
      <c r="E11" s="4">
        <v>2.2599999999999999E-2</v>
      </c>
      <c r="G11" t="s">
        <v>27</v>
      </c>
      <c r="H11" s="320">
        <v>0.99299999999999999</v>
      </c>
      <c r="I11" s="4">
        <v>3.8999999999999998E-3</v>
      </c>
    </row>
    <row r="13" spans="3:9">
      <c r="D13" t="str">
        <f>D6</f>
        <v>R2</v>
      </c>
      <c r="F13" t="s">
        <v>280</v>
      </c>
    </row>
    <row r="14" spans="3:9">
      <c r="C14" t="s">
        <v>279</v>
      </c>
      <c r="D14" s="2">
        <v>0.983194976213973</v>
      </c>
      <c r="F14" s="409">
        <v>1.9796843684785816</v>
      </c>
    </row>
    <row r="15" spans="3:9">
      <c r="C15" t="s">
        <v>281</v>
      </c>
      <c r="D15" s="2">
        <v>0.95643666658174442</v>
      </c>
      <c r="F15">
        <v>2.0232473799053348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C1:I25"/>
  <sheetViews>
    <sheetView workbookViewId="0">
      <selection activeCell="C1" sqref="C1:C2"/>
    </sheetView>
  </sheetViews>
  <sheetFormatPr defaultRowHeight="14.4"/>
  <cols>
    <col min="3" max="3" width="10.77734375" customWidth="1"/>
    <col min="4" max="4" width="21.5546875" customWidth="1"/>
    <col min="5" max="5" width="12.6640625" customWidth="1"/>
  </cols>
  <sheetData>
    <row r="1" spans="3:9" s="418" customFormat="1">
      <c r="C1" s="453" t="s">
        <v>296</v>
      </c>
    </row>
    <row r="2" spans="3:9" s="418" customFormat="1">
      <c r="C2" s="453" t="s">
        <v>290</v>
      </c>
    </row>
    <row r="4" spans="3:9">
      <c r="D4" t="s">
        <v>39</v>
      </c>
      <c r="E4" t="s">
        <v>40</v>
      </c>
      <c r="F4" t="s">
        <v>41</v>
      </c>
      <c r="I4" t="s">
        <v>42</v>
      </c>
    </row>
    <row r="5" spans="3:9">
      <c r="C5">
        <f t="shared" ref="C5:C9" si="0">C6-1</f>
        <v>2004</v>
      </c>
      <c r="D5" s="1">
        <f>'Table Customers'!F43</f>
        <v>107288.50000000047</v>
      </c>
      <c r="F5" s="1">
        <f t="shared" ref="F5:F10" si="1">D5-E5</f>
        <v>107288.50000000047</v>
      </c>
    </row>
    <row r="6" spans="3:9">
      <c r="C6">
        <f t="shared" si="0"/>
        <v>2005</v>
      </c>
      <c r="D6" s="1">
        <f>'Table Customers'!F44</f>
        <v>97386</v>
      </c>
      <c r="F6" s="1">
        <f t="shared" si="1"/>
        <v>97386</v>
      </c>
    </row>
    <row r="7" spans="3:9">
      <c r="C7">
        <f t="shared" si="0"/>
        <v>2006</v>
      </c>
      <c r="D7" s="1">
        <f>'Table Customers'!F45</f>
        <v>87667.333333333023</v>
      </c>
      <c r="F7" s="1">
        <f t="shared" si="1"/>
        <v>87667.333333333023</v>
      </c>
    </row>
    <row r="8" spans="3:9">
      <c r="C8">
        <f t="shared" si="0"/>
        <v>2007</v>
      </c>
      <c r="D8" s="1">
        <f>'Table Customers'!F46</f>
        <v>87026.833333333023</v>
      </c>
      <c r="F8" s="1">
        <f t="shared" si="1"/>
        <v>87026.833333333023</v>
      </c>
    </row>
    <row r="9" spans="3:9">
      <c r="C9">
        <f t="shared" si="0"/>
        <v>2008</v>
      </c>
      <c r="D9" s="1">
        <f>'Table Customers'!F47</f>
        <v>13140.833333333954</v>
      </c>
      <c r="F9" s="1">
        <f t="shared" si="1"/>
        <v>13140.833333333954</v>
      </c>
    </row>
    <row r="10" spans="3:9">
      <c r="C10">
        <f>C11-1</f>
        <v>2009</v>
      </c>
      <c r="D10" s="1">
        <f>'Table Customers'!F48</f>
        <v>-10663.416666666977</v>
      </c>
      <c r="F10" s="1">
        <f t="shared" si="1"/>
        <v>-10663.416666666977</v>
      </c>
    </row>
    <row r="11" spans="3:9">
      <c r="C11">
        <v>2010</v>
      </c>
      <c r="D11" s="1">
        <f>'Table Customers'!F49</f>
        <v>21260.916666666977</v>
      </c>
      <c r="F11" s="1">
        <f>D11-E11</f>
        <v>21260.916666666977</v>
      </c>
    </row>
    <row r="12" spans="3:9">
      <c r="C12">
        <f>C11+1</f>
        <v>2011</v>
      </c>
      <c r="D12" s="1">
        <f>'Table Customers'!F50</f>
        <v>26723.166666666046</v>
      </c>
      <c r="F12" s="1">
        <f t="shared" ref="F12:F21" si="2">D12-E12</f>
        <v>26723.166666666046</v>
      </c>
    </row>
    <row r="13" spans="3:9">
      <c r="C13">
        <f t="shared" ref="C13:C21" si="3">C12+1</f>
        <v>2012</v>
      </c>
      <c r="D13" s="1">
        <f>'Table Customers'!F51</f>
        <v>29397.833333333954</v>
      </c>
      <c r="F13" s="1">
        <f t="shared" si="2"/>
        <v>29397.833333333954</v>
      </c>
    </row>
    <row r="14" spans="3:9">
      <c r="C14">
        <f t="shared" si="3"/>
        <v>2013</v>
      </c>
      <c r="D14" s="1">
        <f>'Table Customers'!F52</f>
        <v>50485.666666666046</v>
      </c>
      <c r="E14" s="1">
        <v>14641.305555555555</v>
      </c>
      <c r="F14" s="1">
        <f t="shared" si="2"/>
        <v>35844.361111110491</v>
      </c>
    </row>
    <row r="15" spans="3:9">
      <c r="C15">
        <f t="shared" si="3"/>
        <v>2014</v>
      </c>
      <c r="D15" s="1">
        <f>'Table Customers'!F53</f>
        <v>81895</v>
      </c>
      <c r="E15" s="1">
        <v>28420.819444444442</v>
      </c>
      <c r="F15" s="1">
        <f t="shared" si="2"/>
        <v>53474.180555555562</v>
      </c>
    </row>
    <row r="16" spans="3:9">
      <c r="C16">
        <f t="shared" si="3"/>
        <v>2015</v>
      </c>
      <c r="D16" s="1">
        <f>'Table Customers'!F54</f>
        <v>66552.25</v>
      </c>
      <c r="F16" s="1">
        <f t="shared" si="2"/>
        <v>66552.25</v>
      </c>
      <c r="H16" s="1">
        <f>SUM(F12:F16)</f>
        <v>211991.79166666605</v>
      </c>
    </row>
    <row r="17" spans="3:6">
      <c r="C17">
        <f t="shared" si="3"/>
        <v>2016</v>
      </c>
      <c r="D17" s="1">
        <f>'Table Customers'!F60</f>
        <v>70008.318585308269</v>
      </c>
      <c r="F17" s="1">
        <f t="shared" si="2"/>
        <v>70008.318585308269</v>
      </c>
    </row>
    <row r="18" spans="3:6">
      <c r="C18">
        <f t="shared" si="3"/>
        <v>2017</v>
      </c>
      <c r="D18" s="1">
        <f>'Table Customers'!F61</f>
        <v>71646.53356749285</v>
      </c>
      <c r="F18" s="1">
        <f t="shared" si="2"/>
        <v>71646.53356749285</v>
      </c>
    </row>
    <row r="19" spans="3:6">
      <c r="C19">
        <f t="shared" si="3"/>
        <v>2018</v>
      </c>
      <c r="D19" s="1">
        <f>'Table Customers'!F62</f>
        <v>72852.395387787372</v>
      </c>
      <c r="F19" s="1">
        <f t="shared" si="2"/>
        <v>72852.395387787372</v>
      </c>
    </row>
    <row r="20" spans="3:6">
      <c r="C20">
        <f t="shared" si="3"/>
        <v>2019</v>
      </c>
      <c r="D20" s="1">
        <f>'Table Customers'!F63</f>
        <v>72715.924511970021</v>
      </c>
      <c r="F20" s="1">
        <f t="shared" si="2"/>
        <v>72715.924511970021</v>
      </c>
    </row>
    <row r="21" spans="3:6">
      <c r="C21">
        <f t="shared" si="3"/>
        <v>2020</v>
      </c>
      <c r="D21" s="1">
        <f>'Table Customers'!F64</f>
        <v>72087.653923264705</v>
      </c>
      <c r="F21" s="1">
        <f t="shared" si="2"/>
        <v>72087.653923264705</v>
      </c>
    </row>
    <row r="24" spans="3:6">
      <c r="C24" t="s">
        <v>82</v>
      </c>
      <c r="F24" s="1">
        <f>'Table Customers'!E61-'Table Customers'!D52</f>
        <v>290102.10215280112</v>
      </c>
    </row>
    <row r="25" spans="3:6">
      <c r="C25" t="s">
        <v>83</v>
      </c>
      <c r="F25" s="1">
        <f>'Table Customers'!E64-'Table Customers'!D52</f>
        <v>507758.07597582322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  <pageSetUpPr fitToPage="1"/>
  </sheetPr>
  <dimension ref="A1:L108"/>
  <sheetViews>
    <sheetView zoomScaleNormal="100" zoomScaleSheetLayoutView="70" workbookViewId="0">
      <selection activeCell="B2" sqref="B1:B2"/>
    </sheetView>
  </sheetViews>
  <sheetFormatPr defaultColWidth="9.109375" defaultRowHeight="13.2"/>
  <cols>
    <col min="1" max="1" width="9.109375" style="5"/>
    <col min="2" max="2" width="12.6640625" style="5" customWidth="1"/>
    <col min="3" max="3" width="10.5546875" style="5" customWidth="1"/>
    <col min="4" max="4" width="11.88671875" style="5" customWidth="1"/>
    <col min="5" max="5" width="16.33203125" style="5" customWidth="1"/>
    <col min="6" max="7" width="9.33203125" style="5" bestFit="1" customWidth="1"/>
    <col min="8" max="8" width="11.88671875" style="5" customWidth="1"/>
    <col min="9" max="9" width="11" style="5" customWidth="1"/>
    <col min="10" max="10" width="12.88671875" style="5" bestFit="1" customWidth="1"/>
    <col min="11" max="16384" width="9.109375" style="5"/>
  </cols>
  <sheetData>
    <row r="1" spans="1:9" ht="14.4">
      <c r="B1" s="453" t="s">
        <v>297</v>
      </c>
    </row>
    <row r="2" spans="1:9" ht="14.4">
      <c r="B2" s="453" t="s">
        <v>290</v>
      </c>
    </row>
    <row r="4" spans="1:9" ht="17.399999999999999">
      <c r="A4" s="420" t="s">
        <v>28</v>
      </c>
      <c r="B4" s="420"/>
      <c r="C4" s="420"/>
      <c r="D4" s="420"/>
      <c r="E4" s="420"/>
      <c r="F4" s="420"/>
      <c r="G4" s="420"/>
      <c r="H4" s="420"/>
      <c r="I4" s="420"/>
    </row>
    <row r="5" spans="1:9" ht="17.399999999999999">
      <c r="B5" s="6"/>
      <c r="C5" s="6"/>
      <c r="D5" s="6"/>
      <c r="E5" s="6"/>
      <c r="F5" s="6"/>
      <c r="G5" s="6"/>
      <c r="H5" s="6"/>
    </row>
    <row r="6" spans="1:9">
      <c r="B6" s="421" t="s">
        <v>29</v>
      </c>
      <c r="C6" s="421"/>
      <c r="D6" s="421"/>
      <c r="E6" s="421"/>
      <c r="F6" s="421"/>
      <c r="G6" s="421"/>
      <c r="H6" s="421"/>
    </row>
    <row r="7" spans="1:9">
      <c r="A7" s="7"/>
      <c r="B7" s="7"/>
      <c r="C7" s="7"/>
      <c r="D7" s="7"/>
      <c r="E7" s="7"/>
      <c r="F7" s="7"/>
      <c r="G7" s="7"/>
      <c r="H7" s="7"/>
    </row>
    <row r="8" spans="1:9">
      <c r="B8" s="8" t="s">
        <v>30</v>
      </c>
      <c r="C8" s="7"/>
      <c r="F8" s="9">
        <f>AVERAGE(F20:F54)</f>
        <v>74011.657142857133</v>
      </c>
      <c r="G8" s="10">
        <f>(D54/D19)^(1/35)-1</f>
        <v>2.2590534179826927E-2</v>
      </c>
    </row>
    <row r="9" spans="1:9">
      <c r="B9" s="8"/>
      <c r="C9" s="7"/>
      <c r="F9" s="9"/>
      <c r="G9" s="10"/>
    </row>
    <row r="10" spans="1:9">
      <c r="B10" s="8" t="s">
        <v>31</v>
      </c>
      <c r="C10" s="7"/>
      <c r="F10" s="9">
        <f>AVERAGE(F29:F54)</f>
        <v>65805.605769230751</v>
      </c>
      <c r="G10" s="10">
        <f>(D54/D29)^(1/26)-1</f>
        <v>1.6022240321457604E-2</v>
      </c>
    </row>
    <row r="11" spans="1:9">
      <c r="B11" s="7"/>
      <c r="C11" s="7"/>
      <c r="F11" s="11"/>
      <c r="G11" s="11"/>
    </row>
    <row r="12" spans="1:9">
      <c r="B12" s="8" t="s">
        <v>32</v>
      </c>
      <c r="C12" s="7"/>
      <c r="F12" s="9">
        <f>AVERAGE(C60:C68)</f>
        <v>67381.54136969542</v>
      </c>
      <c r="G12" s="10">
        <f>(B69/B60)^(1/9)-1</f>
        <v>1.2968477907519427E-2</v>
      </c>
    </row>
    <row r="13" spans="1:9">
      <c r="B13" s="12" t="s">
        <v>33</v>
      </c>
      <c r="C13" s="7"/>
      <c r="F13" s="9">
        <f>AVERAGE(F60:F69)</f>
        <v>71441.918301562866</v>
      </c>
      <c r="G13" s="13">
        <f>(E69/E60)^(1/9)-1</f>
        <v>1.3970493124247252E-2</v>
      </c>
    </row>
    <row r="14" spans="1:9">
      <c r="A14" s="7"/>
      <c r="H14" s="7"/>
    </row>
    <row r="15" spans="1:9">
      <c r="B15" s="422" t="s">
        <v>34</v>
      </c>
      <c r="C15" s="422"/>
      <c r="D15" s="422"/>
      <c r="E15" s="422"/>
      <c r="F15" s="422"/>
      <c r="G15" s="422"/>
      <c r="H15" s="422"/>
    </row>
    <row r="16" spans="1:9">
      <c r="A16" s="14"/>
      <c r="B16" s="15"/>
      <c r="C16" s="15"/>
      <c r="D16" s="16"/>
      <c r="E16" s="16"/>
      <c r="F16" s="16"/>
      <c r="G16" s="16"/>
      <c r="H16" s="16"/>
    </row>
    <row r="17" spans="1:9">
      <c r="A17" s="7"/>
      <c r="B17" s="7"/>
      <c r="C17" s="7"/>
      <c r="D17" s="11"/>
      <c r="E17" s="7"/>
      <c r="F17" s="15" t="s">
        <v>35</v>
      </c>
      <c r="G17" s="15"/>
      <c r="H17" s="15"/>
    </row>
    <row r="18" spans="1:9">
      <c r="A18" s="7"/>
      <c r="B18" s="7"/>
      <c r="C18" s="11"/>
      <c r="D18" s="17"/>
      <c r="E18" s="18"/>
      <c r="F18" s="19" t="s">
        <v>36</v>
      </c>
      <c r="G18" s="7"/>
      <c r="H18" s="11" t="s">
        <v>37</v>
      </c>
      <c r="I18" s="20"/>
    </row>
    <row r="19" spans="1:9">
      <c r="A19" s="7"/>
      <c r="B19" s="11">
        <v>1980</v>
      </c>
      <c r="D19" s="9">
        <v>2184973.5833333335</v>
      </c>
      <c r="E19" s="18"/>
      <c r="F19" s="9"/>
      <c r="G19" s="7"/>
      <c r="H19" s="10"/>
      <c r="I19" s="21"/>
    </row>
    <row r="20" spans="1:9">
      <c r="A20" s="7"/>
      <c r="B20" s="11">
        <v>1981</v>
      </c>
      <c r="D20" s="9">
        <v>2285187.4166666665</v>
      </c>
      <c r="E20" s="18"/>
      <c r="F20" s="9">
        <f t="shared" ref="F20:F49" si="0">+D20-D19</f>
        <v>100213.83333333302</v>
      </c>
      <c r="G20" s="7"/>
      <c r="H20" s="10">
        <f t="shared" ref="H20:H49" si="1">(D20/D19)-1</f>
        <v>4.5865009123107869E-2</v>
      </c>
      <c r="I20" s="21"/>
    </row>
    <row r="21" spans="1:9">
      <c r="A21" s="7"/>
      <c r="B21" s="11">
        <v>1982</v>
      </c>
      <c r="D21" s="9">
        <v>2358166.9166666665</v>
      </c>
      <c r="E21" s="18"/>
      <c r="F21" s="9">
        <f t="shared" si="0"/>
        <v>72979.5</v>
      </c>
      <c r="G21" s="7"/>
      <c r="H21" s="10">
        <f t="shared" si="1"/>
        <v>3.1935892639586294E-2</v>
      </c>
      <c r="I21" s="21"/>
    </row>
    <row r="22" spans="1:9">
      <c r="A22" s="7"/>
      <c r="B22" s="11">
        <v>1983</v>
      </c>
      <c r="D22" s="9">
        <v>2429687.6666666665</v>
      </c>
      <c r="E22" s="18"/>
      <c r="F22" s="9">
        <f t="shared" si="0"/>
        <v>71520.75</v>
      </c>
      <c r="G22" s="7"/>
      <c r="H22" s="10">
        <f t="shared" si="1"/>
        <v>3.0328959962298452E-2</v>
      </c>
      <c r="I22" s="21"/>
    </row>
    <row r="23" spans="1:9">
      <c r="A23" s="7"/>
      <c r="B23" s="11">
        <v>1984</v>
      </c>
      <c r="D23" s="9">
        <v>2520523.0833333335</v>
      </c>
      <c r="E23" s="18"/>
      <c r="F23" s="9">
        <f t="shared" si="0"/>
        <v>90835.416666666977</v>
      </c>
      <c r="G23" s="7"/>
      <c r="H23" s="10">
        <f t="shared" si="1"/>
        <v>3.7385635163257769E-2</v>
      </c>
      <c r="I23" s="21"/>
    </row>
    <row r="24" spans="1:9">
      <c r="A24" s="7"/>
      <c r="B24" s="11">
        <v>1985</v>
      </c>
      <c r="D24" s="9">
        <v>2617556.0833333335</v>
      </c>
      <c r="E24" s="18"/>
      <c r="F24" s="9">
        <f t="shared" si="0"/>
        <v>97033</v>
      </c>
      <c r="G24" s="7"/>
      <c r="H24" s="10">
        <f t="shared" si="1"/>
        <v>3.8497167767127083E-2</v>
      </c>
      <c r="I24" s="21"/>
    </row>
    <row r="25" spans="1:9">
      <c r="A25" s="7"/>
      <c r="B25" s="11">
        <v>1986</v>
      </c>
      <c r="D25" s="9">
        <v>2723555.3333333335</v>
      </c>
      <c r="E25" s="18"/>
      <c r="F25" s="9">
        <f t="shared" si="0"/>
        <v>105999.25</v>
      </c>
      <c r="G25" s="7"/>
      <c r="H25" s="10">
        <f t="shared" si="1"/>
        <v>4.0495502913930004E-2</v>
      </c>
      <c r="I25" s="21"/>
    </row>
    <row r="26" spans="1:9">
      <c r="A26" s="7"/>
      <c r="B26" s="11">
        <v>1987</v>
      </c>
      <c r="D26" s="9">
        <v>2840206.5833333335</v>
      </c>
      <c r="E26" s="18"/>
      <c r="F26" s="9">
        <f t="shared" si="0"/>
        <v>116651.25</v>
      </c>
      <c r="G26" s="7"/>
      <c r="H26" s="10">
        <f t="shared" si="1"/>
        <v>4.2830504881731901E-2</v>
      </c>
      <c r="I26" s="21"/>
    </row>
    <row r="27" spans="1:9">
      <c r="A27" s="7"/>
      <c r="B27" s="11">
        <v>1988</v>
      </c>
      <c r="D27" s="9">
        <v>2953663.25</v>
      </c>
      <c r="E27" s="18"/>
      <c r="F27" s="9">
        <f t="shared" si="0"/>
        <v>113456.66666666651</v>
      </c>
      <c r="G27" s="7"/>
      <c r="H27" s="10">
        <f t="shared" si="1"/>
        <v>3.9946624774565231E-2</v>
      </c>
      <c r="I27" s="21"/>
    </row>
    <row r="28" spans="1:9">
      <c r="A28" s="7"/>
      <c r="B28" s="11">
        <v>1989</v>
      </c>
      <c r="D28" s="9">
        <v>3064435.8333333335</v>
      </c>
      <c r="E28" s="7"/>
      <c r="F28" s="9">
        <f t="shared" si="0"/>
        <v>110772.58333333349</v>
      </c>
      <c r="G28" s="7"/>
      <c r="H28" s="10">
        <f t="shared" si="1"/>
        <v>3.7503457218196257E-2</v>
      </c>
      <c r="I28" s="21"/>
    </row>
    <row r="29" spans="1:9">
      <c r="A29" s="7"/>
      <c r="B29" s="11">
        <v>1990</v>
      </c>
      <c r="D29" s="9">
        <v>3158817.25</v>
      </c>
      <c r="E29" s="7"/>
      <c r="F29" s="9">
        <f t="shared" si="0"/>
        <v>94381.416666666511</v>
      </c>
      <c r="G29" s="7"/>
      <c r="H29" s="10">
        <f t="shared" si="1"/>
        <v>3.0798953477842339E-2</v>
      </c>
      <c r="I29" s="21"/>
    </row>
    <row r="30" spans="1:9">
      <c r="A30" s="7"/>
      <c r="B30" s="11">
        <v>1991</v>
      </c>
      <c r="D30" s="9">
        <v>3226455.3333333335</v>
      </c>
      <c r="E30" s="7"/>
      <c r="F30" s="9">
        <f t="shared" si="0"/>
        <v>67638.083333333489</v>
      </c>
      <c r="G30" s="7"/>
      <c r="H30" s="10">
        <f t="shared" si="1"/>
        <v>2.1412471181526449E-2</v>
      </c>
      <c r="I30" s="21"/>
    </row>
    <row r="31" spans="1:9">
      <c r="A31" s="7"/>
      <c r="B31" s="11">
        <v>1992</v>
      </c>
      <c r="D31" s="9">
        <v>3281238.0833333335</v>
      </c>
      <c r="E31" s="7"/>
      <c r="F31" s="9">
        <f t="shared" si="0"/>
        <v>54782.75</v>
      </c>
      <c r="G31" s="7"/>
      <c r="H31" s="10">
        <f t="shared" si="1"/>
        <v>1.6979237069866038E-2</v>
      </c>
      <c r="I31" s="21"/>
    </row>
    <row r="32" spans="1:9">
      <c r="A32" s="7"/>
      <c r="B32" s="11">
        <v>1993</v>
      </c>
      <c r="D32" s="9">
        <v>3355794.0833333335</v>
      </c>
      <c r="E32" s="7"/>
      <c r="F32" s="9">
        <f t="shared" si="0"/>
        <v>74556</v>
      </c>
      <c r="G32" s="7"/>
      <c r="H32" s="10">
        <f t="shared" si="1"/>
        <v>2.2721911091639013E-2</v>
      </c>
      <c r="I32" s="21"/>
    </row>
    <row r="33" spans="1:10">
      <c r="A33" s="7"/>
      <c r="B33" s="11">
        <v>1994</v>
      </c>
      <c r="D33" s="9">
        <v>3422186.6666666665</v>
      </c>
      <c r="E33" s="7"/>
      <c r="F33" s="9">
        <f t="shared" si="0"/>
        <v>66392.583333333023</v>
      </c>
      <c r="G33" s="7"/>
      <c r="H33" s="10">
        <f t="shared" si="1"/>
        <v>1.9784462837894035E-2</v>
      </c>
      <c r="I33" s="21"/>
    </row>
    <row r="34" spans="1:10">
      <c r="A34" s="7"/>
      <c r="B34" s="11">
        <v>1995</v>
      </c>
      <c r="D34" s="9">
        <v>3488796</v>
      </c>
      <c r="E34" s="7"/>
      <c r="F34" s="9">
        <f t="shared" si="0"/>
        <v>66609.333333333489</v>
      </c>
      <c r="G34" s="7"/>
      <c r="H34" s="10">
        <f t="shared" si="1"/>
        <v>1.9463968456815195E-2</v>
      </c>
      <c r="I34" s="21"/>
    </row>
    <row r="35" spans="1:10">
      <c r="A35" s="7"/>
      <c r="B35" s="11">
        <v>1996</v>
      </c>
      <c r="D35" s="9">
        <v>3550747.3333333335</v>
      </c>
      <c r="E35" s="7"/>
      <c r="F35" s="9">
        <f t="shared" si="0"/>
        <v>61951.333333333489</v>
      </c>
      <c r="G35" s="7"/>
      <c r="H35" s="10">
        <f t="shared" si="1"/>
        <v>1.7757224364317592E-2</v>
      </c>
      <c r="I35" s="21"/>
    </row>
    <row r="36" spans="1:10">
      <c r="A36" s="7"/>
      <c r="B36" s="11">
        <v>1997</v>
      </c>
      <c r="D36" s="9">
        <v>3615485.0833333335</v>
      </c>
      <c r="E36" s="7"/>
      <c r="F36" s="9">
        <f t="shared" si="0"/>
        <v>64737.75</v>
      </c>
      <c r="G36" s="7"/>
      <c r="H36" s="10">
        <f t="shared" si="1"/>
        <v>1.8232147748802552E-2</v>
      </c>
      <c r="I36" s="21"/>
    </row>
    <row r="37" spans="1:10">
      <c r="A37" s="7"/>
      <c r="B37" s="11">
        <v>1998</v>
      </c>
      <c r="D37" s="9">
        <v>3680469.9166666665</v>
      </c>
      <c r="E37" s="7"/>
      <c r="F37" s="9">
        <f t="shared" si="0"/>
        <v>64984.833333333023</v>
      </c>
      <c r="G37" s="7"/>
      <c r="H37" s="10">
        <f t="shared" si="1"/>
        <v>1.7974028888378069E-2</v>
      </c>
      <c r="I37" s="21"/>
    </row>
    <row r="38" spans="1:10">
      <c r="A38" s="7"/>
      <c r="B38" s="11">
        <v>1999</v>
      </c>
      <c r="D38" s="9">
        <v>3756009.3333333335</v>
      </c>
      <c r="E38" s="7"/>
      <c r="F38" s="9">
        <f t="shared" si="0"/>
        <v>75539.416666666977</v>
      </c>
      <c r="G38" s="7"/>
      <c r="H38" s="10">
        <f t="shared" si="1"/>
        <v>2.0524394541195257E-2</v>
      </c>
      <c r="I38" s="21"/>
    </row>
    <row r="39" spans="1:10">
      <c r="A39" s="7"/>
      <c r="B39" s="11">
        <v>2000</v>
      </c>
      <c r="D39" s="9">
        <v>3848350.3333333335</v>
      </c>
      <c r="E39" s="7"/>
      <c r="F39" s="9">
        <f t="shared" si="0"/>
        <v>92341</v>
      </c>
      <c r="G39" s="7"/>
      <c r="H39" s="10">
        <f t="shared" si="1"/>
        <v>2.4584869686159916E-2</v>
      </c>
      <c r="I39" s="21"/>
    </row>
    <row r="40" spans="1:10">
      <c r="A40" s="7"/>
      <c r="B40" s="11">
        <v>2001</v>
      </c>
      <c r="D40" s="9">
        <v>3935281.25</v>
      </c>
      <c r="E40" s="7"/>
      <c r="F40" s="9">
        <f t="shared" si="0"/>
        <v>86930.916666666511</v>
      </c>
      <c r="G40" s="7"/>
      <c r="H40" s="10">
        <f t="shared" si="1"/>
        <v>2.2589137977822693E-2</v>
      </c>
      <c r="I40" s="21"/>
    </row>
    <row r="41" spans="1:10">
      <c r="A41" s="7"/>
      <c r="B41" s="11">
        <v>2002</v>
      </c>
      <c r="D41" s="9">
        <v>4019804.5</v>
      </c>
      <c r="E41" s="7"/>
      <c r="F41" s="9">
        <f t="shared" si="0"/>
        <v>84523.25</v>
      </c>
      <c r="G41" s="7"/>
      <c r="H41" s="10">
        <f t="shared" si="1"/>
        <v>2.1478325087946448E-2</v>
      </c>
      <c r="I41" s="21"/>
    </row>
    <row r="42" spans="1:10">
      <c r="A42" s="7"/>
      <c r="B42" s="11">
        <v>2003</v>
      </c>
      <c r="D42" s="9">
        <v>4117220.6666666665</v>
      </c>
      <c r="E42" s="7"/>
      <c r="F42" s="9">
        <f t="shared" si="0"/>
        <v>97416.166666666511</v>
      </c>
      <c r="G42" s="7"/>
      <c r="H42" s="10">
        <f t="shared" si="1"/>
        <v>2.4234055827010215E-2</v>
      </c>
      <c r="I42" s="21"/>
    </row>
    <row r="43" spans="1:10">
      <c r="A43" s="7"/>
      <c r="B43" s="11">
        <v>2004</v>
      </c>
      <c r="D43" s="9">
        <v>4224509.166666667</v>
      </c>
      <c r="E43" s="7"/>
      <c r="F43" s="9">
        <f t="shared" si="0"/>
        <v>107288.50000000047</v>
      </c>
      <c r="G43" s="7"/>
      <c r="H43" s="10">
        <f t="shared" si="1"/>
        <v>2.6058476988764845E-2</v>
      </c>
      <c r="I43" s="21"/>
    </row>
    <row r="44" spans="1:10">
      <c r="A44" s="7"/>
      <c r="B44" s="11">
        <v>2005</v>
      </c>
      <c r="D44" s="9">
        <v>4321895.166666667</v>
      </c>
      <c r="E44" s="7"/>
      <c r="F44" s="9">
        <f t="shared" si="0"/>
        <v>97386</v>
      </c>
      <c r="G44" s="7"/>
      <c r="H44" s="10">
        <f t="shared" si="1"/>
        <v>2.3052618933442126E-2</v>
      </c>
      <c r="I44" s="21"/>
    </row>
    <row r="45" spans="1:10">
      <c r="A45" s="7"/>
      <c r="B45" s="11">
        <v>2006</v>
      </c>
      <c r="D45" s="9">
        <v>4409562.5</v>
      </c>
      <c r="E45" s="7"/>
      <c r="F45" s="9">
        <f t="shared" si="0"/>
        <v>87667.333333333023</v>
      </c>
      <c r="G45" s="7"/>
      <c r="H45" s="10">
        <f t="shared" si="1"/>
        <v>2.0284465483911385E-2</v>
      </c>
      <c r="I45" s="21"/>
    </row>
    <row r="46" spans="1:10" ht="14.4">
      <c r="A46" s="7"/>
      <c r="B46" s="11">
        <v>2007</v>
      </c>
      <c r="D46" s="9">
        <v>4496589.333333333</v>
      </c>
      <c r="E46" s="7"/>
      <c r="F46" s="9">
        <f t="shared" si="0"/>
        <v>87026.833333333023</v>
      </c>
      <c r="G46" s="7"/>
      <c r="H46" s="10">
        <f t="shared" si="1"/>
        <v>1.9735933742481837E-2</v>
      </c>
      <c r="I46" s="21"/>
      <c r="J46" s="22"/>
    </row>
    <row r="47" spans="1:10" ht="14.4">
      <c r="A47" s="7"/>
      <c r="B47" s="11">
        <v>2008</v>
      </c>
      <c r="D47" s="9">
        <v>4509730.166666667</v>
      </c>
      <c r="E47" s="7"/>
      <c r="F47" s="9">
        <f t="shared" si="0"/>
        <v>13140.833333333954</v>
      </c>
      <c r="G47" s="7"/>
      <c r="H47" s="10">
        <f t="shared" si="1"/>
        <v>2.922400148023474E-3</v>
      </c>
      <c r="I47" s="21"/>
      <c r="J47" s="22"/>
    </row>
    <row r="48" spans="1:10" ht="14.4">
      <c r="A48" s="7"/>
      <c r="B48" s="11">
        <v>2009</v>
      </c>
      <c r="D48" s="9">
        <v>4499066.75</v>
      </c>
      <c r="E48" s="7"/>
      <c r="F48" s="9">
        <f t="shared" si="0"/>
        <v>-10663.416666666977</v>
      </c>
      <c r="G48" s="7"/>
      <c r="H48" s="10">
        <f t="shared" si="1"/>
        <v>-2.3645354095650495E-3</v>
      </c>
      <c r="I48" s="21"/>
      <c r="J48" s="22"/>
    </row>
    <row r="49" spans="1:12" ht="14.4">
      <c r="A49" s="7"/>
      <c r="B49" s="11">
        <v>2010</v>
      </c>
      <c r="D49" s="9">
        <v>4520327.666666667</v>
      </c>
      <c r="E49" s="7"/>
      <c r="F49" s="9">
        <f t="shared" si="0"/>
        <v>21260.916666666977</v>
      </c>
      <c r="G49" s="7"/>
      <c r="H49" s="10">
        <f t="shared" si="1"/>
        <v>4.7256281909280329E-3</v>
      </c>
      <c r="I49" s="21"/>
      <c r="J49" s="22"/>
    </row>
    <row r="50" spans="1:12" ht="14.4">
      <c r="A50" s="7"/>
      <c r="B50" s="11">
        <v>2011</v>
      </c>
      <c r="D50" s="9">
        <v>4547050.833333333</v>
      </c>
      <c r="E50" s="7"/>
      <c r="F50" s="9">
        <f>+D50-D49</f>
        <v>26723.166666666046</v>
      </c>
      <c r="G50" s="7"/>
      <c r="H50" s="10">
        <f>(D50/D49)-1</f>
        <v>5.9117764545533191E-3</v>
      </c>
      <c r="I50" s="21"/>
      <c r="J50" s="22"/>
    </row>
    <row r="51" spans="1:12" ht="14.4">
      <c r="A51" s="7"/>
      <c r="B51" s="11">
        <v>2012</v>
      </c>
      <c r="D51" s="9">
        <v>4576448.666666667</v>
      </c>
      <c r="E51" s="7"/>
      <c r="F51" s="9">
        <f>+D51-D50</f>
        <v>29397.833333333954</v>
      </c>
      <c r="G51" s="7"/>
      <c r="H51" s="10">
        <f>(D51/D50)-1</f>
        <v>6.4652528442887824E-3</v>
      </c>
      <c r="I51" s="21"/>
      <c r="J51" s="22"/>
    </row>
    <row r="52" spans="1:12" ht="14.4">
      <c r="A52" s="7"/>
      <c r="B52" s="11">
        <v>2013</v>
      </c>
      <c r="D52" s="9">
        <v>4626934.333333333</v>
      </c>
      <c r="E52" s="7"/>
      <c r="F52" s="9">
        <f>+D52-D51</f>
        <v>50485.666666666046</v>
      </c>
      <c r="G52" s="7"/>
      <c r="H52" s="10">
        <f>(D52/D51)-1</f>
        <v>1.1031625250029986E-2</v>
      </c>
      <c r="I52" s="21"/>
      <c r="J52" s="22"/>
    </row>
    <row r="53" spans="1:12" ht="14.4">
      <c r="A53" s="7"/>
      <c r="B53" s="11">
        <v>2014</v>
      </c>
      <c r="D53" s="9">
        <v>4708829.333333333</v>
      </c>
      <c r="E53" s="7"/>
      <c r="F53" s="9">
        <f>+D53-D52</f>
        <v>81895</v>
      </c>
      <c r="G53" s="7"/>
      <c r="H53" s="10">
        <f>(D53/D52)-1</f>
        <v>1.7699624438153982E-2</v>
      </c>
      <c r="I53" s="21"/>
      <c r="J53" s="22"/>
    </row>
    <row r="54" spans="1:12" ht="14.4">
      <c r="A54" s="7"/>
      <c r="B54" s="11">
        <v>2015</v>
      </c>
      <c r="D54" s="9">
        <f>summary!$P$21</f>
        <v>4775381.583333333</v>
      </c>
      <c r="E54" s="7"/>
      <c r="F54" s="9">
        <f>+D54-D53</f>
        <v>66552.25</v>
      </c>
      <c r="G54" s="7"/>
      <c r="H54" s="10">
        <f>(D54/D53)-1</f>
        <v>1.413350225477128E-2</v>
      </c>
      <c r="I54" s="21"/>
      <c r="J54" s="22">
        <f>D54-D52</f>
        <v>148447.25</v>
      </c>
    </row>
    <row r="55" spans="1:12" ht="14.4">
      <c r="A55" s="7"/>
      <c r="B55" s="11"/>
      <c r="D55" s="9"/>
      <c r="E55" s="7"/>
      <c r="F55" s="9"/>
      <c r="G55" s="7"/>
      <c r="H55" s="10"/>
      <c r="I55" s="21"/>
      <c r="J55" s="22"/>
    </row>
    <row r="56" spans="1:12">
      <c r="A56" s="422" t="s">
        <v>38</v>
      </c>
      <c r="B56" s="422"/>
      <c r="C56" s="422"/>
      <c r="D56" s="422"/>
      <c r="E56" s="422"/>
      <c r="F56" s="422"/>
      <c r="G56" s="422"/>
      <c r="H56" s="422"/>
      <c r="I56" s="422"/>
    </row>
    <row r="57" spans="1:12">
      <c r="A57" s="7"/>
      <c r="B57" s="23"/>
      <c r="C57" s="7"/>
      <c r="D57" s="7"/>
      <c r="E57" s="23"/>
      <c r="F57" s="7"/>
      <c r="G57" s="7"/>
      <c r="H57" s="7"/>
    </row>
    <row r="58" spans="1:12">
      <c r="A58" s="7"/>
      <c r="B58" s="24" t="s">
        <v>1</v>
      </c>
      <c r="C58" s="25"/>
      <c r="D58" s="26"/>
      <c r="E58" s="24" t="s">
        <v>1</v>
      </c>
      <c r="F58" s="25"/>
      <c r="G58" s="26"/>
      <c r="H58" s="27" t="s">
        <v>36</v>
      </c>
      <c r="I58" s="26" t="s">
        <v>37</v>
      </c>
    </row>
    <row r="59" spans="1:12">
      <c r="A59" s="7"/>
      <c r="B59" s="24"/>
      <c r="C59" s="25"/>
      <c r="D59" s="26"/>
      <c r="E59" s="24"/>
      <c r="F59" s="25"/>
      <c r="G59" s="26"/>
      <c r="H59" s="27"/>
      <c r="I59" s="26"/>
    </row>
    <row r="60" spans="1:12" ht="14.4">
      <c r="A60" s="11">
        <v>2016</v>
      </c>
      <c r="B60" s="9">
        <v>4848293.7244852493</v>
      </c>
      <c r="C60" s="9">
        <f>+B60-D54</f>
        <v>72912.141151916236</v>
      </c>
      <c r="D60" s="10">
        <f>(B60/D54)-1</f>
        <v>1.5268338221680278E-2</v>
      </c>
      <c r="E60" s="28">
        <v>4845389.9019186413</v>
      </c>
      <c r="F60" s="9">
        <f>+E60-D54</f>
        <v>70008.318585308269</v>
      </c>
      <c r="G60" s="10">
        <f>(E60/D54)-1</f>
        <v>1.4660256434720464E-2</v>
      </c>
      <c r="H60" s="9">
        <f t="shared" ref="H60:H106" si="2">E60-B60</f>
        <v>-2903.822566607967</v>
      </c>
      <c r="I60" s="10">
        <f t="shared" ref="I60:I107" si="3">(E60/B60)-1</f>
        <v>-5.9893701405566713E-4</v>
      </c>
      <c r="K60" s="29"/>
      <c r="L60" s="30"/>
    </row>
    <row r="61" spans="1:12" ht="14.4">
      <c r="A61" s="11">
        <v>2017</v>
      </c>
      <c r="B61" s="9">
        <v>4919161.8016235558</v>
      </c>
      <c r="C61" s="9">
        <f t="shared" ref="C61:C107" si="4">+B61-B60</f>
        <v>70868.077138306573</v>
      </c>
      <c r="D61" s="10">
        <f t="shared" ref="D61:D107" si="5">(B61/B60)-1</f>
        <v>1.4617117106664246E-2</v>
      </c>
      <c r="E61" s="28">
        <v>4917036.4354861341</v>
      </c>
      <c r="F61" s="9">
        <f>+E61-E60</f>
        <v>71646.53356749285</v>
      </c>
      <c r="G61" s="10">
        <f t="shared" ref="G61:G107" si="6">(E61/E60)-1</f>
        <v>1.4786536278354578E-2</v>
      </c>
      <c r="H61" s="9">
        <f t="shared" si="2"/>
        <v>-2125.3661374216899</v>
      </c>
      <c r="I61" s="10">
        <f t="shared" si="3"/>
        <v>-4.3205859516970424E-4</v>
      </c>
      <c r="K61" s="29"/>
      <c r="L61" s="30"/>
    </row>
    <row r="62" spans="1:12" ht="14.4">
      <c r="A62" s="11">
        <v>2018</v>
      </c>
      <c r="B62" s="9">
        <v>4988771.1502076974</v>
      </c>
      <c r="C62" s="9">
        <f t="shared" si="4"/>
        <v>69609.348584141582</v>
      </c>
      <c r="D62" s="10">
        <f t="shared" si="5"/>
        <v>1.4150652365443106E-2</v>
      </c>
      <c r="E62" s="28">
        <v>4989888.8308739215</v>
      </c>
      <c r="F62" s="9">
        <f>+E62-E61</f>
        <v>72852.395387787372</v>
      </c>
      <c r="G62" s="10">
        <f t="shared" si="6"/>
        <v>1.4816322055702713E-2</v>
      </c>
      <c r="H62" s="9">
        <f t="shared" si="2"/>
        <v>1117.6806662240997</v>
      </c>
      <c r="I62" s="10">
        <f t="shared" si="3"/>
        <v>2.2403927391567713E-4</v>
      </c>
      <c r="K62" s="29"/>
      <c r="L62" s="30"/>
    </row>
    <row r="63" spans="1:12" ht="14.4">
      <c r="A63" s="11">
        <v>2019</v>
      </c>
      <c r="B63" s="9">
        <v>5057400.069158677</v>
      </c>
      <c r="C63" s="9">
        <f t="shared" si="4"/>
        <v>68628.918950979598</v>
      </c>
      <c r="D63" s="10">
        <f t="shared" si="5"/>
        <v>1.375667812465653E-2</v>
      </c>
      <c r="E63" s="28">
        <v>5062604.7553858915</v>
      </c>
      <c r="F63" s="9">
        <f>+E63-E62</f>
        <v>72715.924511970021</v>
      </c>
      <c r="G63" s="10">
        <f t="shared" si="6"/>
        <v>1.4572654216674197E-2</v>
      </c>
      <c r="H63" s="9">
        <f t="shared" si="2"/>
        <v>5204.6862272145227</v>
      </c>
      <c r="I63" s="10">
        <f t="shared" si="3"/>
        <v>1.0291229003127622E-3</v>
      </c>
      <c r="K63" s="29"/>
      <c r="L63" s="30"/>
    </row>
    <row r="64" spans="1:12" ht="14.4">
      <c r="A64" s="11">
        <v>2020</v>
      </c>
      <c r="B64" s="9">
        <v>5124436.4006366581</v>
      </c>
      <c r="C64" s="9">
        <f t="shared" si="4"/>
        <v>67036.331477981061</v>
      </c>
      <c r="D64" s="10">
        <f t="shared" si="5"/>
        <v>1.3255097591900133E-2</v>
      </c>
      <c r="E64" s="28">
        <v>5134692.4093091562</v>
      </c>
      <c r="F64" s="9">
        <f>+E64-E63</f>
        <v>72087.653923264705</v>
      </c>
      <c r="G64" s="10">
        <f t="shared" si="6"/>
        <v>1.4239241933033275E-2</v>
      </c>
      <c r="H64" s="9">
        <f t="shared" si="2"/>
        <v>10256.008672498167</v>
      </c>
      <c r="I64" s="10">
        <f t="shared" si="3"/>
        <v>2.0013925182531533E-3</v>
      </c>
      <c r="K64" s="29"/>
      <c r="L64" s="30"/>
    </row>
    <row r="65" spans="1:12" ht="14.4">
      <c r="A65" s="11">
        <v>2021</v>
      </c>
      <c r="B65" s="9">
        <v>5190184.6961961808</v>
      </c>
      <c r="C65" s="9">
        <f t="shared" si="4"/>
        <v>65748.295559522696</v>
      </c>
      <c r="D65" s="10">
        <f t="shared" si="5"/>
        <v>1.2830346679949756E-2</v>
      </c>
      <c r="E65" s="28">
        <v>5206210.5991372587</v>
      </c>
      <c r="F65" s="9">
        <f t="shared" ref="F65:F68" si="7">+E65-E64</f>
        <v>71518.189828102477</v>
      </c>
      <c r="G65" s="10">
        <f t="shared" si="6"/>
        <v>1.392842727997512E-2</v>
      </c>
      <c r="H65" s="9">
        <f t="shared" si="2"/>
        <v>16025.902941077948</v>
      </c>
      <c r="I65" s="10">
        <f t="shared" si="3"/>
        <v>3.0877326875906608E-3</v>
      </c>
      <c r="K65" s="29"/>
      <c r="L65" s="30"/>
    </row>
    <row r="66" spans="1:12" ht="14.4">
      <c r="A66" s="11">
        <v>2022</v>
      </c>
      <c r="B66" s="9">
        <v>5254819.7851936808</v>
      </c>
      <c r="C66" s="9">
        <f t="shared" si="4"/>
        <v>64635.088997500017</v>
      </c>
      <c r="D66" s="10">
        <f t="shared" si="5"/>
        <v>1.2453331197417761E-2</v>
      </c>
      <c r="E66" s="28">
        <v>5277414.6843705336</v>
      </c>
      <c r="F66" s="9">
        <f t="shared" si="7"/>
        <v>71204.085233274847</v>
      </c>
      <c r="G66" s="10">
        <f t="shared" si="6"/>
        <v>1.3676758532410238E-2</v>
      </c>
      <c r="H66" s="9">
        <f t="shared" si="2"/>
        <v>22594.899176852778</v>
      </c>
      <c r="I66" s="10">
        <f t="shared" si="3"/>
        <v>4.2998428301037617E-3</v>
      </c>
      <c r="K66" s="29"/>
      <c r="L66" s="30"/>
    </row>
    <row r="67" spans="1:12" ht="14.4">
      <c r="A67" s="11">
        <v>2023</v>
      </c>
      <c r="B67" s="9">
        <v>5318608.1813488016</v>
      </c>
      <c r="C67" s="9">
        <f t="shared" si="4"/>
        <v>63788.396155120805</v>
      </c>
      <c r="D67" s="10">
        <f t="shared" si="5"/>
        <v>1.2139026410544984E-2</v>
      </c>
      <c r="E67" s="28">
        <v>5348386.5435879529</v>
      </c>
      <c r="F67" s="9">
        <f t="shared" si="7"/>
        <v>70971.859217419289</v>
      </c>
      <c r="G67" s="10">
        <f t="shared" si="6"/>
        <v>1.3448224833952915E-2</v>
      </c>
      <c r="H67" s="9">
        <f t="shared" si="2"/>
        <v>29778.362239151262</v>
      </c>
      <c r="I67" s="10">
        <f t="shared" si="3"/>
        <v>5.5989012959400952E-3</v>
      </c>
      <c r="K67" s="29"/>
      <c r="L67" s="30"/>
    </row>
    <row r="68" spans="1:12" ht="14.4">
      <c r="A68" s="11">
        <v>2024</v>
      </c>
      <c r="B68" s="9">
        <v>5381815.4556605918</v>
      </c>
      <c r="C68" s="9">
        <f t="shared" si="4"/>
        <v>63207.274311790243</v>
      </c>
      <c r="D68" s="10">
        <f t="shared" si="5"/>
        <v>1.1884175738578362E-2</v>
      </c>
      <c r="E68" s="28">
        <v>5419165.1501442604</v>
      </c>
      <c r="F68" s="9">
        <f t="shared" si="7"/>
        <v>70778.606556307524</v>
      </c>
      <c r="G68" s="10">
        <f t="shared" si="6"/>
        <v>1.3233637094005823E-2</v>
      </c>
      <c r="H68" s="9">
        <f t="shared" si="2"/>
        <v>37349.694483668543</v>
      </c>
      <c r="I68" s="10">
        <f t="shared" si="3"/>
        <v>6.9399805309906526E-3</v>
      </c>
      <c r="K68" s="29"/>
      <c r="L68" s="30"/>
    </row>
    <row r="69" spans="1:12" ht="14.4">
      <c r="A69" s="11">
        <v>2025</v>
      </c>
      <c r="B69" s="9">
        <v>5444428.5350126941</v>
      </c>
      <c r="C69" s="9">
        <f t="shared" si="4"/>
        <v>62613.079352102242</v>
      </c>
      <c r="D69" s="10">
        <f t="shared" si="5"/>
        <v>1.1634192935070953E-2</v>
      </c>
      <c r="E69" s="28">
        <v>5489800.7663489617</v>
      </c>
      <c r="F69" s="9">
        <f>+E69-E68</f>
        <v>70635.616204701364</v>
      </c>
      <c r="G69" s="10">
        <f t="shared" si="6"/>
        <v>1.303440922128396E-2</v>
      </c>
      <c r="H69" s="9">
        <f t="shared" si="2"/>
        <v>45372.231336267665</v>
      </c>
      <c r="I69" s="10">
        <f t="shared" si="3"/>
        <v>8.3336994956371147E-3</v>
      </c>
      <c r="K69" s="29"/>
      <c r="L69" s="30"/>
    </row>
    <row r="70" spans="1:12" ht="14.4">
      <c r="A70" s="11">
        <v>2026</v>
      </c>
      <c r="B70" s="9">
        <v>5505859.0894721374</v>
      </c>
      <c r="C70" s="9">
        <f t="shared" si="4"/>
        <v>61430.554459443316</v>
      </c>
      <c r="D70" s="10">
        <f t="shared" si="5"/>
        <v>1.128319603506367E-2</v>
      </c>
      <c r="E70" s="28">
        <v>5560363.0364645999</v>
      </c>
      <c r="F70" s="9">
        <f>+E70-E69</f>
        <v>70562.270115638152</v>
      </c>
      <c r="G70" s="10">
        <f t="shared" si="6"/>
        <v>1.2853338967812267E-2</v>
      </c>
      <c r="H70" s="9">
        <f t="shared" si="2"/>
        <v>54503.946992462501</v>
      </c>
      <c r="I70" s="10">
        <f t="shared" si="3"/>
        <v>9.8992629681862176E-3</v>
      </c>
      <c r="K70" s="29"/>
      <c r="L70" s="30"/>
    </row>
    <row r="71" spans="1:12" ht="14.4">
      <c r="A71" s="11">
        <v>2027</v>
      </c>
      <c r="B71" s="9">
        <v>5566126.4337800052</v>
      </c>
      <c r="C71" s="9">
        <f t="shared" si="4"/>
        <v>60267.34430786781</v>
      </c>
      <c r="D71" s="10">
        <f t="shared" si="5"/>
        <v>1.0946038270958747E-2</v>
      </c>
      <c r="E71" s="28">
        <v>5630894.3815557882</v>
      </c>
      <c r="F71" s="9">
        <f>+E71-E70</f>
        <v>70531.345091188326</v>
      </c>
      <c r="G71" s="10">
        <f t="shared" si="6"/>
        <v>1.268466548472591E-2</v>
      </c>
      <c r="H71" s="9">
        <f t="shared" si="2"/>
        <v>64767.947775783017</v>
      </c>
      <c r="I71" s="10">
        <f t="shared" si="3"/>
        <v>1.1636089935491922E-2</v>
      </c>
      <c r="K71" s="29"/>
      <c r="L71" s="30"/>
    </row>
    <row r="72" spans="1:12" ht="14.4">
      <c r="A72" s="11">
        <v>2028</v>
      </c>
      <c r="B72" s="9">
        <v>5625452.1467365958</v>
      </c>
      <c r="C72" s="9">
        <f t="shared" si="4"/>
        <v>59325.712956590578</v>
      </c>
      <c r="D72" s="10">
        <f t="shared" si="5"/>
        <v>1.0658348074264357E-2</v>
      </c>
      <c r="E72" s="28">
        <v>5701408.063369344</v>
      </c>
      <c r="F72" s="9">
        <f>+E72-E71</f>
        <v>70513.68181355577</v>
      </c>
      <c r="G72" s="10">
        <f t="shared" si="6"/>
        <v>1.2522643302372405E-2</v>
      </c>
      <c r="H72" s="9">
        <f t="shared" si="2"/>
        <v>75955.916632748209</v>
      </c>
      <c r="I72" s="10">
        <f t="shared" si="3"/>
        <v>1.3502188739941801E-2</v>
      </c>
      <c r="K72" s="29"/>
      <c r="L72" s="30"/>
    </row>
    <row r="73" spans="1:12" ht="14.4">
      <c r="A73" s="11">
        <v>2029</v>
      </c>
      <c r="B73" s="9">
        <v>5684076.6525361193</v>
      </c>
      <c r="C73" s="9">
        <f t="shared" si="4"/>
        <v>58624.505799523555</v>
      </c>
      <c r="D73" s="10">
        <f t="shared" si="5"/>
        <v>1.0421296683419845E-2</v>
      </c>
      <c r="E73" s="28">
        <v>5771681.5364081329</v>
      </c>
      <c r="F73" s="9">
        <f t="shared" ref="F73:F107" si="8">+E73-E72</f>
        <v>70273.473038788885</v>
      </c>
      <c r="G73" s="31">
        <f t="shared" si="6"/>
        <v>1.2325634695451004E-2</v>
      </c>
      <c r="H73" s="9">
        <f t="shared" si="2"/>
        <v>87604.883872013539</v>
      </c>
      <c r="I73" s="10">
        <f t="shared" si="3"/>
        <v>1.5412333300066638E-2</v>
      </c>
      <c r="K73" s="29"/>
      <c r="L73" s="30"/>
    </row>
    <row r="74" spans="1:12" ht="14.4">
      <c r="A74" s="11">
        <v>2030</v>
      </c>
      <c r="B74" s="9">
        <v>5741847.7508714041</v>
      </c>
      <c r="C74" s="9">
        <f t="shared" si="4"/>
        <v>57771.09833528474</v>
      </c>
      <c r="D74" s="10">
        <f t="shared" si="5"/>
        <v>1.016367333989221E-2</v>
      </c>
      <c r="E74" s="28">
        <v>5841653.6633599391</v>
      </c>
      <c r="F74" s="9">
        <f t="shared" si="8"/>
        <v>69972.126951806247</v>
      </c>
      <c r="G74" s="31">
        <f t="shared" si="6"/>
        <v>1.2123352009361099E-2</v>
      </c>
      <c r="H74" s="9">
        <f t="shared" si="2"/>
        <v>99805.912488535047</v>
      </c>
      <c r="I74" s="10">
        <f t="shared" si="3"/>
        <v>1.738219416796416E-2</v>
      </c>
      <c r="K74" s="29"/>
      <c r="L74" s="30"/>
    </row>
    <row r="75" spans="1:12" ht="14.4">
      <c r="A75" s="11">
        <v>2031</v>
      </c>
      <c r="B75" s="9">
        <v>5797920.897271581</v>
      </c>
      <c r="C75" s="9">
        <f t="shared" si="4"/>
        <v>56073.14640017692</v>
      </c>
      <c r="D75" s="10">
        <f t="shared" si="5"/>
        <v>9.7656971820032634E-3</v>
      </c>
      <c r="E75" s="28">
        <v>5912948.2388616093</v>
      </c>
      <c r="F75" s="9">
        <f t="shared" si="8"/>
        <v>71294.57550167013</v>
      </c>
      <c r="G75" s="31">
        <f t="shared" si="6"/>
        <v>1.2204519406695535E-2</v>
      </c>
      <c r="H75" s="9">
        <f t="shared" si="2"/>
        <v>115027.34159002826</v>
      </c>
      <c r="I75" s="10">
        <f t="shared" si="3"/>
        <v>1.9839412028570091E-2</v>
      </c>
      <c r="K75" s="29"/>
      <c r="L75" s="30"/>
    </row>
    <row r="76" spans="1:12" ht="14.4">
      <c r="A76" s="11">
        <v>2032</v>
      </c>
      <c r="B76" s="9">
        <v>5852596.7925243676</v>
      </c>
      <c r="C76" s="9">
        <f t="shared" si="4"/>
        <v>54675.895252786577</v>
      </c>
      <c r="D76" s="10">
        <f t="shared" si="5"/>
        <v>9.4302589189370067E-3</v>
      </c>
      <c r="E76" s="28">
        <v>5982356.3094641753</v>
      </c>
      <c r="F76" s="9">
        <f t="shared" si="8"/>
        <v>69408.070602566004</v>
      </c>
      <c r="G76" s="31">
        <f t="shared" si="6"/>
        <v>1.1738318652342761E-2</v>
      </c>
      <c r="H76" s="9">
        <f t="shared" si="2"/>
        <v>129759.51693980768</v>
      </c>
      <c r="I76" s="10">
        <f t="shared" si="3"/>
        <v>2.2171272264228437E-2</v>
      </c>
      <c r="K76" s="29"/>
      <c r="L76" s="30"/>
    </row>
    <row r="77" spans="1:12" ht="14.4">
      <c r="A77" s="11">
        <v>2033</v>
      </c>
      <c r="B77" s="9">
        <v>5906122.7014441108</v>
      </c>
      <c r="C77" s="9">
        <f t="shared" si="4"/>
        <v>53525.908919743262</v>
      </c>
      <c r="D77" s="10">
        <f t="shared" si="5"/>
        <v>9.1456682934509814E-3</v>
      </c>
      <c r="E77" s="28">
        <v>6051764.3800667403</v>
      </c>
      <c r="F77" s="9">
        <f t="shared" si="8"/>
        <v>69408.070602565072</v>
      </c>
      <c r="G77" s="31">
        <f t="shared" si="6"/>
        <v>1.1602129163179375E-2</v>
      </c>
      <c r="H77" s="9">
        <f t="shared" si="2"/>
        <v>145641.67862262949</v>
      </c>
      <c r="I77" s="10">
        <f t="shared" si="3"/>
        <v>2.4659440039574321E-2</v>
      </c>
      <c r="K77" s="29"/>
      <c r="L77" s="30"/>
    </row>
    <row r="78" spans="1:12" ht="14.4">
      <c r="A78" s="11">
        <v>2034</v>
      </c>
      <c r="B78" s="9">
        <v>5958749.3514910042</v>
      </c>
      <c r="C78" s="9">
        <f t="shared" si="4"/>
        <v>52626.650046893395</v>
      </c>
      <c r="D78" s="10">
        <f t="shared" si="5"/>
        <v>8.9105243333371664E-3</v>
      </c>
      <c r="E78" s="28">
        <v>6121172.4506693063</v>
      </c>
      <c r="F78" s="9">
        <f t="shared" si="8"/>
        <v>69408.070602566004</v>
      </c>
      <c r="G78" s="31">
        <f t="shared" si="6"/>
        <v>1.1469063605843877E-2</v>
      </c>
      <c r="H78" s="9">
        <f t="shared" si="2"/>
        <v>162423.0991783021</v>
      </c>
      <c r="I78" s="10">
        <f t="shared" si="3"/>
        <v>2.7257917659795572E-2</v>
      </c>
      <c r="K78" s="29"/>
      <c r="L78" s="30"/>
    </row>
    <row r="79" spans="1:12" ht="14.4">
      <c r="A79" s="11">
        <v>2035</v>
      </c>
      <c r="B79" s="9">
        <v>6010663.375537429</v>
      </c>
      <c r="C79" s="9">
        <f t="shared" si="4"/>
        <v>51914.024046424776</v>
      </c>
      <c r="D79" s="10">
        <f t="shared" si="5"/>
        <v>8.7122348976527153E-3</v>
      </c>
      <c r="E79" s="28">
        <v>6190580.5212718723</v>
      </c>
      <c r="F79" s="9">
        <f t="shared" si="8"/>
        <v>69408.070602566004</v>
      </c>
      <c r="G79" s="31">
        <f t="shared" si="6"/>
        <v>1.1339015713399236E-2</v>
      </c>
      <c r="H79" s="9">
        <f t="shared" si="2"/>
        <v>179917.14573444333</v>
      </c>
      <c r="I79" s="10">
        <f t="shared" si="3"/>
        <v>2.9932993164561772E-2</v>
      </c>
      <c r="K79" s="29"/>
      <c r="L79" s="30"/>
    </row>
    <row r="80" spans="1:12" ht="14.4">
      <c r="A80" s="11">
        <v>2036</v>
      </c>
      <c r="B80" s="9">
        <v>6061919.235569763</v>
      </c>
      <c r="C80" s="9">
        <f t="shared" si="4"/>
        <v>51255.860032333992</v>
      </c>
      <c r="D80" s="10">
        <f t="shared" si="5"/>
        <v>8.5274880374999196E-3</v>
      </c>
      <c r="E80" s="28">
        <v>6259988.5918744383</v>
      </c>
      <c r="F80" s="9">
        <f t="shared" si="8"/>
        <v>69408.070602566004</v>
      </c>
      <c r="G80" s="31">
        <f t="shared" si="6"/>
        <v>1.1211883984719728E-2</v>
      </c>
      <c r="H80" s="9">
        <f t="shared" si="2"/>
        <v>198069.35630467534</v>
      </c>
      <c r="I80" s="10">
        <f t="shared" si="3"/>
        <v>3.2674364109382292E-2</v>
      </c>
      <c r="K80" s="29"/>
      <c r="L80" s="30"/>
    </row>
    <row r="81" spans="1:12" ht="14.4">
      <c r="A81" s="11">
        <v>2037</v>
      </c>
      <c r="B81" s="9">
        <v>6112615.4853348387</v>
      </c>
      <c r="C81" s="9">
        <f t="shared" si="4"/>
        <v>50696.249765075743</v>
      </c>
      <c r="D81" s="10">
        <f t="shared" si="5"/>
        <v>8.3630691526874745E-3</v>
      </c>
      <c r="E81" s="28">
        <v>6329396.6624770025</v>
      </c>
      <c r="F81" s="9">
        <f t="shared" si="8"/>
        <v>69408.070602564141</v>
      </c>
      <c r="G81" s="31">
        <f t="shared" si="6"/>
        <v>1.1087571420282938E-2</v>
      </c>
      <c r="H81" s="9">
        <f t="shared" si="2"/>
        <v>216781.17714216374</v>
      </c>
      <c r="I81" s="10">
        <f t="shared" si="3"/>
        <v>3.5464553211674632E-2</v>
      </c>
      <c r="K81" s="29"/>
      <c r="L81" s="30"/>
    </row>
    <row r="82" spans="1:12" ht="14.4">
      <c r="A82" s="11">
        <v>2038</v>
      </c>
      <c r="B82" s="9">
        <v>6162500.2754968526</v>
      </c>
      <c r="C82" s="9">
        <f t="shared" si="4"/>
        <v>49884.790162013844</v>
      </c>
      <c r="D82" s="10">
        <f t="shared" si="5"/>
        <v>8.1609566774967224E-3</v>
      </c>
      <c r="E82" s="28">
        <v>6398804.7330795685</v>
      </c>
      <c r="F82" s="9">
        <f t="shared" si="8"/>
        <v>69408.070602566004</v>
      </c>
      <c r="G82" s="31">
        <f t="shared" si="6"/>
        <v>1.0965985275348977E-2</v>
      </c>
      <c r="H82" s="9">
        <f t="shared" si="2"/>
        <v>236304.4575827159</v>
      </c>
      <c r="I82" s="10">
        <f t="shared" si="3"/>
        <v>3.8345549211949326E-2</v>
      </c>
      <c r="K82" s="29"/>
      <c r="L82" s="30"/>
    </row>
    <row r="83" spans="1:12" ht="14.4">
      <c r="A83" s="11">
        <v>2039</v>
      </c>
      <c r="B83" s="9">
        <v>6211185.4813049389</v>
      </c>
      <c r="C83" s="9">
        <f t="shared" si="4"/>
        <v>48685.205808086321</v>
      </c>
      <c r="D83" s="10">
        <f t="shared" si="5"/>
        <v>7.9002358834232567E-3</v>
      </c>
      <c r="E83" s="28">
        <v>6468212.8036821363</v>
      </c>
      <c r="F83" s="9">
        <f t="shared" si="8"/>
        <v>69408.070602567866</v>
      </c>
      <c r="G83" s="31">
        <f t="shared" si="6"/>
        <v>1.0847036829199075E-2</v>
      </c>
      <c r="H83" s="9">
        <f t="shared" si="2"/>
        <v>257027.32237719744</v>
      </c>
      <c r="I83" s="10">
        <f t="shared" si="3"/>
        <v>4.1381363211712818E-2</v>
      </c>
      <c r="K83" s="29"/>
      <c r="L83" s="30"/>
    </row>
    <row r="84" spans="1:12" ht="13.5" customHeight="1">
      <c r="A84" s="11">
        <v>2040</v>
      </c>
      <c r="B84" s="9">
        <v>6258873.7480229167</v>
      </c>
      <c r="C84" s="9">
        <f t="shared" si="4"/>
        <v>47688.266717977822</v>
      </c>
      <c r="D84" s="10">
        <f t="shared" si="5"/>
        <v>7.6778043195642187E-3</v>
      </c>
      <c r="E84" s="28">
        <v>6537620.8742846996</v>
      </c>
      <c r="F84" s="9">
        <f t="shared" si="8"/>
        <v>69408.07060256321</v>
      </c>
      <c r="G84" s="31">
        <f t="shared" si="6"/>
        <v>1.0730641169234723E-2</v>
      </c>
      <c r="H84" s="9">
        <f t="shared" si="2"/>
        <v>278747.12626178283</v>
      </c>
      <c r="I84" s="10">
        <f t="shared" si="3"/>
        <v>4.4536307566490629E-2</v>
      </c>
    </row>
    <row r="85" spans="1:12">
      <c r="A85" s="11">
        <v>2041</v>
      </c>
      <c r="B85" s="9">
        <v>6306933.807397957</v>
      </c>
      <c r="C85" s="9">
        <f t="shared" si="4"/>
        <v>48060.059375040233</v>
      </c>
      <c r="D85" s="10">
        <f t="shared" si="5"/>
        <v>7.6787072738480067E-3</v>
      </c>
      <c r="E85" s="28">
        <v>6607028.9448872656</v>
      </c>
      <c r="F85" s="9">
        <f t="shared" si="8"/>
        <v>69408.070602566004</v>
      </c>
      <c r="G85" s="31">
        <f t="shared" si="6"/>
        <v>1.0616716988832708E-2</v>
      </c>
      <c r="H85" s="9">
        <f t="shared" si="2"/>
        <v>300095.1374893086</v>
      </c>
      <c r="I85" s="10">
        <f t="shared" si="3"/>
        <v>4.7581780093728154E-2</v>
      </c>
    </row>
    <row r="86" spans="1:12">
      <c r="A86" s="11">
        <v>2042</v>
      </c>
      <c r="B86" s="9">
        <v>6355366.8245303025</v>
      </c>
      <c r="C86" s="9">
        <f t="shared" si="4"/>
        <v>48433.017132345587</v>
      </c>
      <c r="D86" s="10">
        <f t="shared" si="5"/>
        <v>7.6793285947498457E-3</v>
      </c>
      <c r="E86" s="28">
        <v>6676437.0154898316</v>
      </c>
      <c r="F86" s="9">
        <f t="shared" si="8"/>
        <v>69408.070602566004</v>
      </c>
      <c r="G86" s="31">
        <f t="shared" si="6"/>
        <v>1.0505186397931077E-2</v>
      </c>
      <c r="H86" s="9">
        <f t="shared" si="2"/>
        <v>321070.19095952902</v>
      </c>
      <c r="I86" s="10">
        <f t="shared" si="3"/>
        <v>5.0519537239025913E-2</v>
      </c>
    </row>
    <row r="87" spans="1:12">
      <c r="A87" s="11">
        <v>2043</v>
      </c>
      <c r="B87" s="9">
        <v>6404176.8336917274</v>
      </c>
      <c r="C87" s="9">
        <f t="shared" si="4"/>
        <v>48810.009161424823</v>
      </c>
      <c r="D87" s="10">
        <f t="shared" si="5"/>
        <v>7.6801246110655974E-3</v>
      </c>
      <c r="E87" s="28">
        <v>6745845.0860923966</v>
      </c>
      <c r="F87" s="9">
        <f t="shared" si="8"/>
        <v>69408.070602565072</v>
      </c>
      <c r="G87" s="31">
        <f t="shared" si="6"/>
        <v>1.0395974745441849E-2</v>
      </c>
      <c r="H87" s="9">
        <f t="shared" si="2"/>
        <v>341668.25240066927</v>
      </c>
      <c r="I87" s="10">
        <f t="shared" si="3"/>
        <v>5.335084606083762E-2</v>
      </c>
    </row>
    <row r="88" spans="1:12">
      <c r="A88" s="11">
        <v>2044</v>
      </c>
      <c r="B88" s="9">
        <v>6453366.7693458423</v>
      </c>
      <c r="C88" s="9">
        <f t="shared" si="4"/>
        <v>49189.935654114932</v>
      </c>
      <c r="D88" s="10">
        <f t="shared" si="5"/>
        <v>7.6809146485981028E-3</v>
      </c>
      <c r="E88" s="28">
        <v>6815253.1566949636</v>
      </c>
      <c r="F88" s="9">
        <f t="shared" si="8"/>
        <v>69408.070602566935</v>
      </c>
      <c r="G88" s="31">
        <f t="shared" si="6"/>
        <v>1.0289010452620984E-2</v>
      </c>
      <c r="H88" s="9">
        <f t="shared" si="2"/>
        <v>361886.38734912127</v>
      </c>
      <c r="I88" s="10">
        <f t="shared" si="3"/>
        <v>5.6077145509243254E-2</v>
      </c>
    </row>
    <row r="89" spans="1:12">
      <c r="A89" s="11">
        <v>2045</v>
      </c>
      <c r="B89" s="9">
        <v>6502939.5887981048</v>
      </c>
      <c r="C89" s="9">
        <f t="shared" si="4"/>
        <v>49572.819452262484</v>
      </c>
      <c r="D89" s="10">
        <f t="shared" si="5"/>
        <v>7.6816987510672785E-3</v>
      </c>
      <c r="E89" s="28">
        <v>6884661.2272975286</v>
      </c>
      <c r="F89" s="9">
        <f t="shared" si="8"/>
        <v>69408.070602565072</v>
      </c>
      <c r="G89" s="31">
        <f t="shared" si="6"/>
        <v>1.0184224856619073E-2</v>
      </c>
      <c r="H89" s="9">
        <f t="shared" si="2"/>
        <v>381721.63849942386</v>
      </c>
      <c r="I89" s="10">
        <f t="shared" si="3"/>
        <v>5.8699859238577901E-2</v>
      </c>
    </row>
    <row r="90" spans="1:12">
      <c r="A90" s="11">
        <v>2046</v>
      </c>
      <c r="B90" s="9">
        <v>6552898.2723736176</v>
      </c>
      <c r="C90" s="9">
        <f t="shared" si="4"/>
        <v>49958.683575512841</v>
      </c>
      <c r="D90" s="10">
        <f t="shared" si="5"/>
        <v>7.6824769618912825E-3</v>
      </c>
      <c r="E90" s="28">
        <v>6954069.2979000947</v>
      </c>
      <c r="F90" s="9">
        <f t="shared" si="8"/>
        <v>69408.070602566004</v>
      </c>
      <c r="G90" s="31">
        <f t="shared" si="6"/>
        <v>1.008155206350092E-2</v>
      </c>
      <c r="H90" s="9">
        <f t="shared" si="2"/>
        <v>401171.02552647702</v>
      </c>
      <c r="I90" s="10">
        <f t="shared" si="3"/>
        <v>6.1220395747294765E-2</v>
      </c>
    </row>
    <row r="91" spans="1:12">
      <c r="A91" s="11">
        <v>2047</v>
      </c>
      <c r="B91" s="9">
        <v>6603245.823596335</v>
      </c>
      <c r="C91" s="9">
        <f t="shared" si="4"/>
        <v>50347.551222717389</v>
      </c>
      <c r="D91" s="10">
        <f t="shared" si="5"/>
        <v>7.6832493241925093E-3</v>
      </c>
      <c r="E91" s="28">
        <v>7023477.3685026588</v>
      </c>
      <c r="F91" s="9">
        <f t="shared" si="8"/>
        <v>69408.070602564141</v>
      </c>
      <c r="G91" s="31">
        <f t="shared" si="6"/>
        <v>9.9809288100598526E-3</v>
      </c>
      <c r="H91" s="9">
        <f t="shared" si="2"/>
        <v>420231.54490632378</v>
      </c>
      <c r="I91" s="10">
        <f t="shared" si="3"/>
        <v>6.3640148516756589E-2</v>
      </c>
    </row>
    <row r="92" spans="1:12">
      <c r="A92" s="11">
        <v>2048</v>
      </c>
      <c r="B92" s="9">
        <v>6653985.2693696134</v>
      </c>
      <c r="C92" s="9">
        <f t="shared" si="4"/>
        <v>50739.445773278363</v>
      </c>
      <c r="D92" s="10">
        <f t="shared" si="5"/>
        <v>7.6840158807904846E-3</v>
      </c>
      <c r="E92" s="28">
        <v>7092885.4391052248</v>
      </c>
      <c r="F92" s="9">
        <f t="shared" si="8"/>
        <v>69408.070602566004</v>
      </c>
      <c r="G92" s="31">
        <f t="shared" si="6"/>
        <v>9.8822943338341407E-3</v>
      </c>
      <c r="H92" s="9">
        <f t="shared" si="2"/>
        <v>438900.16973561142</v>
      </c>
      <c r="I92" s="10">
        <f t="shared" si="3"/>
        <v>6.5960496148978143E-2</v>
      </c>
    </row>
    <row r="93" spans="1:12">
      <c r="A93" s="11">
        <v>2049</v>
      </c>
      <c r="B93" s="9">
        <v>6705119.6601582291</v>
      </c>
      <c r="C93" s="9">
        <f t="shared" si="4"/>
        <v>51134.390788615681</v>
      </c>
      <c r="D93" s="10">
        <f t="shared" si="5"/>
        <v>7.6847766742140777E-3</v>
      </c>
      <c r="E93" s="28">
        <v>7162293.5097077908</v>
      </c>
      <c r="F93" s="9">
        <f t="shared" si="8"/>
        <v>69408.070602566004</v>
      </c>
      <c r="G93" s="31">
        <f t="shared" si="6"/>
        <v>9.7855902507459902E-3</v>
      </c>
      <c r="H93" s="9">
        <f t="shared" si="2"/>
        <v>457173.84954956174</v>
      </c>
      <c r="I93" s="10">
        <f t="shared" si="3"/>
        <v>6.8182802503299778E-2</v>
      </c>
    </row>
    <row r="94" spans="1:12">
      <c r="A94" s="11">
        <v>2050</v>
      </c>
      <c r="B94" s="9">
        <v>6756652.0701717697</v>
      </c>
      <c r="C94" s="9">
        <f t="shared" si="4"/>
        <v>51532.410013540648</v>
      </c>
      <c r="D94" s="10">
        <f t="shared" si="5"/>
        <v>7.6855317466959505E-3</v>
      </c>
      <c r="E94" s="28">
        <v>7231701.5803103568</v>
      </c>
      <c r="F94" s="9">
        <f t="shared" si="8"/>
        <v>69408.070602566004</v>
      </c>
      <c r="G94" s="31">
        <f t="shared" si="6"/>
        <v>9.6907604398632774E-3</v>
      </c>
      <c r="H94" s="9">
        <f t="shared" si="2"/>
        <v>475049.51013858709</v>
      </c>
      <c r="I94" s="10">
        <f t="shared" si="3"/>
        <v>7.0308416832022935E-2</v>
      </c>
    </row>
    <row r="95" spans="1:12">
      <c r="A95" s="11">
        <v>2051</v>
      </c>
      <c r="B95" s="9">
        <v>6808585.5975494636</v>
      </c>
      <c r="C95" s="9">
        <f t="shared" si="4"/>
        <v>51933.527377693914</v>
      </c>
      <c r="D95" s="10">
        <f t="shared" si="5"/>
        <v>7.686281140176332E-3</v>
      </c>
      <c r="E95" s="28">
        <v>7301109.6509129219</v>
      </c>
      <c r="F95" s="9">
        <f t="shared" si="8"/>
        <v>69408.070602565072</v>
      </c>
      <c r="G95" s="31">
        <f t="shared" si="6"/>
        <v>9.5977509347926482E-3</v>
      </c>
      <c r="H95" s="9">
        <f t="shared" si="2"/>
        <v>492524.05336345825</v>
      </c>
      <c r="I95" s="10">
        <f t="shared" si="3"/>
        <v>7.2338673914994489E-2</v>
      </c>
    </row>
    <row r="96" spans="1:12">
      <c r="A96" s="11">
        <v>2052</v>
      </c>
      <c r="B96" s="9">
        <v>6860923.3645464564</v>
      </c>
      <c r="C96" s="9">
        <f t="shared" si="4"/>
        <v>52337.766996992752</v>
      </c>
      <c r="D96" s="10">
        <f t="shared" si="5"/>
        <v>7.6870248963059051E-3</v>
      </c>
      <c r="E96" s="28">
        <v>7370517.7215154879</v>
      </c>
      <c r="F96" s="9">
        <f t="shared" si="8"/>
        <v>69408.070602566004</v>
      </c>
      <c r="G96" s="31">
        <f t="shared" si="6"/>
        <v>9.5065098212689936E-3</v>
      </c>
      <c r="H96" s="9">
        <f t="shared" si="2"/>
        <v>509594.35696903151</v>
      </c>
      <c r="I96" s="10">
        <f t="shared" si="3"/>
        <v>7.4274894193154806E-2</v>
      </c>
    </row>
    <row r="97" spans="1:9">
      <c r="A97" s="11">
        <v>2053</v>
      </c>
      <c r="B97" s="9">
        <v>6913668.5177215338</v>
      </c>
      <c r="C97" s="9">
        <f t="shared" si="4"/>
        <v>52745.153175077401</v>
      </c>
      <c r="D97" s="10">
        <f t="shared" si="5"/>
        <v>7.6877630564473609E-3</v>
      </c>
      <c r="E97" s="28">
        <v>7439925.792118053</v>
      </c>
      <c r="F97" s="9">
        <f t="shared" si="8"/>
        <v>69408.070602565072</v>
      </c>
      <c r="G97" s="31">
        <f t="shared" si="6"/>
        <v>9.4169871405307415E-3</v>
      </c>
      <c r="H97" s="9">
        <f t="shared" si="2"/>
        <v>526257.27439651918</v>
      </c>
      <c r="I97" s="10">
        <f t="shared" si="3"/>
        <v>7.6118383901048192E-2</v>
      </c>
    </row>
    <row r="98" spans="1:9">
      <c r="A98" s="11">
        <v>2054</v>
      </c>
      <c r="B98" s="9">
        <v>6966824.2281262884</v>
      </c>
      <c r="C98" s="9">
        <f t="shared" si="4"/>
        <v>53155.710404754616</v>
      </c>
      <c r="D98" s="10">
        <f t="shared" si="5"/>
        <v>7.6884956616740663E-3</v>
      </c>
      <c r="E98" s="28">
        <v>7509333.8627206199</v>
      </c>
      <c r="F98" s="9">
        <f t="shared" si="8"/>
        <v>69408.070602566935</v>
      </c>
      <c r="G98" s="31">
        <f t="shared" si="6"/>
        <v>9.3291347981050432E-3</v>
      </c>
      <c r="H98" s="9">
        <f t="shared" si="2"/>
        <v>542509.6345943315</v>
      </c>
      <c r="I98" s="10">
        <f t="shared" si="3"/>
        <v>7.787043519831105E-2</v>
      </c>
    </row>
    <row r="99" spans="1:9">
      <c r="A99" s="11">
        <v>2055</v>
      </c>
      <c r="B99" s="9">
        <v>7020393.6914958013</v>
      </c>
      <c r="C99" s="9">
        <f t="shared" si="4"/>
        <v>53569.463369512931</v>
      </c>
      <c r="D99" s="10">
        <f t="shared" si="5"/>
        <v>7.6892227527778356E-3</v>
      </c>
      <c r="E99" s="28">
        <v>7578741.9333231859</v>
      </c>
      <c r="F99" s="9">
        <f t="shared" si="8"/>
        <v>69408.070602566004</v>
      </c>
      <c r="G99" s="31">
        <f t="shared" si="6"/>
        <v>9.2429064776484715E-3</v>
      </c>
      <c r="H99" s="9">
        <f t="shared" si="2"/>
        <v>558348.24182738457</v>
      </c>
      <c r="I99" s="10">
        <f t="shared" si="3"/>
        <v>7.95323263001253E-2</v>
      </c>
    </row>
    <row r="100" spans="1:9">
      <c r="A100" s="11">
        <v>2056</v>
      </c>
      <c r="B100" s="9">
        <v>7074380.1284407536</v>
      </c>
      <c r="C100" s="9">
        <f t="shared" si="4"/>
        <v>53986.436944952235</v>
      </c>
      <c r="D100" s="10">
        <f t="shared" si="5"/>
        <v>7.6899443702636017E-3</v>
      </c>
      <c r="E100" s="28">
        <v>7648150.0039257519</v>
      </c>
      <c r="F100" s="9">
        <f t="shared" si="8"/>
        <v>69408.070602566004</v>
      </c>
      <c r="G100" s="31">
        <f t="shared" si="6"/>
        <v>9.1582575595277049E-3</v>
      </c>
      <c r="H100" s="9">
        <f t="shared" si="2"/>
        <v>573769.87548499834</v>
      </c>
      <c r="I100" s="10">
        <f t="shared" si="3"/>
        <v>8.1105321606666614E-2</v>
      </c>
    </row>
    <row r="101" spans="1:9">
      <c r="A101" s="11">
        <v>2057</v>
      </c>
      <c r="B101" s="9">
        <v>7128786.7846410805</v>
      </c>
      <c r="C101" s="9">
        <f t="shared" si="4"/>
        <v>54406.656200326979</v>
      </c>
      <c r="D101" s="10">
        <f t="shared" si="5"/>
        <v>7.6906605543571871E-3</v>
      </c>
      <c r="E101" s="28">
        <v>7717558.0745283151</v>
      </c>
      <c r="F101" s="9">
        <f t="shared" si="8"/>
        <v>69408.07060256321</v>
      </c>
      <c r="G101" s="31">
        <f t="shared" si="6"/>
        <v>9.075145043825783E-3</v>
      </c>
      <c r="H101" s="9">
        <f t="shared" si="2"/>
        <v>588771.28988723457</v>
      </c>
      <c r="I101" s="10">
        <f t="shared" si="3"/>
        <v>8.2590671831529239E-2</v>
      </c>
    </row>
    <row r="102" spans="1:9">
      <c r="A102" s="11">
        <v>2058</v>
      </c>
      <c r="B102" s="9">
        <v>7183616.9310411001</v>
      </c>
      <c r="C102" s="9">
        <f t="shared" si="4"/>
        <v>54830.146400019526</v>
      </c>
      <c r="D102" s="10">
        <f t="shared" si="5"/>
        <v>7.6913713450021959E-3</v>
      </c>
      <c r="E102" s="28">
        <v>7786966.1451308811</v>
      </c>
      <c r="F102" s="9">
        <f t="shared" si="8"/>
        <v>69408.070602566004</v>
      </c>
      <c r="G102" s="31">
        <f t="shared" si="6"/>
        <v>8.9935274775121421E-3</v>
      </c>
      <c r="H102" s="9">
        <f t="shared" si="2"/>
        <v>603349.21408978105</v>
      </c>
      <c r="I102" s="10">
        <f t="shared" si="3"/>
        <v>8.3989614129151402E-2</v>
      </c>
    </row>
    <row r="103" spans="1:9">
      <c r="A103" s="11">
        <v>2059</v>
      </c>
      <c r="B103" s="9">
        <v>7238873.8640461853</v>
      </c>
      <c r="C103" s="9">
        <f t="shared" si="4"/>
        <v>55256.933005085215</v>
      </c>
      <c r="D103" s="10">
        <f t="shared" si="5"/>
        <v>7.6920767818666747E-3</v>
      </c>
      <c r="E103" s="28">
        <v>7856374.2157334471</v>
      </c>
      <c r="F103" s="9">
        <f t="shared" si="8"/>
        <v>69408.070602566004</v>
      </c>
      <c r="G103" s="31">
        <f t="shared" si="6"/>
        <v>8.9133648854973213E-3</v>
      </c>
      <c r="H103" s="9">
        <f t="shared" si="2"/>
        <v>617500.35168726183</v>
      </c>
      <c r="I103" s="10">
        <f t="shared" si="3"/>
        <v>8.5303372221229523E-2</v>
      </c>
    </row>
    <row r="104" spans="1:9">
      <c r="A104" s="11">
        <v>2060</v>
      </c>
      <c r="B104" s="9">
        <v>7294560.9057209408</v>
      </c>
      <c r="C104" s="9">
        <f t="shared" si="4"/>
        <v>55687.041674755514</v>
      </c>
      <c r="D104" s="10">
        <f t="shared" si="5"/>
        <v>7.6927769043386718E-3</v>
      </c>
      <c r="E104" s="28">
        <v>7925782.286336015</v>
      </c>
      <c r="F104" s="9">
        <f t="shared" si="8"/>
        <v>69408.070602567866</v>
      </c>
      <c r="G104" s="31">
        <f t="shared" si="6"/>
        <v>8.8346187053525149E-3</v>
      </c>
      <c r="H104" s="9">
        <f t="shared" si="2"/>
        <v>631221.38061507419</v>
      </c>
      <c r="I104" s="10">
        <f t="shared" si="3"/>
        <v>8.653315652214566E-2</v>
      </c>
    </row>
    <row r="105" spans="1:9">
      <c r="A105" s="11">
        <v>2061</v>
      </c>
      <c r="B105" s="9">
        <v>7350681.4039889565</v>
      </c>
      <c r="C105" s="9">
        <f t="shared" si="4"/>
        <v>56120.498268015683</v>
      </c>
      <c r="D105" s="10">
        <f t="shared" si="5"/>
        <v>7.6934717515351192E-3</v>
      </c>
      <c r="E105" s="28">
        <v>7995190.3569385791</v>
      </c>
      <c r="F105" s="9">
        <f t="shared" si="8"/>
        <v>69408.070602564141</v>
      </c>
      <c r="G105" s="31">
        <f t="shared" si="6"/>
        <v>8.757251725450832E-3</v>
      </c>
      <c r="H105" s="9">
        <f t="shared" si="2"/>
        <v>644508.95294962265</v>
      </c>
      <c r="I105" s="10">
        <f t="shared" si="3"/>
        <v>8.7680164263393312E-2</v>
      </c>
    </row>
    <row r="106" spans="1:9" ht="409.6">
      <c r="A106" s="11">
        <v>2062</v>
      </c>
      <c r="B106" s="9">
        <v>7407238.7328340812</v>
      </c>
      <c r="C106" s="9">
        <f t="shared" si="4"/>
        <v>56557.328845124692</v>
      </c>
      <c r="D106" s="10">
        <f t="shared" si="5"/>
        <v>7.6941613622967253E-3</v>
      </c>
      <c r="E106" s="28">
        <v>8064598.4275411442</v>
      </c>
      <c r="F106" s="9">
        <f t="shared" si="8"/>
        <v>69408.070602565072</v>
      </c>
      <c r="G106" s="31">
        <f t="shared" si="6"/>
        <v>8.6812280263384167E-3</v>
      </c>
      <c r="H106" s="9">
        <f t="shared" si="2"/>
        <v>657359.69470706303</v>
      </c>
      <c r="I106" s="10">
        <f t="shared" si="3"/>
        <v>8.8745579617028225E-2</v>
      </c>
    </row>
    <row r="107" spans="1:9" ht="409.6">
      <c r="A107" s="11">
        <v>2063</v>
      </c>
      <c r="B107" s="9">
        <v>7464236.2925032852</v>
      </c>
      <c r="C107" s="9">
        <f t="shared" si="4"/>
        <v>56997.559669204056</v>
      </c>
      <c r="D107" s="10">
        <f t="shared" si="5"/>
        <v>7.6948457751944144E-3</v>
      </c>
      <c r="E107" s="28">
        <v>8134006.4981437102</v>
      </c>
      <c r="F107" s="9">
        <f t="shared" si="8"/>
        <v>69408.070602566004</v>
      </c>
      <c r="G107" s="31">
        <f t="shared" si="6"/>
        <v>8.6065129251238215E-3</v>
      </c>
      <c r="H107" s="9">
        <f>E107-B107</f>
        <v>669770.20564042497</v>
      </c>
      <c r="I107" s="10">
        <f t="shared" si="3"/>
        <v>8.97305738181291E-2</v>
      </c>
    </row>
    <row r="108" spans="1:9">
      <c r="B108" s="9"/>
      <c r="C108" s="9"/>
      <c r="D108" s="10"/>
      <c r="E108" s="28"/>
      <c r="F108" s="9"/>
      <c r="G108" s="10"/>
      <c r="H108" s="9"/>
      <c r="I108" s="10"/>
    </row>
  </sheetData>
  <mergeCells count="4">
    <mergeCell ref="A4:I4"/>
    <mergeCell ref="B6:H6"/>
    <mergeCell ref="B15:H15"/>
    <mergeCell ref="A56:I56"/>
  </mergeCells>
  <printOptions headings="1" gridLines="1"/>
  <pageMargins left="0.34" right="0.33" top="0.3" bottom="0.18" header="0.5" footer="0.5"/>
  <pageSetup scale="54" orientation="portrait" r:id="rId1"/>
  <headerFooter alignWithMargins="0"/>
  <picture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D1:J26"/>
  <sheetViews>
    <sheetView workbookViewId="0">
      <selection activeCell="D1" sqref="D1:D2"/>
    </sheetView>
  </sheetViews>
  <sheetFormatPr defaultRowHeight="14.4"/>
  <cols>
    <col min="4" max="4" width="30.44140625" customWidth="1"/>
    <col min="5" max="5" width="12.88671875" customWidth="1"/>
  </cols>
  <sheetData>
    <row r="1" spans="4:10" s="418" customFormat="1">
      <c r="D1" s="453" t="s">
        <v>298</v>
      </c>
    </row>
    <row r="2" spans="4:10" s="418" customFormat="1">
      <c r="D2" s="453" t="s">
        <v>290</v>
      </c>
    </row>
    <row r="4" spans="4:10">
      <c r="E4" t="s">
        <v>42</v>
      </c>
      <c r="G4" t="s">
        <v>39</v>
      </c>
      <c r="J4" t="s">
        <v>43</v>
      </c>
    </row>
    <row r="5" spans="4:10">
      <c r="D5">
        <v>2004</v>
      </c>
      <c r="E5" s="1">
        <v>115343</v>
      </c>
      <c r="G5" s="1">
        <f>'Table Customers'!F43</f>
        <v>107288.50000000047</v>
      </c>
      <c r="I5" s="1">
        <f>G5-E5</f>
        <v>-8054.4999999995343</v>
      </c>
      <c r="J5" s="1">
        <f>-I5</f>
        <v>8054.4999999995343</v>
      </c>
    </row>
    <row r="6" spans="4:10">
      <c r="D6">
        <f>D5+1</f>
        <v>2005</v>
      </c>
      <c r="E6" s="1">
        <v>123809</v>
      </c>
      <c r="G6" s="1">
        <f>'Table Customers'!F44</f>
        <v>97386</v>
      </c>
      <c r="I6" s="1">
        <f t="shared" ref="I6:I21" si="0">G6-E6</f>
        <v>-26423</v>
      </c>
      <c r="J6" s="1">
        <f t="shared" ref="J6:J21" si="1">-I6</f>
        <v>26423</v>
      </c>
    </row>
    <row r="7" spans="4:10">
      <c r="D7">
        <f t="shared" ref="D7:D21" si="2">D6+1</f>
        <v>2006</v>
      </c>
      <c r="E7" s="1">
        <v>132377</v>
      </c>
      <c r="G7" s="1">
        <f>'Table Customers'!F45</f>
        <v>87667.333333333023</v>
      </c>
      <c r="I7" s="1">
        <f t="shared" si="0"/>
        <v>-44709.666666666977</v>
      </c>
      <c r="J7" s="1">
        <f t="shared" si="1"/>
        <v>44709.666666666977</v>
      </c>
    </row>
    <row r="8" spans="4:10">
      <c r="D8">
        <f t="shared" si="2"/>
        <v>2007</v>
      </c>
      <c r="E8" s="1">
        <v>89321</v>
      </c>
      <c r="G8" s="1">
        <f>'Table Customers'!F46</f>
        <v>87026.833333333023</v>
      </c>
      <c r="I8" s="1">
        <f t="shared" si="0"/>
        <v>-2294.1666666669771</v>
      </c>
      <c r="J8" s="1">
        <f t="shared" si="1"/>
        <v>2294.1666666669771</v>
      </c>
    </row>
    <row r="9" spans="4:10">
      <c r="D9">
        <f t="shared" si="2"/>
        <v>2008</v>
      </c>
      <c r="E9" s="1">
        <v>58140</v>
      </c>
      <c r="G9" s="1">
        <f>'Table Customers'!F47</f>
        <v>13140.833333333954</v>
      </c>
      <c r="I9" s="1">
        <f t="shared" si="0"/>
        <v>-44999.166666666046</v>
      </c>
      <c r="J9" s="1">
        <f t="shared" si="1"/>
        <v>44999.166666666046</v>
      </c>
    </row>
    <row r="10" spans="4:10">
      <c r="D10">
        <f t="shared" si="2"/>
        <v>2009</v>
      </c>
      <c r="E10" s="1">
        <v>35102</v>
      </c>
      <c r="G10" s="1">
        <f>'Table Customers'!F48</f>
        <v>-10663.416666666977</v>
      </c>
      <c r="I10" s="1">
        <f t="shared" si="0"/>
        <v>-45765.416666666977</v>
      </c>
      <c r="J10" s="1">
        <f t="shared" si="1"/>
        <v>45765.416666666977</v>
      </c>
    </row>
    <row r="11" spans="4:10">
      <c r="D11">
        <f t="shared" si="2"/>
        <v>2010</v>
      </c>
      <c r="E11" s="1">
        <v>24726</v>
      </c>
      <c r="G11" s="1">
        <f>'Table Customers'!F49</f>
        <v>21260.916666666977</v>
      </c>
      <c r="I11" s="1">
        <f t="shared" si="0"/>
        <v>-3465.0833333330229</v>
      </c>
      <c r="J11" s="1">
        <f t="shared" si="1"/>
        <v>3465.0833333330229</v>
      </c>
    </row>
    <row r="12" spans="4:10">
      <c r="D12">
        <f t="shared" si="2"/>
        <v>2011</v>
      </c>
      <c r="E12" s="1">
        <v>24101</v>
      </c>
      <c r="G12" s="1">
        <f>'Table Customers'!F50</f>
        <v>26723.166666666046</v>
      </c>
      <c r="I12" s="1">
        <f t="shared" si="0"/>
        <v>2622.1666666660458</v>
      </c>
      <c r="J12" s="1">
        <f t="shared" si="1"/>
        <v>-2622.1666666660458</v>
      </c>
    </row>
    <row r="13" spans="4:10">
      <c r="D13">
        <f t="shared" si="2"/>
        <v>2012</v>
      </c>
      <c r="E13" s="1">
        <v>27169</v>
      </c>
      <c r="G13" s="1">
        <f>'Table Customers'!F51</f>
        <v>29397.833333333954</v>
      </c>
      <c r="I13" s="1">
        <f t="shared" si="0"/>
        <v>2228.8333333339542</v>
      </c>
      <c r="J13" s="1">
        <f t="shared" si="1"/>
        <v>-2228.8333333339542</v>
      </c>
    </row>
    <row r="14" spans="4:10">
      <c r="D14">
        <f t="shared" si="2"/>
        <v>2013</v>
      </c>
      <c r="E14" s="1">
        <v>38490</v>
      </c>
      <c r="G14" s="1">
        <f>'Table Customers'!F52</f>
        <v>50485.666666666046</v>
      </c>
      <c r="I14" s="1">
        <f t="shared" si="0"/>
        <v>11995.666666666046</v>
      </c>
      <c r="J14" s="1">
        <f t="shared" si="1"/>
        <v>-11995.666666666046</v>
      </c>
    </row>
    <row r="15" spans="4:10">
      <c r="D15">
        <f t="shared" si="2"/>
        <v>2014</v>
      </c>
      <c r="E15" s="1">
        <v>46670</v>
      </c>
      <c r="G15" s="1">
        <f>'Table Customers'!F53</f>
        <v>81895</v>
      </c>
      <c r="I15" s="1">
        <f t="shared" si="0"/>
        <v>35225</v>
      </c>
      <c r="J15" s="1">
        <f t="shared" si="1"/>
        <v>-35225</v>
      </c>
    </row>
    <row r="16" spans="4:10">
      <c r="D16">
        <f t="shared" si="2"/>
        <v>2015</v>
      </c>
      <c r="E16" s="217">
        <f>'NSA Variance'!B21</f>
        <v>48432</v>
      </c>
      <c r="G16" s="1">
        <f>'Table Customers'!F54</f>
        <v>66552.25</v>
      </c>
      <c r="I16" s="1">
        <f t="shared" si="0"/>
        <v>18120.25</v>
      </c>
      <c r="J16" s="1">
        <f t="shared" si="1"/>
        <v>-18120.25</v>
      </c>
    </row>
    <row r="17" spans="4:10">
      <c r="D17">
        <f t="shared" si="2"/>
        <v>2016</v>
      </c>
      <c r="E17" s="1">
        <v>56584.300190233982</v>
      </c>
      <c r="G17" s="1">
        <f>'Table Customers'!F60</f>
        <v>70008.318585308269</v>
      </c>
      <c r="I17" s="1">
        <f t="shared" si="0"/>
        <v>13424.018395074287</v>
      </c>
      <c r="J17" s="1">
        <f t="shared" si="1"/>
        <v>-13424.018395074287</v>
      </c>
    </row>
    <row r="18" spans="4:10">
      <c r="D18">
        <f t="shared" si="2"/>
        <v>2017</v>
      </c>
      <c r="E18" s="1">
        <v>67402.47231035486</v>
      </c>
      <c r="G18" s="1">
        <f>'Table Customers'!F61</f>
        <v>71646.53356749285</v>
      </c>
      <c r="I18" s="1">
        <f t="shared" si="0"/>
        <v>4244.0612571379897</v>
      </c>
      <c r="J18" s="1">
        <f t="shared" si="1"/>
        <v>-4244.0612571379897</v>
      </c>
    </row>
    <row r="19" spans="4:10">
      <c r="D19">
        <f t="shared" si="2"/>
        <v>2018</v>
      </c>
      <c r="E19" s="1">
        <v>73896.835856900434</v>
      </c>
      <c r="G19" s="1">
        <f>'Table Customers'!F62</f>
        <v>72852.395387787372</v>
      </c>
      <c r="I19" s="1">
        <f t="shared" si="0"/>
        <v>-1044.4404691130621</v>
      </c>
      <c r="J19" s="1">
        <f t="shared" si="1"/>
        <v>1044.4404691130621</v>
      </c>
    </row>
    <row r="20" spans="4:10">
      <c r="D20">
        <f t="shared" si="2"/>
        <v>2019</v>
      </c>
      <c r="E20" s="1">
        <v>77524.308550892849</v>
      </c>
      <c r="G20" s="1">
        <f>'Table Customers'!F63</f>
        <v>72715.924511970021</v>
      </c>
      <c r="I20" s="1">
        <f t="shared" si="0"/>
        <v>-4808.384038922828</v>
      </c>
      <c r="J20" s="1">
        <f t="shared" si="1"/>
        <v>4808.384038922828</v>
      </c>
    </row>
    <row r="21" spans="4:10">
      <c r="D21">
        <f t="shared" si="2"/>
        <v>2020</v>
      </c>
      <c r="E21" s="1">
        <v>80739.824401918595</v>
      </c>
      <c r="G21" s="1">
        <f>'Table Customers'!F64</f>
        <v>72087.653923264705</v>
      </c>
      <c r="I21" s="1">
        <f t="shared" si="0"/>
        <v>-8652.1704786538903</v>
      </c>
      <c r="J21" s="1">
        <f t="shared" si="1"/>
        <v>8652.1704786538903</v>
      </c>
    </row>
    <row r="23" spans="4:10">
      <c r="D23" t="s">
        <v>44</v>
      </c>
      <c r="E23" s="1">
        <f>AVERAGE(E17:E21)</f>
        <v>71229.548262060154</v>
      </c>
      <c r="F23" s="1"/>
      <c r="G23" s="1">
        <f t="shared" ref="G23" si="3">AVERAGE(G17:G21)</f>
        <v>71862.165195164649</v>
      </c>
    </row>
    <row r="25" spans="4:10">
      <c r="D25" t="s">
        <v>251</v>
      </c>
      <c r="E25" s="1">
        <f>SUM(E15:E21)</f>
        <v>451249.74131030077</v>
      </c>
      <c r="F25" s="1"/>
      <c r="G25" s="1">
        <f t="shared" ref="G25" si="4">SUM(G15:G21)</f>
        <v>507758.07597582322</v>
      </c>
    </row>
    <row r="26" spans="4:10">
      <c r="D26" t="s">
        <v>252</v>
      </c>
      <c r="E26" s="1">
        <f>SUM(E15:E18)</f>
        <v>219088.77250058885</v>
      </c>
      <c r="F26" s="1"/>
      <c r="G26" s="1">
        <f t="shared" ref="G26" si="5">SUM(G15:G18)</f>
        <v>290102.10215280112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Comments xmlns="c85253b9-0a55-49a1-98ad-b5b6252d7079" xsi:nil="true"/>
    <Document_x0020_Type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8FBF2C28-5F10-4997-9355-BBFBD2878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4C54EB-277F-4495-B27C-73F888390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099ED7-41AD-450B-8B38-906AC27D2756}">
  <ds:schemaRefs>
    <ds:schemaRef ds:uri="c85253b9-0a55-49a1-98ad-b5b6252d7079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summary</vt:lpstr>
      <vt:lpstr>wholesale</vt:lpstr>
      <vt:lpstr>wholesale NEL</vt:lpstr>
      <vt:lpstr>Wholesale Prior Variance</vt:lpstr>
      <vt:lpstr>NSA Variance</vt:lpstr>
      <vt:lpstr>models</vt:lpstr>
      <vt:lpstr>customers</vt:lpstr>
      <vt:lpstr>Table Customers</vt:lpstr>
      <vt:lpstr>customers v NSAs</vt:lpstr>
      <vt:lpstr>WN Billed Sales</vt:lpstr>
      <vt:lpstr>economic forecasts</vt:lpstr>
      <vt:lpstr>Table Income</vt:lpstr>
      <vt:lpstr>Table Real Per Capita Inc</vt:lpstr>
      <vt:lpstr>BLS Data Series</vt:lpstr>
      <vt:lpstr>BLS Data Series (2)</vt:lpstr>
      <vt:lpstr>Sheet3</vt:lpstr>
      <vt:lpstr>Sheet4</vt:lpstr>
      <vt:lpstr>FL_Total_Nonfarm</vt:lpstr>
      <vt:lpstr>annual employment</vt:lpstr>
      <vt:lpstr>Monthly NEL</vt:lpstr>
      <vt:lpstr>FORECAST</vt:lpstr>
      <vt:lpstr>calculation_WN_retail</vt:lpstr>
      <vt:lpstr>2015 variance</vt:lpstr>
      <vt:lpstr>Table Fla Population Avg Annual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2016-04-11T20:03:33Z</dcterms:created>
  <dcterms:modified xsi:type="dcterms:W3CDTF">2016-04-14T00:27:20Z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